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vsdx" ContentType="application/vnd.ms-visio.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embeddings/oleObject1.bin" ContentType="application/vnd.openxmlformats-officedocument.oleObject"/>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charts/chart3.xml" ContentType="application/vnd.openxmlformats-officedocument.drawingml.chart+xml"/>
  <Override PartName="/xl/charts/chart4.xml" ContentType="application/vnd.openxmlformats-officedocument.drawingml.chart+xml"/>
  <Override PartName="/xl/drawings/drawing4.xml" ContentType="application/vnd.openxmlformats-officedocument.drawing+xml"/>
  <Override PartName="/xl/comments4.xml" ContentType="application/vnd.openxmlformats-officedocument.spreadsheetml.comments+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drawings/drawing5.xml" ContentType="application/vnd.openxmlformats-officedocument.drawing+xml"/>
  <Override PartName="/xl/drawings/drawing6.xml" ContentType="application/vnd.openxmlformats-officedocument.drawing+xml"/>
  <Override PartName="/xl/charts/chart11.xml" ContentType="application/vnd.openxmlformats-officedocument.drawingml.chart+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codeName="ThisWorkbook" defaultThemeVersion="124226"/>
  <mc:AlternateContent xmlns:mc="http://schemas.openxmlformats.org/markup-compatibility/2006">
    <mc:Choice Requires="x15">
      <x15ac:absPath xmlns:x15ac="http://schemas.microsoft.com/office/spreadsheetml/2010/11/ac" url="F:\usbc car module\usbc-car-module\excel\"/>
    </mc:Choice>
  </mc:AlternateContent>
  <xr:revisionPtr revIDLastSave="0" documentId="8_{A53D6D6B-DB31-4B0D-AC5F-C196FDF8A412}" xr6:coauthVersionLast="47" xr6:coauthVersionMax="47" xr10:uidLastSave="{00000000-0000-0000-0000-000000000000}"/>
  <workbookProtection workbookAlgorithmName="SHA-512" workbookHashValue="9Tu4NBv68gmIzXyJYbUSzn8PsZr1TFCYodfdXFLY1IFFgROBuyYld0CXgEClOR7X+OH+rO3M4mpmiuMjhvlEHw==" workbookSaltValue="EUSOMyJ7N4N2o3mpQWAtPA==" workbookSpinCount="100000" lockStructure="1"/>
  <bookViews>
    <workbookView xWindow="28680" yWindow="-120" windowWidth="29040" windowHeight="15840" xr2:uid="{00000000-000D-0000-FFFF-FFFF00000000}"/>
  </bookViews>
  <sheets>
    <sheet name="Design Converter" sheetId="1" r:id="rId1"/>
    <sheet name="Variable_Management" sheetId="2" state="hidden" r:id="rId2"/>
    <sheet name="Eff_vs_IOUT" sheetId="4" state="hidden" r:id="rId3"/>
    <sheet name="Loop_Modeling" sheetId="5" state="hidden" r:id="rId4"/>
    <sheet name="Constants" sheetId="3" state="hidden" r:id="rId5"/>
    <sheet name="Plot_Management_Eff" sheetId="6" state="hidden" r:id="rId6"/>
    <sheet name="Plot_Management_Sch" sheetId="7" state="hidden" r:id="rId7"/>
    <sheet name="Lists" sheetId="8" state="hidden" r:id="rId8"/>
    <sheet name="Sheet1" sheetId="9" state="hidden" r:id="rId9"/>
  </sheets>
  <definedNames>
    <definedName name="Acs">Constants!$B$33</definedName>
    <definedName name="Adc">Loop_Modeling!$B$38</definedName>
    <definedName name="Adc_ea">Loop_Modeling!$B$62</definedName>
    <definedName name="ADC_VINmin">Variable_Management!$B$160</definedName>
    <definedName name="CCOMP">Variable_Management!$B$225</definedName>
    <definedName name="CCOMP_Calc">Variable_Management!$B$224</definedName>
    <definedName name="CCOMP_calc_CCM">Variable_Management!$B$189</definedName>
    <definedName name="CCOMP_CALC_DCM">Variable_Management!$B$215</definedName>
    <definedName name="CHF">Variable_Management!$B$227</definedName>
    <definedName name="CHF_calc">Variable_Management!$B$226</definedName>
    <definedName name="CHF_CALC_CCM">Variable_Management!$B$190</definedName>
    <definedName name="CHF_CALC_DCM">Variable_Management!$B$216</definedName>
    <definedName name="Comp_calc_CCM">Variable_Management!$B$189</definedName>
    <definedName name="Cout">Variable_Management!$B$110</definedName>
    <definedName name="Cout_min">Variable_Management!$B$108</definedName>
    <definedName name="D_limit_max">Constants!$B$18</definedName>
    <definedName name="D_limit_min">Constants!$B$16</definedName>
    <definedName name="D_limit_nom">Constants!$B$17</definedName>
    <definedName name="DC_DCM_max">Variable_Management!$B$39</definedName>
    <definedName name="Dc_max_IC">Variable_Management!$B$23</definedName>
    <definedName name="Dc_max_ideal">Variable_Management!$A$22</definedName>
    <definedName name="DC_rip">Variable_Management!$B$32</definedName>
    <definedName name="Dc_rip_max">Variable_Management!$B$31</definedName>
    <definedName name="Dc_VIN_max">Variable_Management!$B$71</definedName>
    <definedName name="Dc_VIN_min">Variable_Management!$B$55</definedName>
    <definedName name="Dc_VIN_nom">Variable_Management!$B$63</definedName>
    <definedName name="DC_VIN_var_DCM">Loop_Modeling!$B$70</definedName>
    <definedName name="EFF_est">Variable_Management!$B$16</definedName>
    <definedName name="Eff_vs_IOUT">Plot_Management_Eff!$C$3</definedName>
    <definedName name="fcross">Variable_Management!$B$220</definedName>
    <definedName name="fcross_est">Variable_Management!$B$219</definedName>
    <definedName name="fp_ea_est">Variable_Management!$B$182</definedName>
    <definedName name="Fsw">Variable_Management!$B$10</definedName>
    <definedName name="fz_ea_est">Variable_Management!$B$181</definedName>
    <definedName name="fz_rhp">Variable_Management!$B$169</definedName>
    <definedName name="Gcomp">Constants!$B$32</definedName>
    <definedName name="Gea_mid_calc">Variable_Management!#REF!</definedName>
    <definedName name="gfs">Variable_Management!$B$243</definedName>
    <definedName name="gm_ea">Constants!$B$37</definedName>
    <definedName name="Gplant_fc_dB">Loop_Modeling!$AD$7</definedName>
    <definedName name="IIN_33">Variable_Management!$B$35</definedName>
    <definedName name="IL_avg_VIN_max">Variable_Management!$B$73</definedName>
    <definedName name="IL_avg_VIN_min">Variable_Management!$B$57</definedName>
    <definedName name="IL_avg_VIN_nom">Variable_Management!$B$65</definedName>
    <definedName name="IL_pk">Variable_Management!$B$94</definedName>
    <definedName name="IL_pk_max">Variable_Management!$B$95</definedName>
    <definedName name="ILp_VINmax">Variable_Management!$B$75</definedName>
    <definedName name="ILp_VINmin">Variable_Management!$B$59</definedName>
    <definedName name="ILp_VINnom">Variable_Management!$B$67</definedName>
    <definedName name="ILrip">Variable_Management!$B$30</definedName>
    <definedName name="ILrip_VINmax">Variable_Management!$B$74</definedName>
    <definedName name="ILrip_VINmin">Variable_Management!$B$58</definedName>
    <definedName name="ILrip_VINnom">Variable_Management!$B$66</definedName>
    <definedName name="IOUT">Variable_Management!$B$13</definedName>
    <definedName name="IOUT_VAR">Loop_Modeling!$B$17</definedName>
    <definedName name="Ipk_margin">Variable_Management!$B$78</definedName>
    <definedName name="Ipk_selected">Variable_Management!$B$80</definedName>
    <definedName name="IQ">Constants!$B$58</definedName>
    <definedName name="IRMS_COUT">Variable_Management!$B$109</definedName>
    <definedName name="Isl">Constants!$B$26</definedName>
    <definedName name="Iss">Constants!$B$47</definedName>
    <definedName name="Kd">Loop_Modeling!$B$36</definedName>
    <definedName name="Kd_VINmin">Variable_Management!$B$156</definedName>
    <definedName name="Kex">Loop_Modeling!$B$34</definedName>
    <definedName name="Kex_VINmin">Variable_Management!$B$154</definedName>
    <definedName name="Kfb">Variable_Management!$B$139</definedName>
    <definedName name="Kfb_high">Constants!$B$39</definedName>
    <definedName name="Kfb_low">Constants!$B$38</definedName>
    <definedName name="Km">Loop_Modeling!$B$35</definedName>
    <definedName name="Km_VINmin">Variable_Management!$B$155</definedName>
    <definedName name="Kslope">Variable_Management!#REF!</definedName>
    <definedName name="Lm">Variable_Management!$B$47</definedName>
    <definedName name="Lopt">Variable_Management!#REF!</definedName>
    <definedName name="Lopt_2">Variable_Management!$B$36</definedName>
    <definedName name="M_L_DCM">Variable_Management!$B$41</definedName>
    <definedName name="Np">Variable_Management!$B$17</definedName>
    <definedName name="POUT">Variable_Management!$B$15</definedName>
    <definedName name="_xlnm.Print_Area" localSheetId="0">'Design Converter'!$A$1:$Z$97</definedName>
    <definedName name="Q">Loop_Modeling!$B$52</definedName>
    <definedName name="Q_VINmin">Variable_Management!$B$177</definedName>
    <definedName name="Qg_tot">Variable_Management!$B$238</definedName>
    <definedName name="Qg_tot_HS">Variable_Management!$B$255</definedName>
    <definedName name="Qgd">Variable_Management!$B$239</definedName>
    <definedName name="Qgs">Variable_Management!$B$240</definedName>
    <definedName name="Qrr">Variable_Management!$B$263</definedName>
    <definedName name="R_cs">Variable_Management!$B$90</definedName>
    <definedName name="R_sl">Variable_Management!$B$91</definedName>
    <definedName name="RCOMP">Variable_Management!$B$223</definedName>
    <definedName name="RCOMP_Calc">Variable_Management!$B$222</definedName>
    <definedName name="Rcomp_calc_CCM">Variable_Management!$B$188</definedName>
    <definedName name="RCOMP_CALC_DCM">Variable_Management!$B$214</definedName>
    <definedName name="Rcs_max">Variable_Management!$B$83</definedName>
    <definedName name="Rcs_w_sl">Variable_Management!#REF!</definedName>
    <definedName name="Rcs_wo_sl">Variable_Management!$B$84</definedName>
    <definedName name="Rdcr">Variable_Management!$B$48</definedName>
    <definedName name="RDS_on">Variable_Management!$B$237</definedName>
    <definedName name="RDS_on_HS">Variable_Management!$B$254</definedName>
    <definedName name="Resr">Variable_Management!$B$111</definedName>
    <definedName name="RFBB">Variable_Management!$B$147</definedName>
    <definedName name="RFBB_calc">Variable_Management!$B$146</definedName>
    <definedName name="RFBT">Variable_Management!$B$145</definedName>
    <definedName name="Rgate">Variable_Management!$B$241</definedName>
    <definedName name="Rmax">Variable_Management!$B$140</definedName>
    <definedName name="Rmax_high">Constants!$B$41</definedName>
    <definedName name="Rmax_low">Constants!$B$40</definedName>
    <definedName name="Rmin">Variable_Management!$B$141</definedName>
    <definedName name="Rmin_high">Constants!$B$43</definedName>
    <definedName name="Rmin_low">Constants!$B$42</definedName>
    <definedName name="ROUT">Variable_Management!$B$14</definedName>
    <definedName name="Rsl_int">Constants!$B$27</definedName>
    <definedName name="RT">Variable_Management!$B$11</definedName>
    <definedName name="Ruvlo_bottom_calc">Variable_Management!$B$129</definedName>
    <definedName name="Ruvlo_top">Variable_Management!$B$128</definedName>
    <definedName name="Ruvlo_top_calc">Variable_Management!$B$127</definedName>
    <definedName name="SCH">INDIRECT(Plot_Management_Sch!$A$1)</definedName>
    <definedName name="SCH_1">Plot_Management_Sch!$B$2</definedName>
    <definedName name="SCH_2">Plot_Management_Sch!$B$5</definedName>
    <definedName name="SCH_3">Plot_Management_Sch!$B$7</definedName>
    <definedName name="Se_VINmin">Variable_Management!$B$173</definedName>
    <definedName name="Sn_VINmin">Variable_Management!$B$174</definedName>
    <definedName name="t_dead">Constants!$B$24</definedName>
    <definedName name="tf_sw">Variable_Management!$B$250</definedName>
    <definedName name="tr_sw">Variable_Management!$B$249</definedName>
    <definedName name="tss">Variable_Management!$B$118</definedName>
    <definedName name="UV_fall">Constants!$B$51</definedName>
    <definedName name="UV_I_hyst">Constants!$B$52</definedName>
    <definedName name="UV_rise">Constants!$B$50</definedName>
    <definedName name="Vcc">Constants!$B$55</definedName>
    <definedName name="Vcl">Constants!$B$30</definedName>
    <definedName name="Vd_rect">Variable_Management!$B$264</definedName>
    <definedName name="VIN_33">Variable_Management!$B$33</definedName>
    <definedName name="VIN_max">Variable_Management!$B$9</definedName>
    <definedName name="VIN_min">Variable_Management!$B$7</definedName>
    <definedName name="VIN_nom">Variable_Management!$B$8</definedName>
    <definedName name="VIN_op_max">Constants!$B$62</definedName>
    <definedName name="VIN_op_min">Constants!$B$61</definedName>
    <definedName name="VIN_var">Variable_Management!$B$8</definedName>
    <definedName name="VOUT">Variable_Management!$B$12</definedName>
    <definedName name="VOUT_range">Variable_Management!$B$19</definedName>
    <definedName name="Vout_rip_sel">Variable_Management!$B$106</definedName>
    <definedName name="Vref">Constants!$B$36</definedName>
    <definedName name="Vsl">Constants!$B$28</definedName>
    <definedName name="Vth">Variable_Management!$B$244</definedName>
    <definedName name="VTRK">Variable_Management!$B$142</definedName>
    <definedName name="Vuvlo_off">Variable_Management!$B$123</definedName>
    <definedName name="Vuvlo_on">Variable_Management!$B$122</definedName>
    <definedName name="wp_lf">Loop_Modeling!$B$39</definedName>
    <definedName name="wp_lf_DCM">Loop_Modeling!$B$73</definedName>
    <definedName name="wp_lf_VINmin">Variable_Management!$B$162</definedName>
    <definedName name="wp0_ea">Loop_Modeling!$B$64</definedName>
    <definedName name="wp1_ea">Loop_Modeling!$B$65</definedName>
    <definedName name="wsl">Loop_Modeling!$B$51</definedName>
    <definedName name="wsl_VINmin">Variable_Management!$B$176</definedName>
    <definedName name="wz_ea">Loop_Modeling!$B$63</definedName>
    <definedName name="wz_esr">Loop_Modeling!$B$45</definedName>
    <definedName name="wz_esr_VINmin">Variable_Management!$B$165</definedName>
    <definedName name="wz_rhp">Loop_Modeling!$B$42</definedName>
    <definedName name="wz_RHP_VINmin">Variable_Management!$B$168</definedName>
    <definedName name="wz1_dcm">Loop_Modeling!$B$75</definedName>
    <definedName name="wz2_dcm">Loop_Modeling!$B$77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 i="7" l="1"/>
  <c r="B78" i="2" l="1"/>
  <c r="B24" i="3" l="1"/>
  <c r="B264" i="2"/>
  <c r="B263" i="2"/>
  <c r="B20" i="2"/>
  <c r="B8" i="2"/>
  <c r="B12" i="2"/>
  <c r="R15" i="4" s="1"/>
  <c r="B7" i="2"/>
  <c r="B3" i="8" s="1"/>
  <c r="B10" i="2"/>
  <c r="B19" i="3" s="1"/>
  <c r="B20" i="3" s="1"/>
  <c r="B23" i="2" s="1"/>
  <c r="H16" i="1" s="1"/>
  <c r="B12" i="3"/>
  <c r="B254" i="2"/>
  <c r="T9" i="4"/>
  <c r="R10" i="4"/>
  <c r="R47" i="4"/>
  <c r="R50" i="4"/>
  <c r="R51" i="4"/>
  <c r="R54" i="4"/>
  <c r="R55" i="4"/>
  <c r="T56" i="4"/>
  <c r="R58" i="4"/>
  <c r="T59" i="4"/>
  <c r="R64" i="4"/>
  <c r="T70" i="4"/>
  <c r="AT70" i="4" s="1"/>
  <c r="R74" i="4"/>
  <c r="R75" i="4"/>
  <c r="R76" i="4"/>
  <c r="R78" i="4"/>
  <c r="R79" i="4"/>
  <c r="R80" i="4"/>
  <c r="R82" i="4"/>
  <c r="R86" i="4"/>
  <c r="R87" i="4"/>
  <c r="R88" i="4"/>
  <c r="R89" i="4"/>
  <c r="R90" i="4"/>
  <c r="R91" i="4"/>
  <c r="R92" i="4"/>
  <c r="R93" i="4"/>
  <c r="R94" i="4"/>
  <c r="R97" i="4"/>
  <c r="R98" i="4"/>
  <c r="R99" i="4"/>
  <c r="R100" i="4"/>
  <c r="R101" i="4"/>
  <c r="R102" i="4"/>
  <c r="R103" i="4"/>
  <c r="R104" i="4"/>
  <c r="R105" i="4"/>
  <c r="R106" i="4"/>
  <c r="R108" i="4"/>
  <c r="R109" i="4"/>
  <c r="R110" i="4"/>
  <c r="R111" i="4"/>
  <c r="R112" i="4"/>
  <c r="R113" i="4"/>
  <c r="R114" i="4"/>
  <c r="R115" i="4"/>
  <c r="R116" i="4"/>
  <c r="R117" i="4"/>
  <c r="R118" i="4"/>
  <c r="R119" i="4"/>
  <c r="R120" i="4"/>
  <c r="R121" i="4"/>
  <c r="R122" i="4"/>
  <c r="R123" i="4"/>
  <c r="R124" i="4"/>
  <c r="R125" i="4"/>
  <c r="R126" i="4"/>
  <c r="R127" i="4"/>
  <c r="R128" i="4"/>
  <c r="R129" i="4"/>
  <c r="R130" i="4"/>
  <c r="R131" i="4"/>
  <c r="R132" i="4"/>
  <c r="R133" i="4"/>
  <c r="R134" i="4"/>
  <c r="R135" i="4"/>
  <c r="R136" i="4"/>
  <c r="R137" i="4"/>
  <c r="R138" i="4"/>
  <c r="R139" i="4"/>
  <c r="R140" i="4"/>
  <c r="R141" i="4"/>
  <c r="R142" i="4"/>
  <c r="R143" i="4"/>
  <c r="R144" i="4"/>
  <c r="R145" i="4"/>
  <c r="R146" i="4"/>
  <c r="R147" i="4"/>
  <c r="R148" i="4"/>
  <c r="R149" i="4"/>
  <c r="R150" i="4"/>
  <c r="R151" i="4"/>
  <c r="R152" i="4"/>
  <c r="R153" i="4"/>
  <c r="R154" i="4"/>
  <c r="R155" i="4"/>
  <c r="R156" i="4"/>
  <c r="R157" i="4"/>
  <c r="R7" i="4"/>
  <c r="B244" i="2"/>
  <c r="B256" i="2"/>
  <c r="B257" i="2"/>
  <c r="B258" i="2"/>
  <c r="B261" i="2"/>
  <c r="B255" i="2"/>
  <c r="B262" i="2"/>
  <c r="E143" i="2"/>
  <c r="B128" i="2"/>
  <c r="B123" i="2"/>
  <c r="B122" i="2"/>
  <c r="B52" i="3"/>
  <c r="B126" i="2" s="1"/>
  <c r="B39" i="2"/>
  <c r="F5" i="8"/>
  <c r="F4" i="8"/>
  <c r="F3" i="8"/>
  <c r="B37" i="3"/>
  <c r="B29" i="5"/>
  <c r="B58" i="3"/>
  <c r="B47" i="3"/>
  <c r="B2" i="6"/>
  <c r="B245" i="2"/>
  <c r="B241" i="2"/>
  <c r="B240" i="2"/>
  <c r="B239" i="2"/>
  <c r="B238" i="2"/>
  <c r="B237" i="2"/>
  <c r="B125" i="2"/>
  <c r="B124" i="2"/>
  <c r="G127" i="2" s="1"/>
  <c r="B118" i="2"/>
  <c r="B116" i="2"/>
  <c r="B220" i="2"/>
  <c r="B180" i="2" s="1"/>
  <c r="O548" i="5"/>
  <c r="O549" i="5"/>
  <c r="O550" i="5"/>
  <c r="O551" i="5"/>
  <c r="O552" i="5"/>
  <c r="O553" i="5"/>
  <c r="O554" i="5"/>
  <c r="O555" i="5"/>
  <c r="O556" i="5"/>
  <c r="O557" i="5"/>
  <c r="O558" i="5"/>
  <c r="O559" i="5"/>
  <c r="O560" i="5"/>
  <c r="O537" i="5"/>
  <c r="O538" i="5"/>
  <c r="O539" i="5"/>
  <c r="O540" i="5"/>
  <c r="O541" i="5"/>
  <c r="O542" i="5"/>
  <c r="O543" i="5"/>
  <c r="O544" i="5"/>
  <c r="O545" i="5"/>
  <c r="O546" i="5"/>
  <c r="O547" i="5"/>
  <c r="O520" i="5"/>
  <c r="O521" i="5"/>
  <c r="O522" i="5"/>
  <c r="O523" i="5"/>
  <c r="O524" i="5"/>
  <c r="O525" i="5"/>
  <c r="O526" i="5"/>
  <c r="O527" i="5"/>
  <c r="O528" i="5"/>
  <c r="O529" i="5"/>
  <c r="O530" i="5"/>
  <c r="O531" i="5"/>
  <c r="O532" i="5"/>
  <c r="O533" i="5"/>
  <c r="O534" i="5"/>
  <c r="O535" i="5"/>
  <c r="O536" i="5"/>
  <c r="O519" i="5"/>
  <c r="O420" i="5"/>
  <c r="O421" i="5"/>
  <c r="O422" i="5"/>
  <c r="O423" i="5"/>
  <c r="O424" i="5"/>
  <c r="O425" i="5"/>
  <c r="O426" i="5"/>
  <c r="O427" i="5"/>
  <c r="O428" i="5"/>
  <c r="O429" i="5"/>
  <c r="O430" i="5"/>
  <c r="O431" i="5"/>
  <c r="O432" i="5"/>
  <c r="O433" i="5"/>
  <c r="O434" i="5"/>
  <c r="O435" i="5"/>
  <c r="O436" i="5"/>
  <c r="O437" i="5"/>
  <c r="O438" i="5"/>
  <c r="O439" i="5"/>
  <c r="O440" i="5"/>
  <c r="O441" i="5"/>
  <c r="O442" i="5"/>
  <c r="O443" i="5"/>
  <c r="O444" i="5"/>
  <c r="O445" i="5"/>
  <c r="O446" i="5"/>
  <c r="O447" i="5"/>
  <c r="O448" i="5"/>
  <c r="O449" i="5"/>
  <c r="O450" i="5"/>
  <c r="O451" i="5"/>
  <c r="O452" i="5"/>
  <c r="O453" i="5"/>
  <c r="O454" i="5"/>
  <c r="O455" i="5"/>
  <c r="O456" i="5"/>
  <c r="O457" i="5"/>
  <c r="O458" i="5"/>
  <c r="O459" i="5"/>
  <c r="O460" i="5"/>
  <c r="O461" i="5"/>
  <c r="O462" i="5"/>
  <c r="O463" i="5"/>
  <c r="O464" i="5"/>
  <c r="O465" i="5"/>
  <c r="O466" i="5"/>
  <c r="O467" i="5"/>
  <c r="O468" i="5"/>
  <c r="O469" i="5"/>
  <c r="O470" i="5"/>
  <c r="O471" i="5"/>
  <c r="O472" i="5"/>
  <c r="O473" i="5"/>
  <c r="O474" i="5"/>
  <c r="O475" i="5"/>
  <c r="O476" i="5"/>
  <c r="O477" i="5"/>
  <c r="O478" i="5"/>
  <c r="O479" i="5"/>
  <c r="O480" i="5"/>
  <c r="O481" i="5"/>
  <c r="O482" i="5"/>
  <c r="O483" i="5"/>
  <c r="O484" i="5"/>
  <c r="O485" i="5"/>
  <c r="O486" i="5"/>
  <c r="O487" i="5"/>
  <c r="O488" i="5"/>
  <c r="O489" i="5"/>
  <c r="O490" i="5"/>
  <c r="O491" i="5"/>
  <c r="O492" i="5"/>
  <c r="O493" i="5"/>
  <c r="O494" i="5"/>
  <c r="O495" i="5"/>
  <c r="O496" i="5"/>
  <c r="O497" i="5"/>
  <c r="O498" i="5"/>
  <c r="O499" i="5"/>
  <c r="O500" i="5"/>
  <c r="O501" i="5"/>
  <c r="O502" i="5"/>
  <c r="O503" i="5"/>
  <c r="O504" i="5"/>
  <c r="O505" i="5"/>
  <c r="O506" i="5"/>
  <c r="O507" i="5"/>
  <c r="O508" i="5"/>
  <c r="O509" i="5"/>
  <c r="O510" i="5"/>
  <c r="O511" i="5"/>
  <c r="O512" i="5"/>
  <c r="O513" i="5"/>
  <c r="O514" i="5"/>
  <c r="O515" i="5"/>
  <c r="O516" i="5"/>
  <c r="O517" i="5"/>
  <c r="O518" i="5"/>
  <c r="O419" i="5"/>
  <c r="O320" i="5"/>
  <c r="O321" i="5"/>
  <c r="O322" i="5"/>
  <c r="O323" i="5"/>
  <c r="O324" i="5"/>
  <c r="O325" i="5"/>
  <c r="O326" i="5"/>
  <c r="O327" i="5"/>
  <c r="O328" i="5"/>
  <c r="O329" i="5"/>
  <c r="O330" i="5"/>
  <c r="O331" i="5"/>
  <c r="O332" i="5"/>
  <c r="O333" i="5"/>
  <c r="O334" i="5"/>
  <c r="O335" i="5"/>
  <c r="O336" i="5"/>
  <c r="O337" i="5"/>
  <c r="O338" i="5"/>
  <c r="O339" i="5"/>
  <c r="O340" i="5"/>
  <c r="O341" i="5"/>
  <c r="O342" i="5"/>
  <c r="O343" i="5"/>
  <c r="O344" i="5"/>
  <c r="O345" i="5"/>
  <c r="O346" i="5"/>
  <c r="O347" i="5"/>
  <c r="O348" i="5"/>
  <c r="O349" i="5"/>
  <c r="O350" i="5"/>
  <c r="O351" i="5"/>
  <c r="O352" i="5"/>
  <c r="O353" i="5"/>
  <c r="O354" i="5"/>
  <c r="O355" i="5"/>
  <c r="O356" i="5"/>
  <c r="O357" i="5"/>
  <c r="O358" i="5"/>
  <c r="O359" i="5"/>
  <c r="O360" i="5"/>
  <c r="O361" i="5"/>
  <c r="O362" i="5"/>
  <c r="O363" i="5"/>
  <c r="O364" i="5"/>
  <c r="O365" i="5"/>
  <c r="O366" i="5"/>
  <c r="O367" i="5"/>
  <c r="O368" i="5"/>
  <c r="O369" i="5"/>
  <c r="O370" i="5"/>
  <c r="O371" i="5"/>
  <c r="O372" i="5"/>
  <c r="O373" i="5"/>
  <c r="O374" i="5"/>
  <c r="O375" i="5"/>
  <c r="O376" i="5"/>
  <c r="O377" i="5"/>
  <c r="O378" i="5"/>
  <c r="O379" i="5"/>
  <c r="O380" i="5"/>
  <c r="O381" i="5"/>
  <c r="O382" i="5"/>
  <c r="O383" i="5"/>
  <c r="O384" i="5"/>
  <c r="O385" i="5"/>
  <c r="O386" i="5"/>
  <c r="O387" i="5"/>
  <c r="O388" i="5"/>
  <c r="O389" i="5"/>
  <c r="O390" i="5"/>
  <c r="O391" i="5"/>
  <c r="O392" i="5"/>
  <c r="O393" i="5"/>
  <c r="O394" i="5"/>
  <c r="O395" i="5"/>
  <c r="O396" i="5"/>
  <c r="O397" i="5"/>
  <c r="O398" i="5"/>
  <c r="O399" i="5"/>
  <c r="O400" i="5"/>
  <c r="O401" i="5"/>
  <c r="O402" i="5"/>
  <c r="O403" i="5"/>
  <c r="O404" i="5"/>
  <c r="O405" i="5"/>
  <c r="O406" i="5"/>
  <c r="O407" i="5"/>
  <c r="O408" i="5"/>
  <c r="O409" i="5"/>
  <c r="O410" i="5"/>
  <c r="O411" i="5"/>
  <c r="O412" i="5"/>
  <c r="O413" i="5"/>
  <c r="O414" i="5"/>
  <c r="O415" i="5"/>
  <c r="O416" i="5"/>
  <c r="O417" i="5"/>
  <c r="O418" i="5"/>
  <c r="O319" i="5"/>
  <c r="O220" i="5"/>
  <c r="O221" i="5"/>
  <c r="O222" i="5"/>
  <c r="O223" i="5"/>
  <c r="O224" i="5"/>
  <c r="O225" i="5"/>
  <c r="O226" i="5"/>
  <c r="O227" i="5"/>
  <c r="O228" i="5"/>
  <c r="O229" i="5"/>
  <c r="O230" i="5"/>
  <c r="O231" i="5"/>
  <c r="O232" i="5"/>
  <c r="O233" i="5"/>
  <c r="O234" i="5"/>
  <c r="O235" i="5"/>
  <c r="O236" i="5"/>
  <c r="O237" i="5"/>
  <c r="O238" i="5"/>
  <c r="O239" i="5"/>
  <c r="O240" i="5"/>
  <c r="O241" i="5"/>
  <c r="O242" i="5"/>
  <c r="O243" i="5"/>
  <c r="O244" i="5"/>
  <c r="O245" i="5"/>
  <c r="O246" i="5"/>
  <c r="O247" i="5"/>
  <c r="O248" i="5"/>
  <c r="O249" i="5"/>
  <c r="O250" i="5"/>
  <c r="O251" i="5"/>
  <c r="O252" i="5"/>
  <c r="O253" i="5"/>
  <c r="O254" i="5"/>
  <c r="O255" i="5"/>
  <c r="O256" i="5"/>
  <c r="O257" i="5"/>
  <c r="O258" i="5"/>
  <c r="O259" i="5"/>
  <c r="O260" i="5"/>
  <c r="O261" i="5"/>
  <c r="O262" i="5"/>
  <c r="O263" i="5"/>
  <c r="O264" i="5"/>
  <c r="O265" i="5"/>
  <c r="O266" i="5"/>
  <c r="O267" i="5"/>
  <c r="O268" i="5"/>
  <c r="O269" i="5"/>
  <c r="O270" i="5"/>
  <c r="O271" i="5"/>
  <c r="O272" i="5"/>
  <c r="O273" i="5"/>
  <c r="O274" i="5"/>
  <c r="O275" i="5"/>
  <c r="O276" i="5"/>
  <c r="O277" i="5"/>
  <c r="O278" i="5"/>
  <c r="O279" i="5"/>
  <c r="O280" i="5"/>
  <c r="O281" i="5"/>
  <c r="O282" i="5"/>
  <c r="O283" i="5"/>
  <c r="O284" i="5"/>
  <c r="O285" i="5"/>
  <c r="O286" i="5"/>
  <c r="O287" i="5"/>
  <c r="O288" i="5"/>
  <c r="O289" i="5"/>
  <c r="O290" i="5"/>
  <c r="O291" i="5"/>
  <c r="O292" i="5"/>
  <c r="O293" i="5"/>
  <c r="O294" i="5"/>
  <c r="O295" i="5"/>
  <c r="O296" i="5"/>
  <c r="O297" i="5"/>
  <c r="O298" i="5"/>
  <c r="O299" i="5"/>
  <c r="O300" i="5"/>
  <c r="O301" i="5"/>
  <c r="O302" i="5"/>
  <c r="O303" i="5"/>
  <c r="O304" i="5"/>
  <c r="O305" i="5"/>
  <c r="O306" i="5"/>
  <c r="O307" i="5"/>
  <c r="O308" i="5"/>
  <c r="O309" i="5"/>
  <c r="O310" i="5"/>
  <c r="O311" i="5"/>
  <c r="O312" i="5"/>
  <c r="O313" i="5"/>
  <c r="O314" i="5"/>
  <c r="O315" i="5"/>
  <c r="O316" i="5"/>
  <c r="O317" i="5"/>
  <c r="O318" i="5"/>
  <c r="O219" i="5"/>
  <c r="O120" i="5"/>
  <c r="O121" i="5"/>
  <c r="O122" i="5"/>
  <c r="O123" i="5"/>
  <c r="O124" i="5"/>
  <c r="O125" i="5"/>
  <c r="O126" i="5"/>
  <c r="O127" i="5"/>
  <c r="O128" i="5"/>
  <c r="O129" i="5"/>
  <c r="O130" i="5"/>
  <c r="O131" i="5"/>
  <c r="O132" i="5"/>
  <c r="O133" i="5"/>
  <c r="O134" i="5"/>
  <c r="O135" i="5"/>
  <c r="O136" i="5"/>
  <c r="O137" i="5"/>
  <c r="O138" i="5"/>
  <c r="O139" i="5"/>
  <c r="O140" i="5"/>
  <c r="O141" i="5"/>
  <c r="O142" i="5"/>
  <c r="O143" i="5"/>
  <c r="O144" i="5"/>
  <c r="O145" i="5"/>
  <c r="O146" i="5"/>
  <c r="O147" i="5"/>
  <c r="O148" i="5"/>
  <c r="O149" i="5"/>
  <c r="O150" i="5"/>
  <c r="O151" i="5"/>
  <c r="O152" i="5"/>
  <c r="O153" i="5"/>
  <c r="O154" i="5"/>
  <c r="O155" i="5"/>
  <c r="O156" i="5"/>
  <c r="O157" i="5"/>
  <c r="O158" i="5"/>
  <c r="O159" i="5"/>
  <c r="O160" i="5"/>
  <c r="O161" i="5"/>
  <c r="O162" i="5"/>
  <c r="O163" i="5"/>
  <c r="O164" i="5"/>
  <c r="O165" i="5"/>
  <c r="O166" i="5"/>
  <c r="O167" i="5"/>
  <c r="O168" i="5"/>
  <c r="O169" i="5"/>
  <c r="O170" i="5"/>
  <c r="O171" i="5"/>
  <c r="O172" i="5"/>
  <c r="O173" i="5"/>
  <c r="O174" i="5"/>
  <c r="O175" i="5"/>
  <c r="O176" i="5"/>
  <c r="O177" i="5"/>
  <c r="O178" i="5"/>
  <c r="O179" i="5"/>
  <c r="O180" i="5"/>
  <c r="O181" i="5"/>
  <c r="O182" i="5"/>
  <c r="O183" i="5"/>
  <c r="O184" i="5"/>
  <c r="O185" i="5"/>
  <c r="O186" i="5"/>
  <c r="O187" i="5"/>
  <c r="O188" i="5"/>
  <c r="O189" i="5"/>
  <c r="O190" i="5"/>
  <c r="O191" i="5"/>
  <c r="O192" i="5"/>
  <c r="O193" i="5"/>
  <c r="O194" i="5"/>
  <c r="O195" i="5"/>
  <c r="O196" i="5"/>
  <c r="O197" i="5"/>
  <c r="O198" i="5"/>
  <c r="O199" i="5"/>
  <c r="O200" i="5"/>
  <c r="O201" i="5"/>
  <c r="O202" i="5"/>
  <c r="O203" i="5"/>
  <c r="O204" i="5"/>
  <c r="O205" i="5"/>
  <c r="O206" i="5"/>
  <c r="O207" i="5"/>
  <c r="O208" i="5"/>
  <c r="O209" i="5"/>
  <c r="O210" i="5"/>
  <c r="O211" i="5"/>
  <c r="O212" i="5"/>
  <c r="O213" i="5"/>
  <c r="O214" i="5"/>
  <c r="O215" i="5"/>
  <c r="O216" i="5"/>
  <c r="O217" i="5"/>
  <c r="O218" i="5"/>
  <c r="O119" i="5"/>
  <c r="O20" i="5"/>
  <c r="O21" i="5"/>
  <c r="O22" i="5"/>
  <c r="O23" i="5"/>
  <c r="O24" i="5"/>
  <c r="O25" i="5"/>
  <c r="O26" i="5"/>
  <c r="O27" i="5"/>
  <c r="O28" i="5"/>
  <c r="O29" i="5"/>
  <c r="O30" i="5"/>
  <c r="O31" i="5"/>
  <c r="O32" i="5"/>
  <c r="O33" i="5"/>
  <c r="O34" i="5"/>
  <c r="O35" i="5"/>
  <c r="O36" i="5"/>
  <c r="O37" i="5"/>
  <c r="O38" i="5"/>
  <c r="O39" i="5"/>
  <c r="O40" i="5"/>
  <c r="O41" i="5"/>
  <c r="O42" i="5"/>
  <c r="O43" i="5"/>
  <c r="O44" i="5"/>
  <c r="O45" i="5"/>
  <c r="O46" i="5"/>
  <c r="O47" i="5"/>
  <c r="O48" i="5"/>
  <c r="O49" i="5"/>
  <c r="O50" i="5"/>
  <c r="O51" i="5"/>
  <c r="O52" i="5"/>
  <c r="O53" i="5"/>
  <c r="O54" i="5"/>
  <c r="O55" i="5"/>
  <c r="O56" i="5"/>
  <c r="O57" i="5"/>
  <c r="O58" i="5"/>
  <c r="O59" i="5"/>
  <c r="O60" i="5"/>
  <c r="O61" i="5"/>
  <c r="O62" i="5"/>
  <c r="O63" i="5"/>
  <c r="O64" i="5"/>
  <c r="O65" i="5"/>
  <c r="O66" i="5"/>
  <c r="O67" i="5"/>
  <c r="O68" i="5"/>
  <c r="O69" i="5"/>
  <c r="O70" i="5"/>
  <c r="O71" i="5"/>
  <c r="O72" i="5"/>
  <c r="O73" i="5"/>
  <c r="O74" i="5"/>
  <c r="O75" i="5"/>
  <c r="O76" i="5"/>
  <c r="O77" i="5"/>
  <c r="O78" i="5"/>
  <c r="O79" i="5"/>
  <c r="O80" i="5"/>
  <c r="O81" i="5"/>
  <c r="O82" i="5"/>
  <c r="O83" i="5"/>
  <c r="O84" i="5"/>
  <c r="O85" i="5"/>
  <c r="O86" i="5"/>
  <c r="O87" i="5"/>
  <c r="O88" i="5"/>
  <c r="O89" i="5"/>
  <c r="O90" i="5"/>
  <c r="O91" i="5"/>
  <c r="O92" i="5"/>
  <c r="O93" i="5"/>
  <c r="O94" i="5"/>
  <c r="O95" i="5"/>
  <c r="O96" i="5"/>
  <c r="O97" i="5"/>
  <c r="O98" i="5"/>
  <c r="O99" i="5"/>
  <c r="O100" i="5"/>
  <c r="O101" i="5"/>
  <c r="O102" i="5"/>
  <c r="O103" i="5"/>
  <c r="O104" i="5"/>
  <c r="O105" i="5"/>
  <c r="O106" i="5"/>
  <c r="O107" i="5"/>
  <c r="O108" i="5"/>
  <c r="O109" i="5"/>
  <c r="O110" i="5"/>
  <c r="O111" i="5"/>
  <c r="O112" i="5"/>
  <c r="O113" i="5"/>
  <c r="O114" i="5"/>
  <c r="O115" i="5"/>
  <c r="O116" i="5"/>
  <c r="O117" i="5"/>
  <c r="O118" i="5"/>
  <c r="O19" i="5"/>
  <c r="B205" i="2"/>
  <c r="O7" i="5"/>
  <c r="B30" i="5"/>
  <c r="B145" i="2"/>
  <c r="B56" i="5" s="1"/>
  <c r="B147" i="2"/>
  <c r="B57" i="5" s="1"/>
  <c r="B225" i="2"/>
  <c r="B227" i="2"/>
  <c r="B60" i="5" s="1"/>
  <c r="B223" i="2"/>
  <c r="B27" i="5"/>
  <c r="B111" i="2"/>
  <c r="B110" i="2"/>
  <c r="B96" i="2"/>
  <c r="B90" i="2"/>
  <c r="B25" i="5" s="1"/>
  <c r="B26" i="3"/>
  <c r="B28" i="5" s="1"/>
  <c r="B26" i="5"/>
  <c r="B48" i="2"/>
  <c r="B22" i="3"/>
  <c r="B30" i="2"/>
  <c r="B14" i="3"/>
  <c r="B10" i="3"/>
  <c r="B9" i="2"/>
  <c r="B12" i="5" s="1"/>
  <c r="B19" i="2"/>
  <c r="J49" i="5"/>
  <c r="B106" i="2"/>
  <c r="B11" i="5"/>
  <c r="B4" i="8"/>
  <c r="B19" i="5"/>
  <c r="AT59" i="4"/>
  <c r="AT56" i="4"/>
  <c r="B16" i="5"/>
  <c r="P15" i="5" s="1"/>
  <c r="O9" i="4"/>
  <c r="T8" i="4" l="1"/>
  <c r="H54" i="1"/>
  <c r="B135" i="2" s="1"/>
  <c r="B45" i="5"/>
  <c r="R46" i="4"/>
  <c r="R85" i="4"/>
  <c r="R63" i="4"/>
  <c r="R43" i="4"/>
  <c r="R96" i="4"/>
  <c r="R84" i="4"/>
  <c r="R62" i="4"/>
  <c r="R42" i="4"/>
  <c r="R107" i="4"/>
  <c r="R95" i="4"/>
  <c r="R83" i="4"/>
  <c r="R59" i="4"/>
  <c r="R37" i="4"/>
  <c r="T62" i="4"/>
  <c r="B48" i="5"/>
  <c r="B207" i="2"/>
  <c r="B210" i="2" s="1"/>
  <c r="R29" i="4"/>
  <c r="B11" i="2"/>
  <c r="H14" i="1" s="1"/>
  <c r="R21" i="4"/>
  <c r="B170" i="2"/>
  <c r="M8" i="4"/>
  <c r="T12" i="4"/>
  <c r="AT12" i="4" s="1"/>
  <c r="T417" i="5"/>
  <c r="V417" i="5" s="1"/>
  <c r="B129" i="2"/>
  <c r="O8" i="5"/>
  <c r="AT9" i="4"/>
  <c r="B127" i="2"/>
  <c r="H48" i="1" s="1"/>
  <c r="B13" i="5"/>
  <c r="B51" i="5"/>
  <c r="B176" i="2"/>
  <c r="B173" i="2"/>
  <c r="AT62" i="4"/>
  <c r="AT8" i="4"/>
  <c r="T139" i="4"/>
  <c r="AT139" i="4" s="1"/>
  <c r="T122" i="4"/>
  <c r="AT122" i="4" s="1"/>
  <c r="T138" i="4"/>
  <c r="AT138" i="4" s="1"/>
  <c r="T123" i="4"/>
  <c r="AT123" i="4" s="1"/>
  <c r="T154" i="4"/>
  <c r="AT154" i="4" s="1"/>
  <c r="T151" i="4"/>
  <c r="AT151" i="4" s="1"/>
  <c r="T146" i="4"/>
  <c r="AT146" i="4" s="1"/>
  <c r="T143" i="4"/>
  <c r="AT143" i="4" s="1"/>
  <c r="T134" i="4"/>
  <c r="AT134" i="4" s="1"/>
  <c r="T127" i="4"/>
  <c r="AT127" i="4" s="1"/>
  <c r="T118" i="4"/>
  <c r="AT118" i="4" s="1"/>
  <c r="T100" i="4"/>
  <c r="AT100" i="4" s="1"/>
  <c r="T93" i="4"/>
  <c r="AT93" i="4" s="1"/>
  <c r="T46" i="4"/>
  <c r="AT46" i="4" s="1"/>
  <c r="T40" i="4"/>
  <c r="AT40" i="4" s="1"/>
  <c r="T22" i="4"/>
  <c r="AT22" i="4" s="1"/>
  <c r="T155" i="4"/>
  <c r="AT155" i="4" s="1"/>
  <c r="T150" i="4"/>
  <c r="AT150" i="4" s="1"/>
  <c r="T147" i="4"/>
  <c r="AT147" i="4" s="1"/>
  <c r="T109" i="4"/>
  <c r="AT109" i="4" s="1"/>
  <c r="T84" i="4"/>
  <c r="AT84" i="4" s="1"/>
  <c r="T80" i="4"/>
  <c r="AT80" i="4" s="1"/>
  <c r="T76" i="4"/>
  <c r="AT76" i="4" s="1"/>
  <c r="T43" i="4"/>
  <c r="AT43" i="4" s="1"/>
  <c r="T37" i="4"/>
  <c r="AT37" i="4" s="1"/>
  <c r="T19" i="4"/>
  <c r="AT19" i="4" s="1"/>
  <c r="T7" i="4"/>
  <c r="AT7" i="4" s="1"/>
  <c r="T132" i="4"/>
  <c r="AT132" i="4" s="1"/>
  <c r="T129" i="4"/>
  <c r="AT129" i="4" s="1"/>
  <c r="T116" i="4"/>
  <c r="AT116" i="4" s="1"/>
  <c r="T113" i="4"/>
  <c r="AT113" i="4" s="1"/>
  <c r="T107" i="4"/>
  <c r="AT107" i="4" s="1"/>
  <c r="T91" i="4"/>
  <c r="AT91" i="4" s="1"/>
  <c r="T74" i="4"/>
  <c r="AT74" i="4" s="1"/>
  <c r="T64" i="4"/>
  <c r="AT64" i="4" s="1"/>
  <c r="T51" i="4"/>
  <c r="AT51" i="4" s="1"/>
  <c r="T33" i="4"/>
  <c r="AT33" i="4" s="1"/>
  <c r="T141" i="4"/>
  <c r="AT141" i="4" s="1"/>
  <c r="T136" i="4"/>
  <c r="AT136" i="4" s="1"/>
  <c r="T125" i="4"/>
  <c r="AT125" i="4" s="1"/>
  <c r="T120" i="4"/>
  <c r="AT120" i="4" s="1"/>
  <c r="T102" i="4"/>
  <c r="AT102" i="4" s="1"/>
  <c r="T86" i="4"/>
  <c r="AT86" i="4" s="1"/>
  <c r="T67" i="4"/>
  <c r="AT67" i="4" s="1"/>
  <c r="T54" i="4"/>
  <c r="AT54" i="4" s="1"/>
  <c r="T48" i="4"/>
  <c r="AT48" i="4" s="1"/>
  <c r="T26" i="4"/>
  <c r="AT26" i="4" s="1"/>
  <c r="T15" i="4"/>
  <c r="AT15" i="4" s="1"/>
  <c r="B64" i="5"/>
  <c r="AT56" i="5" s="1"/>
  <c r="AT61" i="5"/>
  <c r="AV61" i="5" s="1"/>
  <c r="B139" i="2"/>
  <c r="H56" i="1"/>
  <c r="B138" i="2"/>
  <c r="B141" i="2"/>
  <c r="B140" i="2"/>
  <c r="B10" i="5"/>
  <c r="AT62" i="5"/>
  <c r="AT52" i="5"/>
  <c r="AT115" i="5"/>
  <c r="AT156" i="5"/>
  <c r="AT84" i="5"/>
  <c r="AT183" i="5"/>
  <c r="AT295" i="5"/>
  <c r="AT246" i="5"/>
  <c r="AT311" i="5"/>
  <c r="AT271" i="5"/>
  <c r="AT39" i="5"/>
  <c r="AT54" i="5"/>
  <c r="AT66" i="5"/>
  <c r="AT165" i="5"/>
  <c r="AT175" i="5"/>
  <c r="AT218" i="5"/>
  <c r="AT229" i="5"/>
  <c r="AT233" i="5"/>
  <c r="AT273" i="5"/>
  <c r="AT324" i="5"/>
  <c r="B165" i="2"/>
  <c r="T7" i="5" s="1"/>
  <c r="B119" i="2"/>
  <c r="H43" i="1" s="1"/>
  <c r="AT30" i="5"/>
  <c r="AT29" i="5"/>
  <c r="B63" i="5"/>
  <c r="AZ20" i="5" s="1"/>
  <c r="B58" i="5"/>
  <c r="B65" i="5"/>
  <c r="AW7" i="5" s="1"/>
  <c r="T156" i="4"/>
  <c r="AT156" i="4" s="1"/>
  <c r="T152" i="4"/>
  <c r="AT152" i="4" s="1"/>
  <c r="T148" i="4"/>
  <c r="AT148" i="4" s="1"/>
  <c r="T144" i="4"/>
  <c r="AT144" i="4" s="1"/>
  <c r="T137" i="4"/>
  <c r="AT137" i="4" s="1"/>
  <c r="T135" i="4"/>
  <c r="AT135" i="4" s="1"/>
  <c r="T130" i="4"/>
  <c r="AT130" i="4" s="1"/>
  <c r="T128" i="4"/>
  <c r="AT128" i="4" s="1"/>
  <c r="T121" i="4"/>
  <c r="AT121" i="4" s="1"/>
  <c r="T119" i="4"/>
  <c r="AT119" i="4" s="1"/>
  <c r="T114" i="4"/>
  <c r="AT114" i="4" s="1"/>
  <c r="T112" i="4"/>
  <c r="AT112" i="4" s="1"/>
  <c r="T105" i="4"/>
  <c r="AT105" i="4" s="1"/>
  <c r="T103" i="4"/>
  <c r="AT103" i="4" s="1"/>
  <c r="T98" i="4"/>
  <c r="AT98" i="4" s="1"/>
  <c r="T96" i="4"/>
  <c r="AT96" i="4" s="1"/>
  <c r="T89" i="4"/>
  <c r="AT89" i="4" s="1"/>
  <c r="T87" i="4"/>
  <c r="AT87" i="4" s="1"/>
  <c r="T82" i="4"/>
  <c r="AT82" i="4" s="1"/>
  <c r="T78" i="4"/>
  <c r="AT78" i="4" s="1"/>
  <c r="T73" i="4"/>
  <c r="AT73" i="4" s="1"/>
  <c r="T66" i="4"/>
  <c r="AT66" i="4" s="1"/>
  <c r="T61" i="4"/>
  <c r="AT61" i="4" s="1"/>
  <c r="T53" i="4"/>
  <c r="AT53" i="4" s="1"/>
  <c r="T45" i="4"/>
  <c r="AT45" i="4" s="1"/>
  <c r="T39" i="4"/>
  <c r="AT39" i="4" s="1"/>
  <c r="T36" i="4"/>
  <c r="AT36" i="4" s="1"/>
  <c r="T32" i="4"/>
  <c r="AT32" i="4" s="1"/>
  <c r="T29" i="4"/>
  <c r="AT29" i="4" s="1"/>
  <c r="T25" i="4"/>
  <c r="AT25" i="4" s="1"/>
  <c r="T18" i="4"/>
  <c r="AT18" i="4" s="1"/>
  <c r="T14" i="4"/>
  <c r="AT14" i="4" s="1"/>
  <c r="T11" i="4"/>
  <c r="AT11" i="4" s="1"/>
  <c r="T157" i="4"/>
  <c r="AT157" i="4" s="1"/>
  <c r="T153" i="4"/>
  <c r="AT153" i="4" s="1"/>
  <c r="T149" i="4"/>
  <c r="AT149" i="4" s="1"/>
  <c r="T145" i="4"/>
  <c r="AT145" i="4" s="1"/>
  <c r="T142" i="4"/>
  <c r="AT142" i="4" s="1"/>
  <c r="T140" i="4"/>
  <c r="AT140" i="4" s="1"/>
  <c r="T133" i="4"/>
  <c r="AT133" i="4" s="1"/>
  <c r="T131" i="4"/>
  <c r="AT131" i="4" s="1"/>
  <c r="T126" i="4"/>
  <c r="AT126" i="4" s="1"/>
  <c r="T124" i="4"/>
  <c r="AT124" i="4" s="1"/>
  <c r="T117" i="4"/>
  <c r="AT117" i="4" s="1"/>
  <c r="T115" i="4"/>
  <c r="AT115" i="4" s="1"/>
  <c r="T110" i="4"/>
  <c r="AT110" i="4" s="1"/>
  <c r="T108" i="4"/>
  <c r="AT108" i="4" s="1"/>
  <c r="T101" i="4"/>
  <c r="AT101" i="4" s="1"/>
  <c r="T99" i="4"/>
  <c r="AT99" i="4" s="1"/>
  <c r="T94" i="4"/>
  <c r="AT94" i="4" s="1"/>
  <c r="T92" i="4"/>
  <c r="AT92" i="4" s="1"/>
  <c r="T85" i="4"/>
  <c r="AT85" i="4" s="1"/>
  <c r="T83" i="4"/>
  <c r="AT83" i="4" s="1"/>
  <c r="T81" i="4"/>
  <c r="AT81" i="4" s="1"/>
  <c r="T77" i="4"/>
  <c r="AT77" i="4" s="1"/>
  <c r="T75" i="4"/>
  <c r="AT75" i="4" s="1"/>
  <c r="T72" i="4"/>
  <c r="AT72" i="4" s="1"/>
  <c r="T69" i="4"/>
  <c r="AT69" i="4" s="1"/>
  <c r="T65" i="4"/>
  <c r="AT65" i="4" s="1"/>
  <c r="T63" i="4"/>
  <c r="AT63" i="4" s="1"/>
  <c r="T60" i="4"/>
  <c r="AT60" i="4" s="1"/>
  <c r="T58" i="4"/>
  <c r="AT58" i="4" s="1"/>
  <c r="T55" i="4"/>
  <c r="AT55" i="4" s="1"/>
  <c r="T52" i="4"/>
  <c r="AT52" i="4" s="1"/>
  <c r="T50" i="4"/>
  <c r="AT50" i="4" s="1"/>
  <c r="T47" i="4"/>
  <c r="AT47" i="4" s="1"/>
  <c r="T44" i="4"/>
  <c r="AT44" i="4" s="1"/>
  <c r="T42" i="4"/>
  <c r="AT42" i="4" s="1"/>
  <c r="T38" i="4"/>
  <c r="AT38" i="4" s="1"/>
  <c r="T35" i="4"/>
  <c r="AT35" i="4" s="1"/>
  <c r="T31" i="4"/>
  <c r="AT31" i="4" s="1"/>
  <c r="T28" i="4"/>
  <c r="AT28" i="4" s="1"/>
  <c r="T24" i="4"/>
  <c r="AT24" i="4" s="1"/>
  <c r="T21" i="4"/>
  <c r="AT21" i="4" s="1"/>
  <c r="T17" i="4"/>
  <c r="AT17" i="4" s="1"/>
  <c r="T111" i="4"/>
  <c r="AT111" i="4" s="1"/>
  <c r="T106" i="4"/>
  <c r="AT106" i="4" s="1"/>
  <c r="T104" i="4"/>
  <c r="AT104" i="4" s="1"/>
  <c r="T97" i="4"/>
  <c r="AT97" i="4" s="1"/>
  <c r="T95" i="4"/>
  <c r="AT95" i="4" s="1"/>
  <c r="T90" i="4"/>
  <c r="AT90" i="4" s="1"/>
  <c r="T88" i="4"/>
  <c r="AT88" i="4" s="1"/>
  <c r="T79" i="4"/>
  <c r="AT79" i="4" s="1"/>
  <c r="T71" i="4"/>
  <c r="AT71" i="4" s="1"/>
  <c r="T68" i="4"/>
  <c r="AT68" i="4" s="1"/>
  <c r="T57" i="4"/>
  <c r="AT57" i="4" s="1"/>
  <c r="T49" i="4"/>
  <c r="AT49" i="4" s="1"/>
  <c r="T41" i="4"/>
  <c r="AT41" i="4" s="1"/>
  <c r="T34" i="4"/>
  <c r="AT34" i="4" s="1"/>
  <c r="T30" i="4"/>
  <c r="AT30" i="4" s="1"/>
  <c r="T27" i="4"/>
  <c r="AT27" i="4" s="1"/>
  <c r="T23" i="4"/>
  <c r="AT23" i="4" s="1"/>
  <c r="T20" i="4"/>
  <c r="AT20" i="4" s="1"/>
  <c r="T16" i="4"/>
  <c r="AT16" i="4" s="1"/>
  <c r="T13" i="4"/>
  <c r="AT13" i="4" s="1"/>
  <c r="T10" i="4"/>
  <c r="AT10" i="4" s="1"/>
  <c r="R72" i="4"/>
  <c r="R70" i="4"/>
  <c r="R68" i="4"/>
  <c r="R66" i="4"/>
  <c r="R23" i="4"/>
  <c r="R71" i="4"/>
  <c r="R67" i="4"/>
  <c r="R31" i="4"/>
  <c r="R8" i="4"/>
  <c r="B32" i="2"/>
  <c r="B33" i="2" s="1"/>
  <c r="R38" i="4"/>
  <c r="R33" i="4"/>
  <c r="R25" i="4"/>
  <c r="R17" i="4"/>
  <c r="R12" i="4"/>
  <c r="R40" i="4"/>
  <c r="R35" i="4"/>
  <c r="R27" i="4"/>
  <c r="R19" i="4"/>
  <c r="K8" i="2"/>
  <c r="B166" i="2"/>
  <c r="B199" i="2"/>
  <c r="B200" i="2" s="1"/>
  <c r="B46" i="5"/>
  <c r="T8" i="5"/>
  <c r="T38" i="5"/>
  <c r="T24" i="5"/>
  <c r="U24" i="5" s="1"/>
  <c r="T32" i="5"/>
  <c r="V32" i="5" s="1"/>
  <c r="T22" i="5"/>
  <c r="U22" i="5" s="1"/>
  <c r="T43" i="5"/>
  <c r="T41" i="5"/>
  <c r="T64" i="5"/>
  <c r="T30" i="5"/>
  <c r="T56" i="5"/>
  <c r="U56" i="5" s="1"/>
  <c r="T67" i="5"/>
  <c r="T63" i="5"/>
  <c r="V63" i="5" s="1"/>
  <c r="T76" i="5"/>
  <c r="T57" i="5"/>
  <c r="T89" i="5"/>
  <c r="V89" i="5" s="1"/>
  <c r="T82" i="5"/>
  <c r="U82" i="5" s="1"/>
  <c r="T98" i="5"/>
  <c r="T105" i="5"/>
  <c r="T83" i="5"/>
  <c r="T91" i="5"/>
  <c r="U91" i="5" s="1"/>
  <c r="T37" i="5"/>
  <c r="V37" i="5" s="1"/>
  <c r="T121" i="5"/>
  <c r="T136" i="5"/>
  <c r="U136" i="5" s="1"/>
  <c r="T155" i="5"/>
  <c r="T106" i="5"/>
  <c r="T117" i="5"/>
  <c r="T131" i="5"/>
  <c r="T151" i="5"/>
  <c r="T114" i="5"/>
  <c r="T130" i="5"/>
  <c r="U130" i="5" s="1"/>
  <c r="T146" i="5"/>
  <c r="U146" i="5" s="1"/>
  <c r="T134" i="5"/>
  <c r="V134" i="5" s="1"/>
  <c r="T171" i="5"/>
  <c r="T181" i="5"/>
  <c r="V181" i="5" s="1"/>
  <c r="T118" i="5"/>
  <c r="T169" i="5"/>
  <c r="T79" i="5"/>
  <c r="T161" i="5"/>
  <c r="T183" i="5"/>
  <c r="V183" i="5" s="1"/>
  <c r="T190" i="5"/>
  <c r="T201" i="5"/>
  <c r="U201" i="5" s="1"/>
  <c r="T188" i="5"/>
  <c r="T203" i="5"/>
  <c r="U203" i="5" s="1"/>
  <c r="T211" i="5"/>
  <c r="T223" i="5"/>
  <c r="T239" i="5"/>
  <c r="T150" i="5"/>
  <c r="T199" i="5"/>
  <c r="V199" i="5" s="1"/>
  <c r="T222" i="5"/>
  <c r="U222" i="5" s="1"/>
  <c r="T242" i="5"/>
  <c r="U242" i="5" s="1"/>
  <c r="T174" i="5"/>
  <c r="T207" i="5"/>
  <c r="T221" i="5"/>
  <c r="T235" i="5"/>
  <c r="U235" i="5" s="1"/>
  <c r="T176" i="5"/>
  <c r="T252" i="5"/>
  <c r="T260" i="5"/>
  <c r="T273" i="5"/>
  <c r="T279" i="5"/>
  <c r="U279" i="5" s="1"/>
  <c r="T301" i="5"/>
  <c r="V301" i="5" s="1"/>
  <c r="T318" i="5"/>
  <c r="V318" i="5" s="1"/>
  <c r="T334" i="5"/>
  <c r="T250" i="5"/>
  <c r="T276" i="5"/>
  <c r="T44" i="5"/>
  <c r="T26" i="5"/>
  <c r="T39" i="5"/>
  <c r="T34" i="5"/>
  <c r="T47" i="5"/>
  <c r="T52" i="5"/>
  <c r="T70" i="5"/>
  <c r="T33" i="5"/>
  <c r="T59" i="5"/>
  <c r="T35" i="5"/>
  <c r="T66" i="5"/>
  <c r="T80" i="5"/>
  <c r="T61" i="5"/>
  <c r="T92" i="5"/>
  <c r="T94" i="5"/>
  <c r="T69" i="5"/>
  <c r="T107" i="5"/>
  <c r="T85" i="5"/>
  <c r="T101" i="5"/>
  <c r="T87" i="5"/>
  <c r="T126" i="5"/>
  <c r="T139" i="5"/>
  <c r="T84" i="5"/>
  <c r="T109" i="5"/>
  <c r="T123" i="5"/>
  <c r="T137" i="5"/>
  <c r="T156" i="5"/>
  <c r="T115" i="5"/>
  <c r="T138" i="5"/>
  <c r="T152" i="5"/>
  <c r="T149" i="5"/>
  <c r="T173" i="5"/>
  <c r="T187" i="5"/>
  <c r="T133" i="5"/>
  <c r="T170" i="5"/>
  <c r="T100" i="5"/>
  <c r="T172" i="5"/>
  <c r="T185" i="5"/>
  <c r="T194" i="5"/>
  <c r="T204" i="5"/>
  <c r="T196" i="5"/>
  <c r="T205" i="5"/>
  <c r="T215" i="5"/>
  <c r="T224" i="5"/>
  <c r="T245" i="5"/>
  <c r="T159" i="5"/>
  <c r="T212" i="5"/>
  <c r="T229" i="5"/>
  <c r="T243" i="5"/>
  <c r="T180" i="5"/>
  <c r="T210" i="5"/>
  <c r="T225" i="5"/>
  <c r="T236" i="5"/>
  <c r="T241" i="5"/>
  <c r="T254" i="5"/>
  <c r="T263" i="5"/>
  <c r="T274" i="5"/>
  <c r="T282" i="5"/>
  <c r="T306" i="5"/>
  <c r="T322" i="5"/>
  <c r="T135" i="5"/>
  <c r="T251" i="5"/>
  <c r="T284" i="5"/>
  <c r="T299" i="5"/>
  <c r="T316" i="5"/>
  <c r="T331" i="5"/>
  <c r="T246" i="5"/>
  <c r="T261" i="5"/>
  <c r="T271" i="5"/>
  <c r="T293" i="5"/>
  <c r="T303" i="5"/>
  <c r="T320" i="5"/>
  <c r="T335" i="5"/>
  <c r="T356" i="5"/>
  <c r="T283" i="5"/>
  <c r="T315" i="5"/>
  <c r="T345" i="5"/>
  <c r="T364" i="5"/>
  <c r="T381" i="5"/>
  <c r="T400" i="5"/>
  <c r="T415" i="5"/>
  <c r="T429" i="5"/>
  <c r="T214" i="5"/>
  <c r="T341" i="5"/>
  <c r="T375" i="5"/>
  <c r="T386" i="5"/>
  <c r="T407" i="5"/>
  <c r="T195" i="5"/>
  <c r="T294" i="5"/>
  <c r="T348" i="5"/>
  <c r="T363" i="5"/>
  <c r="T382" i="5"/>
  <c r="T399" i="5"/>
  <c r="T411" i="5"/>
  <c r="T324" i="5"/>
  <c r="T428" i="5"/>
  <c r="T443" i="5"/>
  <c r="T458" i="5"/>
  <c r="T478" i="5"/>
  <c r="T499" i="5"/>
  <c r="T513" i="5"/>
  <c r="T532" i="5"/>
  <c r="T347" i="5"/>
  <c r="T438" i="5"/>
  <c r="T456" i="5"/>
  <c r="T468" i="5"/>
  <c r="T480" i="5"/>
  <c r="T498" i="5"/>
  <c r="T504" i="5"/>
  <c r="T29" i="5"/>
  <c r="T31" i="5"/>
  <c r="T40" i="5"/>
  <c r="T54" i="5"/>
  <c r="T51" i="5"/>
  <c r="T58" i="5"/>
  <c r="T77" i="5"/>
  <c r="T81" i="5"/>
  <c r="T102" i="5"/>
  <c r="T90" i="5"/>
  <c r="T113" i="5"/>
  <c r="T147" i="5"/>
  <c r="T116" i="5"/>
  <c r="T148" i="5"/>
  <c r="T122" i="5"/>
  <c r="T128" i="5"/>
  <c r="T178" i="5"/>
  <c r="T163" i="5"/>
  <c r="T158" i="5"/>
  <c r="T189" i="5"/>
  <c r="T164" i="5"/>
  <c r="T209" i="5"/>
  <c r="T234" i="5"/>
  <c r="T193" i="5"/>
  <c r="T238" i="5"/>
  <c r="T192" i="5"/>
  <c r="T233" i="5"/>
  <c r="T249" i="5"/>
  <c r="T270" i="5"/>
  <c r="T295" i="5"/>
  <c r="T332" i="5"/>
  <c r="T266" i="5"/>
  <c r="T302" i="5"/>
  <c r="T325" i="5"/>
  <c r="T231" i="5"/>
  <c r="U231" i="5" s="1"/>
  <c r="T264" i="5"/>
  <c r="T285" i="5"/>
  <c r="T300" i="5"/>
  <c r="V300" i="5" s="1"/>
  <c r="T321" i="5"/>
  <c r="T349" i="5"/>
  <c r="T280" i="5"/>
  <c r="T329" i="5"/>
  <c r="T359" i="5"/>
  <c r="T378" i="5"/>
  <c r="T403" i="5"/>
  <c r="T421" i="5"/>
  <c r="T437" i="5"/>
  <c r="T369" i="5"/>
  <c r="T380" i="5"/>
  <c r="T396" i="5"/>
  <c r="V396" i="5" s="1"/>
  <c r="T228" i="5"/>
  <c r="T336" i="5"/>
  <c r="T361" i="5"/>
  <c r="T383" i="5"/>
  <c r="T404" i="5"/>
  <c r="T287" i="5"/>
  <c r="V287" i="5" s="1"/>
  <c r="T430" i="5"/>
  <c r="T448" i="5"/>
  <c r="T472" i="5"/>
  <c r="T505" i="5"/>
  <c r="T516" i="5"/>
  <c r="T339" i="5"/>
  <c r="T442" i="5"/>
  <c r="T462" i="5"/>
  <c r="T475" i="5"/>
  <c r="U475" i="5" s="1"/>
  <c r="T500" i="5"/>
  <c r="T512" i="5"/>
  <c r="T522" i="5"/>
  <c r="T368" i="5"/>
  <c r="T398" i="5"/>
  <c r="T422" i="5"/>
  <c r="T439" i="5"/>
  <c r="T457" i="5"/>
  <c r="T470" i="5"/>
  <c r="T486" i="5"/>
  <c r="T493" i="5"/>
  <c r="T526" i="5"/>
  <c r="T557" i="5"/>
  <c r="T344" i="5"/>
  <c r="T465" i="5"/>
  <c r="T536" i="5"/>
  <c r="T545" i="5"/>
  <c r="T554" i="5"/>
  <c r="T406" i="5"/>
  <c r="T490" i="5"/>
  <c r="T524" i="5"/>
  <c r="T552" i="5"/>
  <c r="T440" i="5"/>
  <c r="T535" i="5"/>
  <c r="T559" i="5"/>
  <c r="T469" i="5"/>
  <c r="T502" i="5"/>
  <c r="T19" i="5"/>
  <c r="T46" i="5"/>
  <c r="T42" i="5"/>
  <c r="T48" i="5"/>
  <c r="T20" i="5"/>
  <c r="T62" i="5"/>
  <c r="T68" i="5"/>
  <c r="T73" i="5"/>
  <c r="T96" i="5"/>
  <c r="T60" i="5"/>
  <c r="T108" i="5"/>
  <c r="T127" i="5"/>
  <c r="T99" i="5"/>
  <c r="T124" i="5"/>
  <c r="T75" i="5"/>
  <c r="T143" i="5"/>
  <c r="T165" i="5"/>
  <c r="T86" i="5"/>
  <c r="T182" i="5"/>
  <c r="T175" i="5"/>
  <c r="T197" i="5"/>
  <c r="T200" i="5"/>
  <c r="T218" i="5"/>
  <c r="T120" i="5"/>
  <c r="T216" i="5"/>
  <c r="T157" i="5"/>
  <c r="T213" i="5"/>
  <c r="T240" i="5"/>
  <c r="T255" i="5"/>
  <c r="T277" i="5"/>
  <c r="T308" i="5"/>
  <c r="T237" i="5"/>
  <c r="T288" i="5"/>
  <c r="T311" i="5"/>
  <c r="T328" i="5"/>
  <c r="T253" i="5"/>
  <c r="T268" i="5"/>
  <c r="T290" i="5"/>
  <c r="U290" i="5" s="1"/>
  <c r="T305" i="5"/>
  <c r="T326" i="5"/>
  <c r="T354" i="5"/>
  <c r="T286" i="5"/>
  <c r="T337" i="5"/>
  <c r="T362" i="5"/>
  <c r="V362" i="5" s="1"/>
  <c r="T387" i="5"/>
  <c r="T405" i="5"/>
  <c r="T424" i="5"/>
  <c r="T247" i="5"/>
  <c r="T371" i="5"/>
  <c r="T385" i="5"/>
  <c r="T409" i="5"/>
  <c r="T272" i="5"/>
  <c r="T340" i="5"/>
  <c r="T21" i="5"/>
  <c r="T45" i="5"/>
  <c r="T49" i="5"/>
  <c r="T23" i="5"/>
  <c r="T65" i="5"/>
  <c r="T71" i="5"/>
  <c r="T78" i="5"/>
  <c r="T97" i="5"/>
  <c r="T72" i="5"/>
  <c r="T110" i="5"/>
  <c r="T132" i="5"/>
  <c r="T103" i="5"/>
  <c r="T129" i="5"/>
  <c r="T104" i="5"/>
  <c r="T145" i="5"/>
  <c r="T167" i="5"/>
  <c r="T111" i="5"/>
  <c r="T184" i="5"/>
  <c r="T179" i="5"/>
  <c r="T198" i="5"/>
  <c r="T202" i="5"/>
  <c r="T220" i="5"/>
  <c r="T144" i="5"/>
  <c r="T217" i="5"/>
  <c r="T168" i="5"/>
  <c r="T219" i="5"/>
  <c r="T153" i="5"/>
  <c r="T257" i="5"/>
  <c r="T278" i="5"/>
  <c r="T314" i="5"/>
  <c r="T244" i="5"/>
  <c r="T291" i="5"/>
  <c r="T313" i="5"/>
  <c r="V313" i="5" s="1"/>
  <c r="T160" i="5"/>
  <c r="T256" i="5"/>
  <c r="T269" i="5"/>
  <c r="T296" i="5"/>
  <c r="T307" i="5"/>
  <c r="T330" i="5"/>
  <c r="T262" i="5"/>
  <c r="T309" i="5"/>
  <c r="T342" i="5"/>
  <c r="U342" i="5" s="1"/>
  <c r="T366" i="5"/>
  <c r="T390" i="5"/>
  <c r="T410" i="5"/>
  <c r="T433" i="5"/>
  <c r="T297" i="5"/>
  <c r="T372" i="5"/>
  <c r="U372" i="5" s="1"/>
  <c r="T389" i="5"/>
  <c r="T418" i="5"/>
  <c r="T275" i="5"/>
  <c r="U275" i="5" s="1"/>
  <c r="T353" i="5"/>
  <c r="T373" i="5"/>
  <c r="T392" i="5"/>
  <c r="T414" i="5"/>
  <c r="T53" i="5"/>
  <c r="T25" i="5"/>
  <c r="T141" i="5"/>
  <c r="T125" i="5"/>
  <c r="T186" i="5"/>
  <c r="T166" i="5"/>
  <c r="T248" i="5"/>
  <c r="T258" i="5"/>
  <c r="T259" i="5"/>
  <c r="T343" i="5"/>
  <c r="T367" i="5"/>
  <c r="T317" i="5"/>
  <c r="T319" i="5"/>
  <c r="T388" i="5"/>
  <c r="T357" i="5"/>
  <c r="T441" i="5"/>
  <c r="T466" i="5"/>
  <c r="T507" i="5"/>
  <c r="T533" i="5"/>
  <c r="T431" i="5"/>
  <c r="T464" i="5"/>
  <c r="U464" i="5" s="1"/>
  <c r="T485" i="5"/>
  <c r="T511" i="5"/>
  <c r="T333" i="5"/>
  <c r="T377" i="5"/>
  <c r="T416" i="5"/>
  <c r="T446" i="5"/>
  <c r="T463" i="5"/>
  <c r="T482" i="5"/>
  <c r="T495" i="5"/>
  <c r="U495" i="5" s="1"/>
  <c r="T538" i="5"/>
  <c r="T338" i="5"/>
  <c r="T484" i="5"/>
  <c r="U484" i="5" s="1"/>
  <c r="T540" i="5"/>
  <c r="T550" i="5"/>
  <c r="T412" i="5"/>
  <c r="U412" i="5" s="1"/>
  <c r="T514" i="5"/>
  <c r="T551" i="5"/>
  <c r="T449" i="5"/>
  <c r="T549" i="5"/>
  <c r="T445" i="5"/>
  <c r="T509" i="5"/>
  <c r="U509" i="5" s="1"/>
  <c r="T28" i="5"/>
  <c r="T50" i="5"/>
  <c r="T95" i="5"/>
  <c r="T112" i="5"/>
  <c r="T177" i="5"/>
  <c r="T206" i="5"/>
  <c r="T232" i="5"/>
  <c r="T265" i="5"/>
  <c r="T292" i="5"/>
  <c r="T281" i="5"/>
  <c r="T267" i="5"/>
  <c r="T393" i="5"/>
  <c r="T376" i="5"/>
  <c r="T355" i="5"/>
  <c r="T402" i="5"/>
  <c r="T370" i="5"/>
  <c r="T447" i="5"/>
  <c r="T481" i="5"/>
  <c r="T508" i="5"/>
  <c r="U508" i="5" s="1"/>
  <c r="T537" i="5"/>
  <c r="T453" i="5"/>
  <c r="T471" i="5"/>
  <c r="T496" i="5"/>
  <c r="T517" i="5"/>
  <c r="T358" i="5"/>
  <c r="T395" i="5"/>
  <c r="T425" i="5"/>
  <c r="T452" i="5"/>
  <c r="T467" i="5"/>
  <c r="T487" i="5"/>
  <c r="T506" i="5"/>
  <c r="T556" i="5"/>
  <c r="T346" i="5"/>
  <c r="T529" i="5"/>
  <c r="T542" i="5"/>
  <c r="T541" i="5"/>
  <c r="T426" i="5"/>
  <c r="T518" i="5"/>
  <c r="T553" i="5"/>
  <c r="V553" i="5" s="1"/>
  <c r="T528" i="5"/>
  <c r="T558" i="5"/>
  <c r="T476" i="5"/>
  <c r="T520" i="5"/>
  <c r="T27" i="5"/>
  <c r="T55" i="5"/>
  <c r="T88" i="5"/>
  <c r="T142" i="5"/>
  <c r="T140" i="5"/>
  <c r="T208" i="5"/>
  <c r="T191" i="5"/>
  <c r="T289" i="5"/>
  <c r="T323" i="5"/>
  <c r="T298" i="5"/>
  <c r="T312" i="5"/>
  <c r="U312" i="5" s="1"/>
  <c r="T420" i="5"/>
  <c r="T391" i="5"/>
  <c r="T365" i="5"/>
  <c r="T408" i="5"/>
  <c r="T384" i="5"/>
  <c r="U384" i="5" s="1"/>
  <c r="T451" i="5"/>
  <c r="V451" i="5" s="1"/>
  <c r="T491" i="5"/>
  <c r="T515" i="5"/>
  <c r="T351" i="5"/>
  <c r="T454" i="5"/>
  <c r="U454" i="5" s="1"/>
  <c r="T474" i="5"/>
  <c r="T501" i="5"/>
  <c r="T519" i="5"/>
  <c r="T360" i="5"/>
  <c r="T401" i="5"/>
  <c r="T434" i="5"/>
  <c r="T455" i="5"/>
  <c r="T473" i="5"/>
  <c r="U473" i="5" s="1"/>
  <c r="T489" i="5"/>
  <c r="T510" i="5"/>
  <c r="T560" i="5"/>
  <c r="T352" i="5"/>
  <c r="T534" i="5"/>
  <c r="T546" i="5"/>
  <c r="T544" i="5"/>
  <c r="T450" i="5"/>
  <c r="T527" i="5"/>
  <c r="T555" i="5"/>
  <c r="T530" i="5"/>
  <c r="T397" i="5"/>
  <c r="T479" i="5"/>
  <c r="T523" i="5"/>
  <c r="T119" i="5"/>
  <c r="T327" i="5"/>
  <c r="T436" i="5"/>
  <c r="T432" i="5"/>
  <c r="T427" i="5"/>
  <c r="T521" i="5"/>
  <c r="T461" i="5"/>
  <c r="U461" i="5" s="1"/>
  <c r="T304" i="5"/>
  <c r="T394" i="5"/>
  <c r="T547" i="5"/>
  <c r="T36" i="5"/>
  <c r="T154" i="5"/>
  <c r="T226" i="5"/>
  <c r="T162" i="5"/>
  <c r="U162" i="5" s="1"/>
  <c r="T460" i="5"/>
  <c r="T459" i="5"/>
  <c r="T374" i="5"/>
  <c r="V374" i="5" s="1"/>
  <c r="T477" i="5"/>
  <c r="T444" i="5"/>
  <c r="T497" i="5"/>
  <c r="T423" i="5"/>
  <c r="T74" i="5"/>
  <c r="T227" i="5"/>
  <c r="T310" i="5"/>
  <c r="T379" i="5"/>
  <c r="T494" i="5"/>
  <c r="T483" i="5"/>
  <c r="T413" i="5"/>
  <c r="T492" i="5"/>
  <c r="T539" i="5"/>
  <c r="V539" i="5" s="1"/>
  <c r="T543" i="5"/>
  <c r="T488" i="5"/>
  <c r="T93" i="5"/>
  <c r="T525" i="5"/>
  <c r="T548" i="5"/>
  <c r="T230" i="5"/>
  <c r="T503" i="5"/>
  <c r="T419" i="5"/>
  <c r="T350" i="5"/>
  <c r="T435" i="5"/>
  <c r="AU61" i="5"/>
  <c r="U417" i="5"/>
  <c r="T531" i="5"/>
  <c r="AT7" i="5"/>
  <c r="B5" i="8"/>
  <c r="E28" i="2"/>
  <c r="AZ27" i="5"/>
  <c r="AZ60" i="5"/>
  <c r="AZ66" i="5"/>
  <c r="AZ69" i="5"/>
  <c r="AZ98" i="5"/>
  <c r="AZ140" i="5"/>
  <c r="AZ135" i="5"/>
  <c r="AZ148" i="5"/>
  <c r="AZ164" i="5"/>
  <c r="AZ173" i="5"/>
  <c r="AZ211" i="5"/>
  <c r="AZ212" i="5"/>
  <c r="AZ200" i="5"/>
  <c r="AZ264" i="5"/>
  <c r="AZ318" i="5"/>
  <c r="AZ305" i="5"/>
  <c r="AZ265" i="5"/>
  <c r="AZ324" i="5"/>
  <c r="AZ299" i="5"/>
  <c r="AZ22" i="5"/>
  <c r="AZ35" i="5"/>
  <c r="AZ55" i="5"/>
  <c r="AZ59" i="5"/>
  <c r="AZ95" i="5"/>
  <c r="AZ121" i="5"/>
  <c r="AZ126" i="5"/>
  <c r="AZ139" i="5"/>
  <c r="AZ150" i="5"/>
  <c r="AZ158" i="5"/>
  <c r="AZ190" i="5"/>
  <c r="AZ196" i="5"/>
  <c r="AZ184" i="5"/>
  <c r="AZ246" i="5"/>
  <c r="AZ303" i="5"/>
  <c r="AZ290" i="5"/>
  <c r="AZ255" i="5"/>
  <c r="AZ315" i="5"/>
  <c r="AZ218" i="5"/>
  <c r="AZ393" i="5"/>
  <c r="AZ40" i="5"/>
  <c r="AZ50" i="5"/>
  <c r="AZ24" i="5"/>
  <c r="AZ23" i="5"/>
  <c r="AZ91" i="5"/>
  <c r="AZ110" i="5"/>
  <c r="AZ123" i="5"/>
  <c r="AZ127" i="5"/>
  <c r="AZ116" i="5"/>
  <c r="AZ152" i="5"/>
  <c r="AZ171" i="5"/>
  <c r="AZ194" i="5"/>
  <c r="AZ161" i="5"/>
  <c r="AZ220" i="5"/>
  <c r="AZ296" i="5"/>
  <c r="AZ278" i="5"/>
  <c r="AZ249" i="5"/>
  <c r="AZ312" i="5"/>
  <c r="B59" i="5"/>
  <c r="G126" i="2"/>
  <c r="B148" i="2"/>
  <c r="V136" i="5"/>
  <c r="V203" i="5"/>
  <c r="U300" i="5"/>
  <c r="V146" i="5"/>
  <c r="U199" i="5"/>
  <c r="U301" i="5"/>
  <c r="U396" i="5"/>
  <c r="V464" i="5"/>
  <c r="V509" i="5"/>
  <c r="V91" i="5"/>
  <c r="U63" i="5"/>
  <c r="V495" i="5"/>
  <c r="U451" i="5"/>
  <c r="U134" i="5"/>
  <c r="V279" i="5"/>
  <c r="V473" i="5"/>
  <c r="B75" i="5"/>
  <c r="AJ56" i="5" s="1"/>
  <c r="R60" i="4"/>
  <c r="R56" i="4"/>
  <c r="R52" i="4"/>
  <c r="R48" i="4"/>
  <c r="R44" i="4"/>
  <c r="R36" i="4"/>
  <c r="R34" i="4"/>
  <c r="R32" i="4"/>
  <c r="R30" i="4"/>
  <c r="R13" i="4"/>
  <c r="R11" i="4"/>
  <c r="R9" i="4"/>
  <c r="R81" i="4"/>
  <c r="R77" i="4"/>
  <c r="R73" i="4"/>
  <c r="R69" i="4"/>
  <c r="R65" i="4"/>
  <c r="R61" i="4"/>
  <c r="R57" i="4"/>
  <c r="R53" i="4"/>
  <c r="R49" i="4"/>
  <c r="R45" i="4"/>
  <c r="R41" i="4"/>
  <c r="R39" i="4"/>
  <c r="R28" i="4"/>
  <c r="R26" i="4"/>
  <c r="R24" i="4"/>
  <c r="R22" i="4"/>
  <c r="R20" i="4"/>
  <c r="R18" i="4"/>
  <c r="R16" i="4"/>
  <c r="R14" i="4"/>
  <c r="B22" i="2"/>
  <c r="H50" i="1"/>
  <c r="B130" i="2"/>
  <c r="B131" i="2"/>
  <c r="AS10" i="4"/>
  <c r="AS34" i="4"/>
  <c r="AS46" i="4"/>
  <c r="AS54" i="4"/>
  <c r="AS58" i="4"/>
  <c r="AS66" i="4"/>
  <c r="AS74" i="4"/>
  <c r="AS82" i="4"/>
  <c r="AS90" i="4"/>
  <c r="AS98" i="4"/>
  <c r="AS102" i="4"/>
  <c r="AS110" i="4"/>
  <c r="AS118" i="4"/>
  <c r="AS126" i="4"/>
  <c r="AS134" i="4"/>
  <c r="AS142" i="4"/>
  <c r="AS150" i="4"/>
  <c r="AS7" i="4"/>
  <c r="AS148" i="4"/>
  <c r="AS11" i="4"/>
  <c r="AS15" i="4"/>
  <c r="AS19" i="4"/>
  <c r="AS23" i="4"/>
  <c r="AS27" i="4"/>
  <c r="AS31" i="4"/>
  <c r="AS35" i="4"/>
  <c r="AS39" i="4"/>
  <c r="AS43" i="4"/>
  <c r="AS47" i="4"/>
  <c r="AS51" i="4"/>
  <c r="AS55" i="4"/>
  <c r="AS59" i="4"/>
  <c r="AS63" i="4"/>
  <c r="AS67" i="4"/>
  <c r="AS71" i="4"/>
  <c r="AS75" i="4"/>
  <c r="AS79" i="4"/>
  <c r="AS83" i="4"/>
  <c r="AS87" i="4"/>
  <c r="AS91" i="4"/>
  <c r="AS95" i="4"/>
  <c r="AS99" i="4"/>
  <c r="AS103" i="4"/>
  <c r="AS107" i="4"/>
  <c r="AS111" i="4"/>
  <c r="AS115" i="4"/>
  <c r="AS119" i="4"/>
  <c r="AS123" i="4"/>
  <c r="AS127" i="4"/>
  <c r="AS131" i="4"/>
  <c r="AS135" i="4"/>
  <c r="AS139" i="4"/>
  <c r="AS143" i="4"/>
  <c r="AS147" i="4"/>
  <c r="AS151" i="4"/>
  <c r="AS155" i="4"/>
  <c r="AS12" i="4"/>
  <c r="AS16" i="4"/>
  <c r="AS20" i="4"/>
  <c r="AS24" i="4"/>
  <c r="AS28" i="4"/>
  <c r="AS36" i="4"/>
  <c r="AS40" i="4"/>
  <c r="AS48" i="4"/>
  <c r="AS56" i="4"/>
  <c r="AS60" i="4"/>
  <c r="AS68" i="4"/>
  <c r="AS76" i="4"/>
  <c r="AS84" i="4"/>
  <c r="AS88" i="4"/>
  <c r="AS96" i="4"/>
  <c r="AS104" i="4"/>
  <c r="AS108" i="4"/>
  <c r="AS116" i="4"/>
  <c r="AS124" i="4"/>
  <c r="AS128" i="4"/>
  <c r="AS136" i="4"/>
  <c r="AS152" i="4"/>
  <c r="AS8" i="4"/>
  <c r="AS32" i="4"/>
  <c r="AS44" i="4"/>
  <c r="AS52" i="4"/>
  <c r="AS64" i="4"/>
  <c r="AS72" i="4"/>
  <c r="AS80" i="4"/>
  <c r="AS92" i="4"/>
  <c r="AS100" i="4"/>
  <c r="AS112" i="4"/>
  <c r="AS120" i="4"/>
  <c r="AS132" i="4"/>
  <c r="AS144" i="4"/>
  <c r="AS9" i="4"/>
  <c r="AS13" i="4"/>
  <c r="AS17" i="4"/>
  <c r="AS21" i="4"/>
  <c r="AS25" i="4"/>
  <c r="AS29" i="4"/>
  <c r="AS33" i="4"/>
  <c r="AS37" i="4"/>
  <c r="AS41" i="4"/>
  <c r="AS45" i="4"/>
  <c r="AS49" i="4"/>
  <c r="AS53" i="4"/>
  <c r="AS57" i="4"/>
  <c r="AS61" i="4"/>
  <c r="AS65" i="4"/>
  <c r="AS69" i="4"/>
  <c r="AS73" i="4"/>
  <c r="AS77" i="4"/>
  <c r="AS81" i="4"/>
  <c r="AS85" i="4"/>
  <c r="AS89" i="4"/>
  <c r="AS93" i="4"/>
  <c r="AS97" i="4"/>
  <c r="AS101" i="4"/>
  <c r="AS105" i="4"/>
  <c r="AS109" i="4"/>
  <c r="AS113" i="4"/>
  <c r="AS117" i="4"/>
  <c r="AS121" i="4"/>
  <c r="AS125" i="4"/>
  <c r="AS129" i="4"/>
  <c r="AS133" i="4"/>
  <c r="AS137" i="4"/>
  <c r="AS141" i="4"/>
  <c r="AS145" i="4"/>
  <c r="AS149" i="4"/>
  <c r="AS153" i="4"/>
  <c r="AS157" i="4"/>
  <c r="AS14" i="4"/>
  <c r="AS18" i="4"/>
  <c r="AS22" i="4"/>
  <c r="AS26" i="4"/>
  <c r="AS30" i="4"/>
  <c r="AS38" i="4"/>
  <c r="AS42" i="4"/>
  <c r="AS50" i="4"/>
  <c r="AS62" i="4"/>
  <c r="AS70" i="4"/>
  <c r="AS78" i="4"/>
  <c r="AS86" i="4"/>
  <c r="AS94" i="4"/>
  <c r="AS106" i="4"/>
  <c r="AS114" i="4"/>
  <c r="AS122" i="4"/>
  <c r="AS130" i="4"/>
  <c r="AS138" i="4"/>
  <c r="AS146" i="4"/>
  <c r="AS154" i="4"/>
  <c r="AS140" i="4"/>
  <c r="AS156" i="4"/>
  <c r="V24" i="5" l="1"/>
  <c r="V290" i="5"/>
  <c r="U539" i="5"/>
  <c r="U313" i="5"/>
  <c r="U89" i="5"/>
  <c r="U183" i="5"/>
  <c r="V231" i="5"/>
  <c r="V454" i="5"/>
  <c r="V82" i="5"/>
  <c r="U32" i="5"/>
  <c r="V461" i="5"/>
  <c r="AT286" i="5"/>
  <c r="AT93" i="5"/>
  <c r="AT111" i="5"/>
  <c r="AT102" i="5"/>
  <c r="AT46" i="5"/>
  <c r="AV46" i="5" s="1"/>
  <c r="AT153" i="5"/>
  <c r="AT249" i="5"/>
  <c r="AT43" i="5"/>
  <c r="AT130" i="5"/>
  <c r="AT191" i="5"/>
  <c r="AV191" i="5" s="1"/>
  <c r="V342" i="5"/>
  <c r="AT89" i="5"/>
  <c r="AT248" i="5"/>
  <c r="AT237" i="5"/>
  <c r="AT91" i="5"/>
  <c r="AT198" i="5"/>
  <c r="AJ84" i="5"/>
  <c r="AJ147" i="5"/>
  <c r="AL147" i="5" s="1"/>
  <c r="AT38" i="5"/>
  <c r="AT44" i="5"/>
  <c r="AT32" i="5"/>
  <c r="AV32" i="5" s="1"/>
  <c r="AT328" i="5"/>
  <c r="AV328" i="5" s="1"/>
  <c r="AT276" i="5"/>
  <c r="AU276" i="5" s="1"/>
  <c r="AT314" i="5"/>
  <c r="AT257" i="5"/>
  <c r="AT221" i="5"/>
  <c r="AT211" i="5"/>
  <c r="AT176" i="5"/>
  <c r="AT160" i="5"/>
  <c r="AT131" i="5"/>
  <c r="AT135" i="5"/>
  <c r="AT118" i="5"/>
  <c r="AT141" i="5"/>
  <c r="AT79" i="5"/>
  <c r="AV79" i="5" s="1"/>
  <c r="AT78" i="5"/>
  <c r="AV78" i="5" s="1"/>
  <c r="AT23" i="5"/>
  <c r="AT25" i="5"/>
  <c r="AT335" i="5"/>
  <c r="AT259" i="5"/>
  <c r="AT297" i="5"/>
  <c r="AT205" i="5"/>
  <c r="AT280" i="5"/>
  <c r="AT238" i="5"/>
  <c r="AT243" i="5"/>
  <c r="AT234" i="5"/>
  <c r="AT189" i="5"/>
  <c r="AV189" i="5" s="1"/>
  <c r="AT181" i="5"/>
  <c r="AU181" i="5" s="1"/>
  <c r="AT173" i="5"/>
  <c r="AT138" i="5"/>
  <c r="AT126" i="5"/>
  <c r="AT83" i="5"/>
  <c r="AT87" i="5"/>
  <c r="AT22" i="5"/>
  <c r="AT64" i="5"/>
  <c r="AT31" i="5"/>
  <c r="AT36" i="5"/>
  <c r="AT24" i="5"/>
  <c r="AT28" i="5"/>
  <c r="AV28" i="5" s="1"/>
  <c r="AT316" i="5"/>
  <c r="AV316" i="5" s="1"/>
  <c r="AT250" i="5"/>
  <c r="AT301" i="5"/>
  <c r="AT251" i="5"/>
  <c r="AT195" i="5"/>
  <c r="AT164" i="5"/>
  <c r="AT199" i="5"/>
  <c r="AT133" i="5"/>
  <c r="AT187" i="5"/>
  <c r="AT110" i="5"/>
  <c r="AT92" i="5"/>
  <c r="AT121" i="5"/>
  <c r="AV121" i="5" s="1"/>
  <c r="AT103" i="5"/>
  <c r="AV103" i="5" s="1"/>
  <c r="AT55" i="5"/>
  <c r="AT65" i="5"/>
  <c r="AT47" i="5"/>
  <c r="AT307" i="5"/>
  <c r="AT200" i="5"/>
  <c r="AT282" i="5"/>
  <c r="AT322" i="5"/>
  <c r="AT265" i="5"/>
  <c r="AT230" i="5"/>
  <c r="AT224" i="5"/>
  <c r="AT215" i="5"/>
  <c r="AU215" i="5" s="1"/>
  <c r="AT172" i="5"/>
  <c r="AV172" i="5" s="1"/>
  <c r="AT163" i="5"/>
  <c r="AT150" i="5"/>
  <c r="AT122" i="5"/>
  <c r="AT71" i="5"/>
  <c r="AT88" i="5"/>
  <c r="AT90" i="5"/>
  <c r="AT63" i="5"/>
  <c r="AT53" i="5"/>
  <c r="AT21" i="5"/>
  <c r="AT37" i="5"/>
  <c r="AT42" i="5"/>
  <c r="AV42" i="5" s="1"/>
  <c r="AT33" i="5"/>
  <c r="AT299" i="5"/>
  <c r="AT210" i="5"/>
  <c r="AT283" i="5"/>
  <c r="AT240" i="5"/>
  <c r="AT159" i="5"/>
  <c r="AT239" i="5"/>
  <c r="AT190" i="5"/>
  <c r="AT182" i="5"/>
  <c r="AT177" i="5"/>
  <c r="AT139" i="5"/>
  <c r="AT142" i="5"/>
  <c r="AU142" i="5" s="1"/>
  <c r="AT100" i="5"/>
  <c r="AU100" i="5" s="1"/>
  <c r="AT96" i="5"/>
  <c r="AT69" i="5"/>
  <c r="AT41" i="5"/>
  <c r="AT34" i="5"/>
  <c r="AT291" i="5"/>
  <c r="AT327" i="5"/>
  <c r="AT270" i="5"/>
  <c r="AT312" i="5"/>
  <c r="AT255" i="5"/>
  <c r="AT217" i="5"/>
  <c r="AT209" i="5"/>
  <c r="AV209" i="5" s="1"/>
  <c r="AT154" i="5"/>
  <c r="AV154" i="5" s="1"/>
  <c r="AT157" i="5"/>
  <c r="AT128" i="5"/>
  <c r="AT129" i="5"/>
  <c r="AT109" i="5"/>
  <c r="AT136" i="5"/>
  <c r="AT75" i="5"/>
  <c r="AT77" i="5"/>
  <c r="AT20" i="5"/>
  <c r="AT51" i="5"/>
  <c r="AT8" i="5"/>
  <c r="AT49" i="5"/>
  <c r="AT27" i="5"/>
  <c r="AT45" i="5"/>
  <c r="AT57" i="5"/>
  <c r="AT58" i="5"/>
  <c r="AT70" i="5"/>
  <c r="AT81" i="5"/>
  <c r="AT97" i="5"/>
  <c r="AT82" i="5"/>
  <c r="AT113" i="5"/>
  <c r="AT143" i="5"/>
  <c r="AT148" i="5"/>
  <c r="AT119" i="5"/>
  <c r="AT146" i="5"/>
  <c r="AT144" i="5"/>
  <c r="AT178" i="5"/>
  <c r="AT149" i="5"/>
  <c r="AT184" i="5"/>
  <c r="AT162" i="5"/>
  <c r="AT194" i="5"/>
  <c r="AT193" i="5"/>
  <c r="AT245" i="5"/>
  <c r="AT216" i="5"/>
  <c r="AT166" i="5"/>
  <c r="AT222" i="5"/>
  <c r="AT214" i="5"/>
  <c r="AT260" i="5"/>
  <c r="AT287" i="5"/>
  <c r="AT315" i="5"/>
  <c r="AT219" i="5"/>
  <c r="AT278" i="5"/>
  <c r="AT304" i="5"/>
  <c r="AT117" i="5"/>
  <c r="AT261" i="5"/>
  <c r="AT285" i="5"/>
  <c r="AT303" i="5"/>
  <c r="AT336" i="5"/>
  <c r="AT345" i="5"/>
  <c r="AT356" i="5"/>
  <c r="AT284" i="5"/>
  <c r="AT341" i="5"/>
  <c r="AT378" i="5"/>
  <c r="AT397" i="5"/>
  <c r="AT403" i="5"/>
  <c r="AT421" i="5"/>
  <c r="AT436" i="5"/>
  <c r="AT262" i="5"/>
  <c r="AT321" i="5"/>
  <c r="AT340" i="5"/>
  <c r="AT368" i="5"/>
  <c r="AT386" i="5"/>
  <c r="AT396" i="5"/>
  <c r="AT410" i="5"/>
  <c r="AT347" i="5"/>
  <c r="AT360" i="5"/>
  <c r="AT375" i="5"/>
  <c r="AT402" i="5"/>
  <c r="AT417" i="5"/>
  <c r="AT275" i="5"/>
  <c r="AT346" i="5"/>
  <c r="AT412" i="5"/>
  <c r="AT438" i="5"/>
  <c r="AT451" i="5"/>
  <c r="AT487" i="5"/>
  <c r="AT494" i="5"/>
  <c r="AT510" i="5"/>
  <c r="AT530" i="5"/>
  <c r="AT370" i="5"/>
  <c r="AT425" i="5"/>
  <c r="AT447" i="5"/>
  <c r="AT460" i="5"/>
  <c r="AT483" i="5"/>
  <c r="AT496" i="5"/>
  <c r="AT516" i="5"/>
  <c r="AT337" i="5"/>
  <c r="AT439" i="5"/>
  <c r="AT459" i="5"/>
  <c r="AT474" i="5"/>
  <c r="AT486" i="5"/>
  <c r="AT507" i="5"/>
  <c r="AT525" i="5"/>
  <c r="AT548" i="5"/>
  <c r="AT553" i="5"/>
  <c r="AT380" i="5"/>
  <c r="AT473" i="5"/>
  <c r="AT492" i="5"/>
  <c r="AT40" i="5"/>
  <c r="AT60" i="5"/>
  <c r="AT59" i="5"/>
  <c r="AT73" i="5"/>
  <c r="AT86" i="5"/>
  <c r="AT98" i="5"/>
  <c r="AT85" i="5"/>
  <c r="AT114" i="5"/>
  <c r="AT145" i="5"/>
  <c r="AT151" i="5"/>
  <c r="AT120" i="5"/>
  <c r="AT152" i="5"/>
  <c r="AT147" i="5"/>
  <c r="AT179" i="5"/>
  <c r="AT161" i="5"/>
  <c r="AT95" i="5"/>
  <c r="AT167" i="5"/>
  <c r="AT197" i="5"/>
  <c r="AT208" i="5"/>
  <c r="AT247" i="5"/>
  <c r="AT220" i="5"/>
  <c r="AT188" i="5"/>
  <c r="AT225" i="5"/>
  <c r="AT228" i="5"/>
  <c r="AT263" i="5"/>
  <c r="AT293" i="5"/>
  <c r="AT320" i="5"/>
  <c r="AT241" i="5"/>
  <c r="AT279" i="5"/>
  <c r="AT308" i="5"/>
  <c r="AT196" i="5"/>
  <c r="AT264" i="5"/>
  <c r="AT288" i="5"/>
  <c r="AT313" i="5"/>
  <c r="AT338" i="5"/>
  <c r="AT348" i="5"/>
  <c r="AT359" i="5"/>
  <c r="AT290" i="5"/>
  <c r="AT364" i="5"/>
  <c r="AT382" i="5"/>
  <c r="AT398" i="5"/>
  <c r="AT406" i="5"/>
  <c r="AT424" i="5"/>
  <c r="AT437" i="5"/>
  <c r="AT267" i="5"/>
  <c r="AT326" i="5"/>
  <c r="AT355" i="5"/>
  <c r="AT372" i="5"/>
  <c r="AT387" i="5"/>
  <c r="AT405" i="5"/>
  <c r="AT202" i="5"/>
  <c r="AT351" i="5"/>
  <c r="AT361" i="5"/>
  <c r="AT383" i="5"/>
  <c r="AT404" i="5"/>
  <c r="AT418" i="5"/>
  <c r="AT305" i="5"/>
  <c r="AT350" i="5"/>
  <c r="AT419" i="5"/>
  <c r="AT443" i="5"/>
  <c r="AT466" i="5"/>
  <c r="AT488" i="5"/>
  <c r="AT499" i="5"/>
  <c r="AT513" i="5"/>
  <c r="AT294" i="5"/>
  <c r="AT384" i="5"/>
  <c r="AT48" i="5"/>
  <c r="AT67" i="5"/>
  <c r="AT26" i="5"/>
  <c r="AT72" i="5"/>
  <c r="AT94" i="5"/>
  <c r="AT105" i="5"/>
  <c r="AT101" i="5"/>
  <c r="AT127" i="5"/>
  <c r="AT104" i="5"/>
  <c r="AT99" i="5"/>
  <c r="AT134" i="5"/>
  <c r="AT116" i="5"/>
  <c r="AT158" i="5"/>
  <c r="AT112" i="5"/>
  <c r="AT169" i="5"/>
  <c r="AT140" i="5"/>
  <c r="AT185" i="5"/>
  <c r="AT201" i="5"/>
  <c r="AT223" i="5"/>
  <c r="AT192" i="5"/>
  <c r="AT232" i="5"/>
  <c r="AT212" i="5"/>
  <c r="AT235" i="5"/>
  <c r="AT252" i="5"/>
  <c r="AT274" i="5"/>
  <c r="AT306" i="5"/>
  <c r="AT332" i="5"/>
  <c r="AT258" i="5"/>
  <c r="AT289" i="5"/>
  <c r="AT319" i="5"/>
  <c r="AT244" i="5"/>
  <c r="AT269" i="5"/>
  <c r="AT296" i="5"/>
  <c r="AT318" i="5"/>
  <c r="AT342" i="5"/>
  <c r="AT349" i="5"/>
  <c r="AT174" i="5"/>
  <c r="AT310" i="5"/>
  <c r="AT366" i="5"/>
  <c r="AT388" i="5"/>
  <c r="AT400" i="5"/>
  <c r="AT415" i="5"/>
  <c r="AT429" i="5"/>
  <c r="AT180" i="5"/>
  <c r="AT268" i="5"/>
  <c r="AT329" i="5"/>
  <c r="AT362" i="5"/>
  <c r="AT376" i="5"/>
  <c r="AT391" i="5"/>
  <c r="AT407" i="5"/>
  <c r="AT317" i="5"/>
  <c r="AT352" i="5"/>
  <c r="AT369" i="5"/>
  <c r="AT385" i="5"/>
  <c r="AT411" i="5"/>
  <c r="AT168" i="5"/>
  <c r="AT334" i="5"/>
  <c r="AT371" i="5"/>
  <c r="AT427" i="5"/>
  <c r="AT445" i="5"/>
  <c r="AT469" i="5"/>
  <c r="AT489" i="5"/>
  <c r="AT502" i="5"/>
  <c r="AT518" i="5"/>
  <c r="AT331" i="5"/>
  <c r="AT408" i="5"/>
  <c r="AT435" i="5"/>
  <c r="AT456" i="5"/>
  <c r="AT472" i="5"/>
  <c r="AT490" i="5"/>
  <c r="AT501" i="5"/>
  <c r="AT272" i="5"/>
  <c r="AT399" i="5"/>
  <c r="AT453" i="5"/>
  <c r="AT468" i="5"/>
  <c r="AT478" i="5"/>
  <c r="AT504" i="5"/>
  <c r="AT514" i="5"/>
  <c r="AT543" i="5"/>
  <c r="AT550" i="5"/>
  <c r="AT559" i="5"/>
  <c r="AT416" i="5"/>
  <c r="AT479" i="5"/>
  <c r="AT509" i="5"/>
  <c r="AT50" i="5"/>
  <c r="AT74" i="5"/>
  <c r="AT124" i="5"/>
  <c r="AT171" i="5"/>
  <c r="AT186" i="5"/>
  <c r="AT242" i="5"/>
  <c r="AT277" i="5"/>
  <c r="AT292" i="5"/>
  <c r="AT300" i="5"/>
  <c r="AT231" i="5"/>
  <c r="AT401" i="5"/>
  <c r="AT298" i="5"/>
  <c r="AT393" i="5"/>
  <c r="AT373" i="5"/>
  <c r="AT344" i="5"/>
  <c r="AT481" i="5"/>
  <c r="AT357" i="5"/>
  <c r="AT448" i="5"/>
  <c r="AT485" i="5"/>
  <c r="AT517" i="5"/>
  <c r="AT452" i="5"/>
  <c r="AT477" i="5"/>
  <c r="AT512" i="5"/>
  <c r="AT549" i="5"/>
  <c r="AT392" i="5"/>
  <c r="AT506" i="5"/>
  <c r="AT539" i="5"/>
  <c r="AT554" i="5"/>
  <c r="AT465" i="5"/>
  <c r="AT526" i="5"/>
  <c r="AT555" i="5"/>
  <c r="AT358" i="5"/>
  <c r="AT395" i="5"/>
  <c r="AT430" i="5"/>
  <c r="AT467" i="5"/>
  <c r="AT537" i="5"/>
  <c r="AT440" i="5"/>
  <c r="AT500" i="5"/>
  <c r="AT534" i="5"/>
  <c r="AT68" i="5"/>
  <c r="AT107" i="5"/>
  <c r="AT106" i="5"/>
  <c r="AT125" i="5"/>
  <c r="AT206" i="5"/>
  <c r="AT213" i="5"/>
  <c r="AT309" i="5"/>
  <c r="AT325" i="5"/>
  <c r="AT323" i="5"/>
  <c r="AT330" i="5"/>
  <c r="AT420" i="5"/>
  <c r="AT333" i="5"/>
  <c r="AT409" i="5"/>
  <c r="AT390" i="5"/>
  <c r="AT379" i="5"/>
  <c r="AT493" i="5"/>
  <c r="AT422" i="5"/>
  <c r="AT458" i="5"/>
  <c r="AT491" i="5"/>
  <c r="AT302" i="5"/>
  <c r="AT457" i="5"/>
  <c r="AT480" i="5"/>
  <c r="AT524" i="5"/>
  <c r="AT551" i="5"/>
  <c r="AT463" i="5"/>
  <c r="AT520" i="5"/>
  <c r="AT541" i="5"/>
  <c r="AT441" i="5"/>
  <c r="AT484" i="5"/>
  <c r="AT533" i="5"/>
  <c r="AT532" i="5"/>
  <c r="AT365" i="5"/>
  <c r="AT413" i="5"/>
  <c r="AT432" i="5"/>
  <c r="AT511" i="5"/>
  <c r="AT556" i="5"/>
  <c r="AT446" i="5"/>
  <c r="AT503" i="5"/>
  <c r="AT538" i="5"/>
  <c r="AT80" i="5"/>
  <c r="AT108" i="5"/>
  <c r="AT137" i="5"/>
  <c r="AT170" i="5"/>
  <c r="AT227" i="5"/>
  <c r="AT236" i="5"/>
  <c r="AT203" i="5"/>
  <c r="AT253" i="5"/>
  <c r="AT343" i="5"/>
  <c r="AT374" i="5"/>
  <c r="AT433" i="5"/>
  <c r="AT367" i="5"/>
  <c r="AT339" i="5"/>
  <c r="AT414" i="5"/>
  <c r="AT431" i="5"/>
  <c r="AT508" i="5"/>
  <c r="AT434" i="5"/>
  <c r="AT464" i="5"/>
  <c r="AT497" i="5"/>
  <c r="AT363" i="5"/>
  <c r="AT462" i="5"/>
  <c r="AT498" i="5"/>
  <c r="AT531" i="5"/>
  <c r="AT557" i="5"/>
  <c r="AT476" i="5"/>
  <c r="AT528" i="5"/>
  <c r="AT542" i="5"/>
  <c r="AT444" i="5"/>
  <c r="AT495" i="5"/>
  <c r="AT545" i="5"/>
  <c r="AT536" i="5"/>
  <c r="AT377" i="5"/>
  <c r="AT426" i="5"/>
  <c r="AT454" i="5"/>
  <c r="AT523" i="5"/>
  <c r="AT558" i="5"/>
  <c r="AT449" i="5"/>
  <c r="AT521" i="5"/>
  <c r="AT544" i="5"/>
  <c r="AT76" i="5"/>
  <c r="AT207" i="5"/>
  <c r="AT354" i="5"/>
  <c r="AT353" i="5"/>
  <c r="AT442" i="5"/>
  <c r="AT471" i="5"/>
  <c r="AT482" i="5"/>
  <c r="AT519" i="5"/>
  <c r="AT428" i="5"/>
  <c r="AT470" i="5"/>
  <c r="AT35" i="5"/>
  <c r="AT281" i="5"/>
  <c r="AT522" i="5"/>
  <c r="AT204" i="5"/>
  <c r="AT389" i="5"/>
  <c r="AT132" i="5"/>
  <c r="AT254" i="5"/>
  <c r="AT394" i="5"/>
  <c r="AT256" i="5"/>
  <c r="AT475" i="5"/>
  <c r="AT505" i="5"/>
  <c r="AT535" i="5"/>
  <c r="AT552" i="5"/>
  <c r="AT461" i="5"/>
  <c r="AT527" i="5"/>
  <c r="AT123" i="5"/>
  <c r="AT266" i="5"/>
  <c r="AT226" i="5"/>
  <c r="AT450" i="5"/>
  <c r="AT515" i="5"/>
  <c r="AT546" i="5"/>
  <c r="AT547" i="5"/>
  <c r="AT540" i="5"/>
  <c r="AT529" i="5"/>
  <c r="AT19" i="5"/>
  <c r="AT155" i="5"/>
  <c r="AT381" i="5"/>
  <c r="AT423" i="5"/>
  <c r="AT455" i="5"/>
  <c r="AT560" i="5"/>
  <c r="AV56" i="5"/>
  <c r="AU56" i="5"/>
  <c r="AU46" i="5"/>
  <c r="AU36" i="5"/>
  <c r="AV36" i="5"/>
  <c r="AV37" i="5"/>
  <c r="AU37" i="5"/>
  <c r="AZ7" i="5"/>
  <c r="AZ344" i="5"/>
  <c r="AZ302" i="5"/>
  <c r="AZ227" i="5"/>
  <c r="BB227" i="5" s="1"/>
  <c r="AZ256" i="5"/>
  <c r="BB256" i="5" s="1"/>
  <c r="AZ282" i="5"/>
  <c r="AZ240" i="5"/>
  <c r="AZ235" i="5"/>
  <c r="BB235" i="5" s="1"/>
  <c r="AZ236" i="5"/>
  <c r="BB236" i="5" s="1"/>
  <c r="AZ118" i="5"/>
  <c r="BA118" i="5" s="1"/>
  <c r="AZ115" i="5"/>
  <c r="AZ169" i="5"/>
  <c r="BA169" i="5" s="1"/>
  <c r="AZ107" i="5"/>
  <c r="BB107" i="5" s="1"/>
  <c r="AZ111" i="5"/>
  <c r="AZ103" i="5"/>
  <c r="AZ83" i="5"/>
  <c r="BA83" i="5" s="1"/>
  <c r="AZ53" i="5"/>
  <c r="BA53" i="5" s="1"/>
  <c r="AZ39" i="5"/>
  <c r="AZ38" i="5"/>
  <c r="AZ8" i="5"/>
  <c r="BA8" i="5" s="1"/>
  <c r="AZ373" i="5"/>
  <c r="BB373" i="5" s="1"/>
  <c r="AZ351" i="5"/>
  <c r="BB351" i="5" s="1"/>
  <c r="AZ309" i="5"/>
  <c r="AZ241" i="5"/>
  <c r="BA241" i="5" s="1"/>
  <c r="AZ269" i="5"/>
  <c r="BA269" i="5" s="1"/>
  <c r="AZ288" i="5"/>
  <c r="AZ191" i="5"/>
  <c r="AZ242" i="5"/>
  <c r="BB242" i="5" s="1"/>
  <c r="AZ179" i="5"/>
  <c r="BA179" i="5" s="1"/>
  <c r="AZ136" i="5"/>
  <c r="AZ134" i="5"/>
  <c r="AZ177" i="5"/>
  <c r="BA177" i="5" s="1"/>
  <c r="AZ119" i="5"/>
  <c r="BB119" i="5" s="1"/>
  <c r="AZ117" i="5"/>
  <c r="BB117" i="5" s="1"/>
  <c r="AZ94" i="5"/>
  <c r="AZ89" i="5"/>
  <c r="BB89" i="5" s="1"/>
  <c r="AZ75" i="5"/>
  <c r="BB75" i="5" s="1"/>
  <c r="AZ52" i="5"/>
  <c r="AZ44" i="5"/>
  <c r="AZ34" i="5"/>
  <c r="BA34" i="5" s="1"/>
  <c r="AZ206" i="5"/>
  <c r="BB206" i="5" s="1"/>
  <c r="AZ314" i="5"/>
  <c r="AZ251" i="5"/>
  <c r="AZ284" i="5"/>
  <c r="BA284" i="5" s="1"/>
  <c r="AZ300" i="5"/>
  <c r="BB300" i="5" s="1"/>
  <c r="AZ223" i="5"/>
  <c r="BA223" i="5" s="1"/>
  <c r="AZ178" i="5"/>
  <c r="AZ195" i="5"/>
  <c r="BA195" i="5" s="1"/>
  <c r="AZ174" i="5"/>
  <c r="BB174" i="5" s="1"/>
  <c r="AZ156" i="5"/>
  <c r="AZ141" i="5"/>
  <c r="AZ137" i="5"/>
  <c r="BA137" i="5" s="1"/>
  <c r="AZ125" i="5"/>
  <c r="BB125" i="5" s="1"/>
  <c r="AZ114" i="5"/>
  <c r="AZ92" i="5"/>
  <c r="AZ47" i="5"/>
  <c r="BB47" i="5" s="1"/>
  <c r="AZ51" i="5"/>
  <c r="BB51" i="5" s="1"/>
  <c r="AZ32" i="5"/>
  <c r="BB32" i="5" s="1"/>
  <c r="AZ45" i="5"/>
  <c r="AZ326" i="5"/>
  <c r="BA326" i="5" s="1"/>
  <c r="AZ274" i="5"/>
  <c r="BB274" i="5" s="1"/>
  <c r="AZ219" i="5"/>
  <c r="AZ197" i="5"/>
  <c r="AZ132" i="5"/>
  <c r="BB132" i="5" s="1"/>
  <c r="AZ81" i="5"/>
  <c r="BB81" i="5" s="1"/>
  <c r="AZ80" i="5"/>
  <c r="AZ70" i="5"/>
  <c r="AZ68" i="5"/>
  <c r="BA68" i="5" s="1"/>
  <c r="AZ43" i="5"/>
  <c r="BA43" i="5" s="1"/>
  <c r="O12" i="5"/>
  <c r="T12" i="5" s="1"/>
  <c r="AZ352" i="5"/>
  <c r="AZ339" i="5"/>
  <c r="BB339" i="5" s="1"/>
  <c r="AZ295" i="5"/>
  <c r="BA295" i="5" s="1"/>
  <c r="AZ188" i="5"/>
  <c r="AZ247" i="5"/>
  <c r="AZ279" i="5"/>
  <c r="BB279" i="5" s="1"/>
  <c r="AZ237" i="5"/>
  <c r="BA237" i="5" s="1"/>
  <c r="AZ226" i="5"/>
  <c r="AZ230" i="5"/>
  <c r="AZ201" i="5"/>
  <c r="BA201" i="5" s="1"/>
  <c r="AZ180" i="5"/>
  <c r="BB180" i="5" s="1"/>
  <c r="AZ163" i="5"/>
  <c r="BA163" i="5" s="1"/>
  <c r="AZ154" i="5"/>
  <c r="AZ100" i="5"/>
  <c r="BA100" i="5" s="1"/>
  <c r="AZ86" i="5"/>
  <c r="BA86" i="5" s="1"/>
  <c r="AZ84" i="5"/>
  <c r="AZ78" i="5"/>
  <c r="AZ21" i="5"/>
  <c r="BA21" i="5" s="1"/>
  <c r="AZ30" i="5"/>
  <c r="BA30" i="5" s="1"/>
  <c r="AZ369" i="5"/>
  <c r="AZ346" i="5"/>
  <c r="AZ306" i="5"/>
  <c r="BA306" i="5" s="1"/>
  <c r="AZ232" i="5"/>
  <c r="BB232" i="5" s="1"/>
  <c r="AZ262" i="5"/>
  <c r="BA262" i="5" s="1"/>
  <c r="AZ285" i="5"/>
  <c r="AZ189" i="5"/>
  <c r="BA189" i="5" s="1"/>
  <c r="AZ238" i="5"/>
  <c r="BB238" i="5" s="1"/>
  <c r="AZ243" i="5"/>
  <c r="AZ130" i="5"/>
  <c r="AZ122" i="5"/>
  <c r="BB122" i="5" s="1"/>
  <c r="AZ175" i="5"/>
  <c r="BA175" i="5" s="1"/>
  <c r="AZ113" i="5"/>
  <c r="AZ112" i="5"/>
  <c r="AZ109" i="5"/>
  <c r="BA109" i="5" s="1"/>
  <c r="AZ88" i="5"/>
  <c r="BB88" i="5" s="1"/>
  <c r="AZ71" i="5"/>
  <c r="BA71" i="5" s="1"/>
  <c r="AZ48" i="5"/>
  <c r="AZ41" i="5"/>
  <c r="BB41" i="5" s="1"/>
  <c r="AZ29" i="5"/>
  <c r="BA29" i="5" s="1"/>
  <c r="AZ332" i="5"/>
  <c r="AZ283" i="5"/>
  <c r="AZ157" i="5"/>
  <c r="BB157" i="5" s="1"/>
  <c r="AZ231" i="5"/>
  <c r="BA231" i="5" s="1"/>
  <c r="AZ221" i="5"/>
  <c r="AZ172" i="5"/>
  <c r="AZ147" i="5"/>
  <c r="BA147" i="5" s="1"/>
  <c r="AZ105" i="5"/>
  <c r="BA105" i="5" s="1"/>
  <c r="AZ322" i="5"/>
  <c r="BA322" i="5" s="1"/>
  <c r="AZ263" i="5"/>
  <c r="AZ298" i="5"/>
  <c r="BA298" i="5" s="1"/>
  <c r="AZ313" i="5"/>
  <c r="BA313" i="5" s="1"/>
  <c r="AZ261" i="5"/>
  <c r="AZ199" i="5"/>
  <c r="AZ210" i="5"/>
  <c r="BA210" i="5" s="1"/>
  <c r="AZ208" i="5"/>
  <c r="BA208" i="5" s="1"/>
  <c r="AZ168" i="5"/>
  <c r="AZ159" i="5"/>
  <c r="AZ145" i="5"/>
  <c r="BA145" i="5" s="1"/>
  <c r="AZ133" i="5"/>
  <c r="BA133" i="5" s="1"/>
  <c r="AZ131" i="5"/>
  <c r="BA131" i="5" s="1"/>
  <c r="AZ97" i="5"/>
  <c r="AZ65" i="5"/>
  <c r="BB65" i="5" s="1"/>
  <c r="AZ61" i="5"/>
  <c r="BB61" i="5" s="1"/>
  <c r="AZ56" i="5"/>
  <c r="AZ26" i="5"/>
  <c r="AZ411" i="5"/>
  <c r="BB411" i="5" s="1"/>
  <c r="AZ316" i="5"/>
  <c r="BA316" i="5" s="1"/>
  <c r="AZ329" i="5"/>
  <c r="AZ268" i="5"/>
  <c r="AZ317" i="5"/>
  <c r="BB317" i="5" s="1"/>
  <c r="AZ323" i="5"/>
  <c r="BA323" i="5" s="1"/>
  <c r="AZ266" i="5"/>
  <c r="BB266" i="5" s="1"/>
  <c r="AZ202" i="5"/>
  <c r="AZ214" i="5"/>
  <c r="BB214" i="5" s="1"/>
  <c r="AZ213" i="5"/>
  <c r="BB213" i="5" s="1"/>
  <c r="AZ183" i="5"/>
  <c r="AZ166" i="5"/>
  <c r="AZ101" i="5"/>
  <c r="BA101" i="5" s="1"/>
  <c r="AZ138" i="5"/>
  <c r="BA138" i="5" s="1"/>
  <c r="AZ144" i="5"/>
  <c r="AZ74" i="5"/>
  <c r="AZ76" i="5"/>
  <c r="BB76" i="5" s="1"/>
  <c r="AZ54" i="5"/>
  <c r="BB54" i="5" s="1"/>
  <c r="AZ64" i="5"/>
  <c r="BB64" i="5" s="1"/>
  <c r="AZ31" i="5"/>
  <c r="AZ338" i="5"/>
  <c r="BA338" i="5" s="1"/>
  <c r="AZ337" i="5"/>
  <c r="BA337" i="5" s="1"/>
  <c r="AZ287" i="5"/>
  <c r="AZ331" i="5"/>
  <c r="AZ207" i="5"/>
  <c r="BA207" i="5" s="1"/>
  <c r="AZ276" i="5"/>
  <c r="BA276" i="5" s="1"/>
  <c r="AZ234" i="5"/>
  <c r="AZ222" i="5"/>
  <c r="AZ225" i="5"/>
  <c r="BA225" i="5" s="1"/>
  <c r="AZ198" i="5"/>
  <c r="BB198" i="5" s="1"/>
  <c r="AZ176" i="5"/>
  <c r="BB176" i="5" s="1"/>
  <c r="AZ160" i="5"/>
  <c r="AZ149" i="5"/>
  <c r="BB149" i="5" s="1"/>
  <c r="AZ85" i="5"/>
  <c r="BB85" i="5" s="1"/>
  <c r="AZ108" i="5"/>
  <c r="AZ82" i="5"/>
  <c r="AZ72" i="5"/>
  <c r="BA72" i="5" s="1"/>
  <c r="AZ73" i="5"/>
  <c r="BA73" i="5" s="1"/>
  <c r="U287" i="5"/>
  <c r="AV314" i="5"/>
  <c r="AU314" i="5"/>
  <c r="AV221" i="5"/>
  <c r="AU221" i="5"/>
  <c r="AU160" i="5"/>
  <c r="AV160" i="5"/>
  <c r="AU234" i="5"/>
  <c r="AV234" i="5"/>
  <c r="AV181" i="5"/>
  <c r="AV173" i="5"/>
  <c r="AU173" i="5"/>
  <c r="AU126" i="5"/>
  <c r="AV126" i="5"/>
  <c r="AV87" i="5"/>
  <c r="AU87" i="5"/>
  <c r="AU31" i="5"/>
  <c r="AV31" i="5"/>
  <c r="AJ172" i="5"/>
  <c r="AV250" i="5"/>
  <c r="AU250" i="5"/>
  <c r="AU301" i="5"/>
  <c r="AV301" i="5"/>
  <c r="AV251" i="5"/>
  <c r="AU251" i="5"/>
  <c r="AU195" i="5"/>
  <c r="AV195" i="5"/>
  <c r="AV164" i="5"/>
  <c r="AU164" i="5"/>
  <c r="AV199" i="5"/>
  <c r="AU199" i="5"/>
  <c r="AV133" i="5"/>
  <c r="AU133" i="5"/>
  <c r="AU187" i="5"/>
  <c r="AV187" i="5"/>
  <c r="AV110" i="5"/>
  <c r="AU110" i="5"/>
  <c r="AV92" i="5"/>
  <c r="AU92" i="5"/>
  <c r="AU55" i="5"/>
  <c r="AV55" i="5"/>
  <c r="AV65" i="5"/>
  <c r="AU65" i="5"/>
  <c r="AV47" i="5"/>
  <c r="AU47" i="5"/>
  <c r="AU307" i="5"/>
  <c r="AV307" i="5"/>
  <c r="AV200" i="5"/>
  <c r="AU200" i="5"/>
  <c r="AU282" i="5"/>
  <c r="AV282" i="5"/>
  <c r="AU322" i="5"/>
  <c r="AV322" i="5"/>
  <c r="AU265" i="5"/>
  <c r="AV265" i="5"/>
  <c r="AV230" i="5"/>
  <c r="AU230" i="5"/>
  <c r="AU224" i="5"/>
  <c r="AV224" i="5"/>
  <c r="AU163" i="5"/>
  <c r="AV163" i="5"/>
  <c r="AU150" i="5"/>
  <c r="AV150" i="5"/>
  <c r="AU122" i="5"/>
  <c r="AV122" i="5"/>
  <c r="AU71" i="5"/>
  <c r="AV71" i="5"/>
  <c r="AV88" i="5"/>
  <c r="AU88" i="5"/>
  <c r="AU90" i="5"/>
  <c r="AV90" i="5"/>
  <c r="AU63" i="5"/>
  <c r="AV63" i="5"/>
  <c r="AU53" i="5"/>
  <c r="AV53" i="5"/>
  <c r="AU21" i="5"/>
  <c r="AV21" i="5"/>
  <c r="B142" i="2"/>
  <c r="B144" i="2" s="1"/>
  <c r="H58" i="1" s="1"/>
  <c r="B62" i="5"/>
  <c r="AU257" i="5"/>
  <c r="AV257" i="5"/>
  <c r="AV211" i="5"/>
  <c r="AU211" i="5"/>
  <c r="AU176" i="5"/>
  <c r="AV176" i="5"/>
  <c r="AU131" i="5"/>
  <c r="AV131" i="5"/>
  <c r="AU135" i="5"/>
  <c r="AV135" i="5"/>
  <c r="AU118" i="5"/>
  <c r="AV118" i="5"/>
  <c r="AV141" i="5"/>
  <c r="AU141" i="5"/>
  <c r="AU78" i="5"/>
  <c r="AU23" i="5"/>
  <c r="AV23" i="5"/>
  <c r="AV25" i="5"/>
  <c r="AU25" i="5"/>
  <c r="AU335" i="5"/>
  <c r="AV335" i="5"/>
  <c r="AU259" i="5"/>
  <c r="AV259" i="5"/>
  <c r="AU297" i="5"/>
  <c r="AV297" i="5"/>
  <c r="AU205" i="5"/>
  <c r="AV205" i="5"/>
  <c r="AV280" i="5"/>
  <c r="AU280" i="5"/>
  <c r="AV238" i="5"/>
  <c r="AU238" i="5"/>
  <c r="AV243" i="5"/>
  <c r="AU243" i="5"/>
  <c r="AV138" i="5"/>
  <c r="AU138" i="5"/>
  <c r="AU83" i="5"/>
  <c r="AV83" i="5"/>
  <c r="AU22" i="5"/>
  <c r="AV22" i="5"/>
  <c r="AV64" i="5"/>
  <c r="AU64" i="5"/>
  <c r="AJ166" i="5"/>
  <c r="AJ7" i="5"/>
  <c r="AJ109" i="5"/>
  <c r="AL109" i="5" s="1"/>
  <c r="AJ121" i="5"/>
  <c r="AL121" i="5" s="1"/>
  <c r="V242" i="5"/>
  <c r="AU32" i="5"/>
  <c r="AV299" i="5"/>
  <c r="AU299" i="5"/>
  <c r="AU210" i="5"/>
  <c r="AV210" i="5"/>
  <c r="AU283" i="5"/>
  <c r="AV283" i="5"/>
  <c r="AV240" i="5"/>
  <c r="AU240" i="5"/>
  <c r="AV159" i="5"/>
  <c r="AU159" i="5"/>
  <c r="AU239" i="5"/>
  <c r="AV239" i="5"/>
  <c r="AU190" i="5"/>
  <c r="AV190" i="5"/>
  <c r="AV182" i="5"/>
  <c r="AU182" i="5"/>
  <c r="AU177" i="5"/>
  <c r="AV177" i="5"/>
  <c r="AU139" i="5"/>
  <c r="AV139" i="5"/>
  <c r="AV96" i="5"/>
  <c r="AU96" i="5"/>
  <c r="AU69" i="5"/>
  <c r="AV69" i="5"/>
  <c r="AV41" i="5"/>
  <c r="AU41" i="5"/>
  <c r="AU34" i="5"/>
  <c r="AV34" i="5"/>
  <c r="AU291" i="5"/>
  <c r="AV291" i="5"/>
  <c r="AU327" i="5"/>
  <c r="AV327" i="5"/>
  <c r="AV270" i="5"/>
  <c r="AU270" i="5"/>
  <c r="AV312" i="5"/>
  <c r="AU312" i="5"/>
  <c r="AV255" i="5"/>
  <c r="AU255" i="5"/>
  <c r="AU217" i="5"/>
  <c r="AV217" i="5"/>
  <c r="AU157" i="5"/>
  <c r="AV157" i="5"/>
  <c r="AV128" i="5"/>
  <c r="AU128" i="5"/>
  <c r="AU129" i="5"/>
  <c r="AV129" i="5"/>
  <c r="AV109" i="5"/>
  <c r="AU109" i="5"/>
  <c r="AV136" i="5"/>
  <c r="AU136" i="5"/>
  <c r="AV75" i="5"/>
  <c r="AU75" i="5"/>
  <c r="AU77" i="5"/>
  <c r="AV77" i="5"/>
  <c r="AU20" i="5"/>
  <c r="AV20" i="5"/>
  <c r="AV51" i="5"/>
  <c r="AU51" i="5"/>
  <c r="AV8" i="5"/>
  <c r="AU8" i="5"/>
  <c r="AJ43" i="5"/>
  <c r="V484" i="5"/>
  <c r="AU237" i="5"/>
  <c r="AV237" i="5"/>
  <c r="AU286" i="5"/>
  <c r="AV286" i="5"/>
  <c r="AV324" i="5"/>
  <c r="AU324" i="5"/>
  <c r="AV273" i="5"/>
  <c r="AU273" i="5"/>
  <c r="AU233" i="5"/>
  <c r="AV233" i="5"/>
  <c r="AU229" i="5"/>
  <c r="AV229" i="5"/>
  <c r="AU218" i="5"/>
  <c r="AV218" i="5"/>
  <c r="AV175" i="5"/>
  <c r="AU175" i="5"/>
  <c r="AV165" i="5"/>
  <c r="AU165" i="5"/>
  <c r="AV153" i="5"/>
  <c r="AU153" i="5"/>
  <c r="AU130" i="5"/>
  <c r="AV130" i="5"/>
  <c r="AV89" i="5"/>
  <c r="AU89" i="5"/>
  <c r="AV91" i="5"/>
  <c r="AU91" i="5"/>
  <c r="AV93" i="5"/>
  <c r="AU93" i="5"/>
  <c r="AV66" i="5"/>
  <c r="AU66" i="5"/>
  <c r="AU54" i="5"/>
  <c r="AV54" i="5"/>
  <c r="AU39" i="5"/>
  <c r="AV39" i="5"/>
  <c r="AU271" i="5"/>
  <c r="AV271" i="5"/>
  <c r="AU311" i="5"/>
  <c r="AV311" i="5"/>
  <c r="AU246" i="5"/>
  <c r="AV246" i="5"/>
  <c r="AV295" i="5"/>
  <c r="AU295" i="5"/>
  <c r="AU249" i="5"/>
  <c r="AV249" i="5"/>
  <c r="AU248" i="5"/>
  <c r="AV248" i="5"/>
  <c r="AU198" i="5"/>
  <c r="AV198" i="5"/>
  <c r="AV111" i="5"/>
  <c r="AU111" i="5"/>
  <c r="AV183" i="5"/>
  <c r="AU183" i="5"/>
  <c r="AV84" i="5"/>
  <c r="AU84" i="5"/>
  <c r="AU156" i="5"/>
  <c r="AV156" i="5"/>
  <c r="AV115" i="5"/>
  <c r="AU115" i="5"/>
  <c r="AV102" i="5"/>
  <c r="AU102" i="5"/>
  <c r="AU52" i="5"/>
  <c r="AV52" i="5"/>
  <c r="AU62" i="5"/>
  <c r="AV62" i="5"/>
  <c r="AU43" i="5"/>
  <c r="AV43" i="5"/>
  <c r="AV24" i="5"/>
  <c r="AU24" i="5"/>
  <c r="AV29" i="5"/>
  <c r="AU29" i="5"/>
  <c r="AV30" i="5"/>
  <c r="AU30" i="5"/>
  <c r="AV38" i="5"/>
  <c r="AU38" i="5"/>
  <c r="AU44" i="5"/>
  <c r="AV44" i="5"/>
  <c r="AZ25" i="5"/>
  <c r="AZ42" i="5"/>
  <c r="AZ58" i="5"/>
  <c r="AZ62" i="5"/>
  <c r="AZ96" i="5"/>
  <c r="AZ129" i="5"/>
  <c r="AZ128" i="5"/>
  <c r="AZ142" i="5"/>
  <c r="AZ153" i="5"/>
  <c r="AZ162" i="5"/>
  <c r="AZ205" i="5"/>
  <c r="AZ204" i="5"/>
  <c r="AZ186" i="5"/>
  <c r="AZ259" i="5"/>
  <c r="AZ307" i="5"/>
  <c r="AZ294" i="5"/>
  <c r="AZ257" i="5"/>
  <c r="AZ320" i="5"/>
  <c r="AZ358" i="5"/>
  <c r="AZ335" i="5"/>
  <c r="AZ383" i="5"/>
  <c r="AZ410" i="5"/>
  <c r="AZ428" i="5"/>
  <c r="AZ440" i="5"/>
  <c r="AZ277" i="5"/>
  <c r="AZ345" i="5"/>
  <c r="AZ361" i="5"/>
  <c r="AZ375" i="5"/>
  <c r="AZ386" i="5"/>
  <c r="AZ399" i="5"/>
  <c r="AZ417" i="5"/>
  <c r="AZ245" i="5"/>
  <c r="AZ280" i="5"/>
  <c r="AZ333" i="5"/>
  <c r="AZ342" i="5"/>
  <c r="AZ364" i="5"/>
  <c r="AZ378" i="5"/>
  <c r="AZ398" i="5"/>
  <c r="AZ416" i="5"/>
  <c r="AZ368" i="5"/>
  <c r="AZ452" i="5"/>
  <c r="AZ460" i="5"/>
  <c r="AZ478" i="5"/>
  <c r="AZ504" i="5"/>
  <c r="AZ531" i="5"/>
  <c r="AZ382" i="5"/>
  <c r="AZ403" i="5"/>
  <c r="AZ429" i="5"/>
  <c r="AZ461" i="5"/>
  <c r="AZ468" i="5"/>
  <c r="AZ480" i="5"/>
  <c r="AZ507" i="5"/>
  <c r="AZ516" i="5"/>
  <c r="AZ353" i="5"/>
  <c r="AZ405" i="5"/>
  <c r="AZ441" i="5"/>
  <c r="AZ453" i="5"/>
  <c r="AZ466" i="5"/>
  <c r="AZ479" i="5"/>
  <c r="AZ488" i="5"/>
  <c r="AZ494" i="5"/>
  <c r="AZ502" i="5"/>
  <c r="AZ509" i="5"/>
  <c r="AZ522" i="5"/>
  <c r="AZ545" i="5"/>
  <c r="AZ229" i="5"/>
  <c r="AZ425" i="5"/>
  <c r="AZ513" i="5"/>
  <c r="AZ529" i="5"/>
  <c r="AZ548" i="5"/>
  <c r="AZ558" i="5"/>
  <c r="AZ448" i="5"/>
  <c r="AZ544" i="5"/>
  <c r="AZ407" i="5"/>
  <c r="AZ501" i="5"/>
  <c r="AZ541" i="5"/>
  <c r="AZ559" i="5"/>
  <c r="AZ464" i="5"/>
  <c r="AZ19" i="5"/>
  <c r="AZ37" i="5"/>
  <c r="AZ67" i="5"/>
  <c r="AZ57" i="5"/>
  <c r="AZ77" i="5"/>
  <c r="AZ102" i="5"/>
  <c r="AZ151" i="5"/>
  <c r="AZ146" i="5"/>
  <c r="AZ104" i="5"/>
  <c r="AZ170" i="5"/>
  <c r="AZ187" i="5"/>
  <c r="AZ216" i="5"/>
  <c r="AZ217" i="5"/>
  <c r="AZ215" i="5"/>
  <c r="AZ271" i="5"/>
  <c r="AZ327" i="5"/>
  <c r="AZ321" i="5"/>
  <c r="AZ275" i="5"/>
  <c r="AZ330" i="5"/>
  <c r="AZ224" i="5"/>
  <c r="AZ360" i="5"/>
  <c r="AZ385" i="5"/>
  <c r="AZ414" i="5"/>
  <c r="AZ431" i="5"/>
  <c r="AZ250" i="5"/>
  <c r="AZ293" i="5"/>
  <c r="AZ350" i="5"/>
  <c r="AZ363" i="5"/>
  <c r="AZ377" i="5"/>
  <c r="AZ389" i="5"/>
  <c r="AZ402" i="5"/>
  <c r="AZ418" i="5"/>
  <c r="AZ254" i="5"/>
  <c r="AZ286" i="5"/>
  <c r="AZ336" i="5"/>
  <c r="AZ348" i="5"/>
  <c r="AZ366" i="5"/>
  <c r="AZ379" i="5"/>
  <c r="AZ400" i="5"/>
  <c r="AZ311" i="5"/>
  <c r="AZ401" i="5"/>
  <c r="AZ457" i="5"/>
  <c r="AZ471" i="5"/>
  <c r="AZ490" i="5"/>
  <c r="AZ515" i="5"/>
  <c r="AZ532" i="5"/>
  <c r="AZ391" i="5"/>
  <c r="AZ412" i="5"/>
  <c r="AZ439" i="5"/>
  <c r="AZ462" i="5"/>
  <c r="AZ470" i="5"/>
  <c r="AZ484" i="5"/>
  <c r="AZ511" i="5"/>
  <c r="AZ519" i="5"/>
  <c r="AZ381" i="5"/>
  <c r="AZ430" i="5"/>
  <c r="AZ443" i="5"/>
  <c r="AZ454" i="5"/>
  <c r="AZ469" i="5"/>
  <c r="AZ482" i="5"/>
  <c r="AZ489" i="5"/>
  <c r="AZ495" i="5"/>
  <c r="AZ503" i="5"/>
  <c r="AZ510" i="5"/>
  <c r="AZ523" i="5"/>
  <c r="AZ554" i="5"/>
  <c r="AZ297" i="5"/>
  <c r="AZ449" i="5"/>
  <c r="AZ517" i="5"/>
  <c r="AZ534" i="5"/>
  <c r="AZ553" i="5"/>
  <c r="AZ433" i="5"/>
  <c r="AZ524" i="5"/>
  <c r="AZ549" i="5"/>
  <c r="AZ424" i="5"/>
  <c r="AZ528" i="5"/>
  <c r="AZ542" i="5"/>
  <c r="AZ372" i="5"/>
  <c r="AZ483" i="5"/>
  <c r="AZ33" i="5"/>
  <c r="AZ28" i="5"/>
  <c r="AZ49" i="5"/>
  <c r="AZ93" i="5"/>
  <c r="AZ87" i="5"/>
  <c r="AZ106" i="5"/>
  <c r="AZ155" i="5"/>
  <c r="AZ167" i="5"/>
  <c r="AZ185" i="5"/>
  <c r="AZ203" i="5"/>
  <c r="AZ233" i="5"/>
  <c r="AZ228" i="5"/>
  <c r="AZ239" i="5"/>
  <c r="AZ281" i="5"/>
  <c r="AZ253" i="5"/>
  <c r="AZ192" i="5"/>
  <c r="AZ301" i="5"/>
  <c r="AZ343" i="5"/>
  <c r="AZ258" i="5"/>
  <c r="AZ367" i="5"/>
  <c r="AZ404" i="5"/>
  <c r="AZ420" i="5"/>
  <c r="AZ435" i="5"/>
  <c r="AZ252" i="5"/>
  <c r="AZ304" i="5"/>
  <c r="AZ356" i="5"/>
  <c r="AZ365" i="5"/>
  <c r="AZ380" i="5"/>
  <c r="AZ390" i="5"/>
  <c r="AZ408" i="5"/>
  <c r="AZ419" i="5"/>
  <c r="AZ267" i="5"/>
  <c r="AZ289" i="5"/>
  <c r="AZ340" i="5"/>
  <c r="AZ349" i="5"/>
  <c r="AZ371" i="5"/>
  <c r="AZ388" i="5"/>
  <c r="AZ406" i="5"/>
  <c r="AZ354" i="5"/>
  <c r="AZ422" i="5"/>
  <c r="AZ458" i="5"/>
  <c r="AZ472" i="5"/>
  <c r="AZ496" i="5"/>
  <c r="AZ525" i="5"/>
  <c r="AZ270" i="5"/>
  <c r="AZ394" i="5"/>
  <c r="AZ426" i="5"/>
  <c r="AZ446" i="5"/>
  <c r="AZ465" i="5"/>
  <c r="AZ474" i="5"/>
  <c r="AZ498" i="5"/>
  <c r="AZ512" i="5"/>
  <c r="AZ308" i="5"/>
  <c r="AZ387" i="5"/>
  <c r="AZ432" i="5"/>
  <c r="AZ444" i="5"/>
  <c r="AZ455" i="5"/>
  <c r="AZ473" i="5"/>
  <c r="AZ486" i="5"/>
  <c r="AZ492" i="5"/>
  <c r="AZ499" i="5"/>
  <c r="AZ505" i="5"/>
  <c r="AZ518" i="5"/>
  <c r="AZ530" i="5"/>
  <c r="AZ555" i="5"/>
  <c r="AZ328" i="5"/>
  <c r="AZ456" i="5"/>
  <c r="AZ521" i="5"/>
  <c r="AZ536" i="5"/>
  <c r="AZ557" i="5"/>
  <c r="AZ437" i="5"/>
  <c r="AZ538" i="5"/>
  <c r="AZ550" i="5"/>
  <c r="AZ481" i="5"/>
  <c r="AZ533" i="5"/>
  <c r="AZ547" i="5"/>
  <c r="AZ438" i="5"/>
  <c r="AZ537" i="5"/>
  <c r="AZ36" i="5"/>
  <c r="AZ46" i="5"/>
  <c r="AZ63" i="5"/>
  <c r="AZ79" i="5"/>
  <c r="AZ90" i="5"/>
  <c r="AZ99" i="5"/>
  <c r="AZ120" i="5"/>
  <c r="AZ124" i="5"/>
  <c r="AZ181" i="5"/>
  <c r="AZ143" i="5"/>
  <c r="AZ165" i="5"/>
  <c r="AZ182" i="5"/>
  <c r="AZ244" i="5"/>
  <c r="AZ193" i="5"/>
  <c r="AZ291" i="5"/>
  <c r="AZ272" i="5"/>
  <c r="AZ248" i="5"/>
  <c r="AZ310" i="5"/>
  <c r="AZ357" i="5"/>
  <c r="AZ319" i="5"/>
  <c r="AZ376" i="5"/>
  <c r="AZ409" i="5"/>
  <c r="AZ423" i="5"/>
  <c r="AZ436" i="5"/>
  <c r="AZ260" i="5"/>
  <c r="AZ334" i="5"/>
  <c r="AZ359" i="5"/>
  <c r="AZ370" i="5"/>
  <c r="AZ384" i="5"/>
  <c r="AZ392" i="5"/>
  <c r="AZ413" i="5"/>
  <c r="AZ209" i="5"/>
  <c r="AZ273" i="5"/>
  <c r="AZ292" i="5"/>
  <c r="AZ341" i="5"/>
  <c r="AZ355" i="5"/>
  <c r="AZ374" i="5"/>
  <c r="AZ395" i="5"/>
  <c r="AZ415" i="5"/>
  <c r="AZ362" i="5"/>
  <c r="AZ442" i="5"/>
  <c r="AZ459" i="5"/>
  <c r="AZ475" i="5"/>
  <c r="AZ497" i="5"/>
  <c r="AZ526" i="5"/>
  <c r="AZ325" i="5"/>
  <c r="AZ397" i="5"/>
  <c r="AZ427" i="5"/>
  <c r="AZ447" i="5"/>
  <c r="AZ467" i="5"/>
  <c r="AZ477" i="5"/>
  <c r="AZ506" i="5"/>
  <c r="AZ514" i="5"/>
  <c r="AZ347" i="5"/>
  <c r="AZ396" i="5"/>
  <c r="AZ434" i="5"/>
  <c r="AZ451" i="5"/>
  <c r="AZ463" i="5"/>
  <c r="AZ476" i="5"/>
  <c r="AZ487" i="5"/>
  <c r="AZ493" i="5"/>
  <c r="AZ500" i="5"/>
  <c r="AZ508" i="5"/>
  <c r="AZ520" i="5"/>
  <c r="AZ539" i="5"/>
  <c r="AZ556" i="5"/>
  <c r="AZ421" i="5"/>
  <c r="AZ485" i="5"/>
  <c r="AZ527" i="5"/>
  <c r="AZ540" i="5"/>
  <c r="AZ560" i="5"/>
  <c r="AZ445" i="5"/>
  <c r="AZ543" i="5"/>
  <c r="AZ551" i="5"/>
  <c r="AZ491" i="5"/>
  <c r="AZ535" i="5"/>
  <c r="AZ552" i="5"/>
  <c r="AZ450" i="5"/>
  <c r="AZ546" i="5"/>
  <c r="AW26" i="5"/>
  <c r="AW48" i="5"/>
  <c r="AW33" i="5"/>
  <c r="AW46" i="5"/>
  <c r="AW32" i="5"/>
  <c r="AW45" i="5"/>
  <c r="AW34" i="5"/>
  <c r="AW59" i="5"/>
  <c r="AW36" i="5"/>
  <c r="AW54" i="5"/>
  <c r="AW65" i="5"/>
  <c r="AW40" i="5"/>
  <c r="AW58" i="5"/>
  <c r="AW83" i="5"/>
  <c r="AW70" i="5"/>
  <c r="AW81" i="5"/>
  <c r="AW99" i="5"/>
  <c r="AW84" i="5"/>
  <c r="AW95" i="5"/>
  <c r="AW107" i="5"/>
  <c r="AW111" i="5"/>
  <c r="AW120" i="5"/>
  <c r="AW135" i="5"/>
  <c r="AW152" i="5"/>
  <c r="AW115" i="5"/>
  <c r="AW130" i="5"/>
  <c r="AW141" i="5"/>
  <c r="AW157" i="5"/>
  <c r="AW102" i="5"/>
  <c r="AW114" i="5"/>
  <c r="AW131" i="5"/>
  <c r="AW147" i="5"/>
  <c r="AW155" i="5"/>
  <c r="AW164" i="5"/>
  <c r="AW176" i="5"/>
  <c r="AW156" i="5"/>
  <c r="AW183" i="5"/>
  <c r="AW170" i="5"/>
  <c r="AW188" i="5"/>
  <c r="AW205" i="5"/>
  <c r="AW148" i="5"/>
  <c r="AW195" i="5"/>
  <c r="AW214" i="5"/>
  <c r="AW226" i="5"/>
  <c r="AW240" i="5"/>
  <c r="AW197" i="5"/>
  <c r="AW231" i="5"/>
  <c r="AW169" i="5"/>
  <c r="AW187" i="5"/>
  <c r="AW198" i="5"/>
  <c r="AW216" i="5"/>
  <c r="AW224" i="5"/>
  <c r="AW241" i="5"/>
  <c r="AW233" i="5"/>
  <c r="AW253" i="5"/>
  <c r="AW272" i="5"/>
  <c r="AW294" i="5"/>
  <c r="AW310" i="5"/>
  <c r="AW329" i="5"/>
  <c r="AW225" i="5"/>
  <c r="AW251" i="5"/>
  <c r="AW263" i="5"/>
  <c r="AW280" i="5"/>
  <c r="AW295" i="5"/>
  <c r="AW312" i="5"/>
  <c r="AW322" i="5"/>
  <c r="AW213" i="5"/>
  <c r="AW252" i="5"/>
  <c r="AW270" i="5"/>
  <c r="AW282" i="5"/>
  <c r="AW297" i="5"/>
  <c r="AW311" i="5"/>
  <c r="AW328" i="5"/>
  <c r="AW347" i="5"/>
  <c r="AW246" i="5"/>
  <c r="AW313" i="5"/>
  <c r="AW345" i="5"/>
  <c r="AW357" i="5"/>
  <c r="AW370" i="5"/>
  <c r="AW380" i="5"/>
  <c r="AW392" i="5"/>
  <c r="AW413" i="5"/>
  <c r="AW427" i="5"/>
  <c r="AW271" i="5"/>
  <c r="AW341" i="5"/>
  <c r="O13" i="5"/>
  <c r="AJ13" i="5" s="1"/>
  <c r="AW22" i="5"/>
  <c r="AW31" i="5"/>
  <c r="AW20" i="5"/>
  <c r="AW38" i="5"/>
  <c r="AW21" i="5"/>
  <c r="AW35" i="5"/>
  <c r="AW52" i="5"/>
  <c r="AW51" i="5"/>
  <c r="AW61" i="5"/>
  <c r="AW47" i="5"/>
  <c r="AW56" i="5"/>
  <c r="AW71" i="5"/>
  <c r="AW60" i="5"/>
  <c r="AW68" i="5"/>
  <c r="AW88" i="5"/>
  <c r="AW72" i="5"/>
  <c r="AW85" i="5"/>
  <c r="AW101" i="5"/>
  <c r="AW89" i="5"/>
  <c r="AW96" i="5"/>
  <c r="AW97" i="5"/>
  <c r="AW112" i="5"/>
  <c r="AW125" i="5"/>
  <c r="AW138" i="5"/>
  <c r="AW158" i="5"/>
  <c r="AW116" i="5"/>
  <c r="AW132" i="5"/>
  <c r="AW143" i="5"/>
  <c r="AW64" i="5"/>
  <c r="AW105" i="5"/>
  <c r="AW121" i="5"/>
  <c r="AW133" i="5"/>
  <c r="AW150" i="5"/>
  <c r="AW113" i="5"/>
  <c r="AW166" i="5"/>
  <c r="AW180" i="5"/>
  <c r="AW173" i="5"/>
  <c r="AW119" i="5"/>
  <c r="AW171" i="5"/>
  <c r="AW191" i="5"/>
  <c r="AW207" i="5"/>
  <c r="AW160" i="5"/>
  <c r="AW203" i="5"/>
  <c r="AW217" i="5"/>
  <c r="AW228" i="5"/>
  <c r="AW242" i="5"/>
  <c r="AW199" i="5"/>
  <c r="AW234" i="5"/>
  <c r="AW172" i="5"/>
  <c r="AW189" i="5"/>
  <c r="AW201" i="5"/>
  <c r="AW218" i="5"/>
  <c r="AW227" i="5"/>
  <c r="AW163" i="5"/>
  <c r="AW236" i="5"/>
  <c r="AW256" i="5"/>
  <c r="AW278" i="5"/>
  <c r="AW298" i="5"/>
  <c r="AW317" i="5"/>
  <c r="AW330" i="5"/>
  <c r="AW230" i="5"/>
  <c r="AW254" i="5"/>
  <c r="AW265" i="5"/>
  <c r="AW283" i="5"/>
  <c r="AW301" i="5"/>
  <c r="AW314" i="5"/>
  <c r="AW324" i="5"/>
  <c r="AW221" i="5"/>
  <c r="AW258" i="5"/>
  <c r="AW273" i="5"/>
  <c r="AW286" i="5"/>
  <c r="AW299" i="5"/>
  <c r="AW316" i="5"/>
  <c r="AW333" i="5"/>
  <c r="AW353" i="5"/>
  <c r="AW281" i="5"/>
  <c r="AW327" i="5"/>
  <c r="AW346" i="5"/>
  <c r="AW359" i="5"/>
  <c r="AW371" i="5"/>
  <c r="AW384" i="5"/>
  <c r="AW399" i="5"/>
  <c r="AW416" i="5"/>
  <c r="AW8" i="5"/>
  <c r="AW23" i="5"/>
  <c r="AW37" i="5"/>
  <c r="AW29" i="5"/>
  <c r="AW41" i="5"/>
  <c r="AW24" i="5"/>
  <c r="AW39" i="5"/>
  <c r="AW63" i="5"/>
  <c r="AW53" i="5"/>
  <c r="AW66" i="5"/>
  <c r="AW49" i="5"/>
  <c r="AW57" i="5"/>
  <c r="AW75" i="5"/>
  <c r="AW76" i="5"/>
  <c r="AW73" i="5"/>
  <c r="AW91" i="5"/>
  <c r="AW82" i="5"/>
  <c r="AW93" i="5"/>
  <c r="AW104" i="5"/>
  <c r="AW90" i="5"/>
  <c r="AW98" i="5"/>
  <c r="AW103" i="5"/>
  <c r="AW117" i="5"/>
  <c r="AW126" i="5"/>
  <c r="AW146" i="5"/>
  <c r="AW161" i="5"/>
  <c r="AW122" i="5"/>
  <c r="AW134" i="5"/>
  <c r="AW145" i="5"/>
  <c r="AW80" i="5"/>
  <c r="AW108" i="5"/>
  <c r="AW123" i="5"/>
  <c r="AW140" i="5"/>
  <c r="AW151" i="5"/>
  <c r="AW139" i="5"/>
  <c r="AW168" i="5"/>
  <c r="AW185" i="5"/>
  <c r="AW178" i="5"/>
  <c r="AW137" i="5"/>
  <c r="AW182" i="5"/>
  <c r="AW196" i="5"/>
  <c r="AW124" i="5"/>
  <c r="AW162" i="5"/>
  <c r="AW204" i="5"/>
  <c r="AW219" i="5"/>
  <c r="AW235" i="5"/>
  <c r="AW244" i="5"/>
  <c r="AW202" i="5"/>
  <c r="AW237" i="5"/>
  <c r="AW175" i="5"/>
  <c r="AW192" i="5"/>
  <c r="AW206" i="5"/>
  <c r="AW220" i="5"/>
  <c r="AW229" i="5"/>
  <c r="AW208" i="5"/>
  <c r="AW243" i="5"/>
  <c r="AW262" i="5"/>
  <c r="AW284" i="5"/>
  <c r="AW302" i="5"/>
  <c r="AW321" i="5"/>
  <c r="AW331" i="5"/>
  <c r="AW248" i="5"/>
  <c r="AW255" i="5"/>
  <c r="AW268" i="5"/>
  <c r="AW287" i="5"/>
  <c r="AW306" i="5"/>
  <c r="AW315" i="5"/>
  <c r="AW332" i="5"/>
  <c r="AW245" i="5"/>
  <c r="AW260" i="5"/>
  <c r="AW276" i="5"/>
  <c r="AW289" i="5"/>
  <c r="AW304" i="5"/>
  <c r="AW319" i="5"/>
  <c r="AW334" i="5"/>
  <c r="AW355" i="5"/>
  <c r="AW296" i="5"/>
  <c r="AW337" i="5"/>
  <c r="AW350" i="5"/>
  <c r="AW363" i="5"/>
  <c r="AW377" i="5"/>
  <c r="AW389" i="5"/>
  <c r="AW408" i="5"/>
  <c r="AW419" i="5"/>
  <c r="AW434" i="5"/>
  <c r="AW25" i="5"/>
  <c r="AW43" i="5"/>
  <c r="AW30" i="5"/>
  <c r="AW44" i="5"/>
  <c r="AW28" i="5"/>
  <c r="AW42" i="5"/>
  <c r="AW69" i="5"/>
  <c r="AW55" i="5"/>
  <c r="AW27" i="5"/>
  <c r="AW50" i="5"/>
  <c r="AW62" i="5"/>
  <c r="AW79" i="5"/>
  <c r="AW77" i="5"/>
  <c r="AW74" i="5"/>
  <c r="AW67" i="5"/>
  <c r="AW78" i="5"/>
  <c r="AW94" i="5"/>
  <c r="AW109" i="5"/>
  <c r="AW92" i="5"/>
  <c r="AW100" i="5"/>
  <c r="AW106" i="5"/>
  <c r="AW118" i="5"/>
  <c r="AW128" i="5"/>
  <c r="AW149" i="5"/>
  <c r="AW87" i="5"/>
  <c r="AW127" i="5"/>
  <c r="AW136" i="5"/>
  <c r="AW153" i="5"/>
  <c r="AW86" i="5"/>
  <c r="AW110" i="5"/>
  <c r="AW129" i="5"/>
  <c r="AW144" i="5"/>
  <c r="AW154" i="5"/>
  <c r="AW159" i="5"/>
  <c r="AW174" i="5"/>
  <c r="AW186" i="5"/>
  <c r="AW179" i="5"/>
  <c r="AW165" i="5"/>
  <c r="AW184" i="5"/>
  <c r="AW200" i="5"/>
  <c r="AW142" i="5"/>
  <c r="AW194" i="5"/>
  <c r="AW210" i="5"/>
  <c r="AW222" i="5"/>
  <c r="AW238" i="5"/>
  <c r="AW167" i="5"/>
  <c r="AW215" i="5"/>
  <c r="AW239" i="5"/>
  <c r="AW181" i="5"/>
  <c r="AW193" i="5"/>
  <c r="AW209" i="5"/>
  <c r="AW223" i="5"/>
  <c r="AW232" i="5"/>
  <c r="AW211" i="5"/>
  <c r="AW247" i="5"/>
  <c r="AW269" i="5"/>
  <c r="AW290" i="5"/>
  <c r="AW305" i="5"/>
  <c r="AW326" i="5"/>
  <c r="AW177" i="5"/>
  <c r="AW249" i="5"/>
  <c r="AW257" i="5"/>
  <c r="AW275" i="5"/>
  <c r="AW293" i="5"/>
  <c r="AW309" i="5"/>
  <c r="AW320" i="5"/>
  <c r="AW190" i="5"/>
  <c r="AW250" i="5"/>
  <c r="AW267" i="5"/>
  <c r="AW277" i="5"/>
  <c r="AW292" i="5"/>
  <c r="AW308" i="5"/>
  <c r="AW325" i="5"/>
  <c r="AW340" i="5"/>
  <c r="AW212" i="5"/>
  <c r="AW307" i="5"/>
  <c r="AW344" i="5"/>
  <c r="AW356" i="5"/>
  <c r="AW365" i="5"/>
  <c r="AW379" i="5"/>
  <c r="AW390" i="5"/>
  <c r="AW412" i="5"/>
  <c r="AW426" i="5"/>
  <c r="AW318" i="5"/>
  <c r="AW349" i="5"/>
  <c r="AW366" i="5"/>
  <c r="AW394" i="5"/>
  <c r="AW406" i="5"/>
  <c r="AW264" i="5"/>
  <c r="AW343" i="5"/>
  <c r="AW376" i="5"/>
  <c r="AW387" i="5"/>
  <c r="AW401" i="5"/>
  <c r="AW409" i="5"/>
  <c r="AW385" i="5"/>
  <c r="AW440" i="5"/>
  <c r="AW461" i="5"/>
  <c r="AW476" i="5"/>
  <c r="AW482" i="5"/>
  <c r="AW500" i="5"/>
  <c r="AW512" i="5"/>
  <c r="AW288" i="5"/>
  <c r="AW418" i="5"/>
  <c r="AW441" i="5"/>
  <c r="AW451" i="5"/>
  <c r="AW466" i="5"/>
  <c r="AW487" i="5"/>
  <c r="AW494" i="5"/>
  <c r="AW508" i="5"/>
  <c r="AW518" i="5"/>
  <c r="AW335" i="5"/>
  <c r="AW393" i="5"/>
  <c r="AW417" i="5"/>
  <c r="AW425" i="5"/>
  <c r="AW442" i="5"/>
  <c r="AW458" i="5"/>
  <c r="AW483" i="5"/>
  <c r="AW496" i="5"/>
  <c r="AW527" i="5"/>
  <c r="AW538" i="5"/>
  <c r="AW547" i="5"/>
  <c r="AW279" i="5"/>
  <c r="AW423" i="5"/>
  <c r="AW532" i="5"/>
  <c r="AW556" i="5"/>
  <c r="AW516" i="5"/>
  <c r="AW535" i="5"/>
  <c r="AW551" i="5"/>
  <c r="AW383" i="5"/>
  <c r="AW475" i="5"/>
  <c r="AW504" i="5"/>
  <c r="AW555" i="5"/>
  <c r="AW497" i="5"/>
  <c r="AW543" i="5"/>
  <c r="AW432" i="5"/>
  <c r="AW336" i="5"/>
  <c r="AW354" i="5"/>
  <c r="AW374" i="5"/>
  <c r="AW395" i="5"/>
  <c r="AW415" i="5"/>
  <c r="AW300" i="5"/>
  <c r="AW362" i="5"/>
  <c r="AW381" i="5"/>
  <c r="AW391" i="5"/>
  <c r="AW403" i="5"/>
  <c r="AW410" i="5"/>
  <c r="AW428" i="5"/>
  <c r="AW444" i="5"/>
  <c r="AW465" i="5"/>
  <c r="AW477" i="5"/>
  <c r="AW484" i="5"/>
  <c r="AW505" i="5"/>
  <c r="AW519" i="5"/>
  <c r="AW361" i="5"/>
  <c r="AW431" i="5"/>
  <c r="AW443" i="5"/>
  <c r="AW454" i="5"/>
  <c r="AW469" i="5"/>
  <c r="AW488" i="5"/>
  <c r="AW499" i="5"/>
  <c r="AW509" i="5"/>
  <c r="AW520" i="5"/>
  <c r="AW339" i="5"/>
  <c r="AW402" i="5"/>
  <c r="AW421" i="5"/>
  <c r="AW433" i="5"/>
  <c r="AW445" i="5"/>
  <c r="AW460" i="5"/>
  <c r="AW485" i="5"/>
  <c r="AW501" i="5"/>
  <c r="AW533" i="5"/>
  <c r="AW540" i="5"/>
  <c r="AW552" i="5"/>
  <c r="AW285" i="5"/>
  <c r="AW452" i="5"/>
  <c r="AW549" i="5"/>
  <c r="AW369" i="5"/>
  <c r="AW522" i="5"/>
  <c r="AW539" i="5"/>
  <c r="AW554" i="5"/>
  <c r="AW447" i="5"/>
  <c r="AW478" i="5"/>
  <c r="AW515" i="5"/>
  <c r="AW557" i="5"/>
  <c r="AW507" i="5"/>
  <c r="AW545" i="5"/>
  <c r="AW439" i="5"/>
  <c r="AW342" i="5"/>
  <c r="AW358" i="5"/>
  <c r="AW378" i="5"/>
  <c r="AW398" i="5"/>
  <c r="AW420" i="5"/>
  <c r="AW303" i="5"/>
  <c r="AW368" i="5"/>
  <c r="AW382" i="5"/>
  <c r="AW396" i="5"/>
  <c r="AW405" i="5"/>
  <c r="AW338" i="5"/>
  <c r="AW429" i="5"/>
  <c r="AW446" i="5"/>
  <c r="AW467" i="5"/>
  <c r="AW479" i="5"/>
  <c r="AW492" i="5"/>
  <c r="AW506" i="5"/>
  <c r="AW523" i="5"/>
  <c r="AW367" i="5"/>
  <c r="AW436" i="5"/>
  <c r="AW449" i="5"/>
  <c r="AW455" i="5"/>
  <c r="AW473" i="5"/>
  <c r="AW489" i="5"/>
  <c r="AW502" i="5"/>
  <c r="AW510" i="5"/>
  <c r="AW521" i="5"/>
  <c r="AW351" i="5"/>
  <c r="AW411" i="5"/>
  <c r="AW422" i="5"/>
  <c r="AW435" i="5"/>
  <c r="AW448" i="5"/>
  <c r="AW464" i="5"/>
  <c r="AW490" i="5"/>
  <c r="AW517" i="5"/>
  <c r="AW534" i="5"/>
  <c r="AW542" i="5"/>
  <c r="AW558" i="5"/>
  <c r="AW291" i="5"/>
  <c r="AW459" i="5"/>
  <c r="AW550" i="5"/>
  <c r="AW462" i="5"/>
  <c r="AW528" i="5"/>
  <c r="AW541" i="5"/>
  <c r="AW548" i="5"/>
  <c r="AW457" i="5"/>
  <c r="AW486" i="5"/>
  <c r="AW525" i="5"/>
  <c r="AW360" i="5"/>
  <c r="AW514" i="5"/>
  <c r="AW553" i="5"/>
  <c r="AW388" i="5"/>
  <c r="AW372" i="5"/>
  <c r="AW352" i="5"/>
  <c r="AW480" i="5"/>
  <c r="AW373" i="5"/>
  <c r="AW481" i="5"/>
  <c r="AW266" i="5"/>
  <c r="AW437" i="5"/>
  <c r="AW526" i="5"/>
  <c r="AW404" i="5"/>
  <c r="AW530" i="5"/>
  <c r="AW498" i="5"/>
  <c r="AW19" i="5"/>
  <c r="AW274" i="5"/>
  <c r="AW400" i="5"/>
  <c r="AW386" i="5"/>
  <c r="AW430" i="5"/>
  <c r="AW495" i="5"/>
  <c r="AW438" i="5"/>
  <c r="AW493" i="5"/>
  <c r="AW375" i="5"/>
  <c r="AW456" i="5"/>
  <c r="AW536" i="5"/>
  <c r="AW524" i="5"/>
  <c r="AW546" i="5"/>
  <c r="AW531" i="5"/>
  <c r="AW348" i="5"/>
  <c r="AW259" i="5"/>
  <c r="AW397" i="5"/>
  <c r="AW453" i="5"/>
  <c r="AW511" i="5"/>
  <c r="AW450" i="5"/>
  <c r="AW503" i="5"/>
  <c r="AW414" i="5"/>
  <c r="AW472" i="5"/>
  <c r="AW544" i="5"/>
  <c r="AW559" i="5"/>
  <c r="AW560" i="5"/>
  <c r="AW474" i="5"/>
  <c r="AW470" i="5"/>
  <c r="AW424" i="5"/>
  <c r="AW471" i="5"/>
  <c r="AW364" i="5"/>
  <c r="AW537" i="5"/>
  <c r="AW491" i="5"/>
  <c r="AW529" i="5"/>
  <c r="AW323" i="5"/>
  <c r="AW463" i="5"/>
  <c r="AW261" i="5"/>
  <c r="AW407" i="5"/>
  <c r="AW513" i="5"/>
  <c r="AW468" i="5"/>
  <c r="V162" i="5"/>
  <c r="V508" i="5"/>
  <c r="V130" i="5"/>
  <c r="V56" i="5"/>
  <c r="U374" i="5"/>
  <c r="V235" i="5"/>
  <c r="V372" i="5"/>
  <c r="V475" i="5"/>
  <c r="U553" i="5"/>
  <c r="V384" i="5"/>
  <c r="U181" i="5"/>
  <c r="V7" i="5"/>
  <c r="U7" i="5"/>
  <c r="BA227" i="5"/>
  <c r="BA240" i="5"/>
  <c r="BB240" i="5"/>
  <c r="BB169" i="5"/>
  <c r="BA103" i="5"/>
  <c r="BB103" i="5"/>
  <c r="BB8" i="5"/>
  <c r="BB309" i="5"/>
  <c r="BA309" i="5"/>
  <c r="BA242" i="5"/>
  <c r="BA134" i="5"/>
  <c r="BB134" i="5"/>
  <c r="BA89" i="5"/>
  <c r="BB284" i="5"/>
  <c r="BA125" i="5"/>
  <c r="U488" i="5"/>
  <c r="V488" i="5"/>
  <c r="U497" i="5"/>
  <c r="V497" i="5"/>
  <c r="V523" i="5"/>
  <c r="U523" i="5"/>
  <c r="U510" i="5"/>
  <c r="V510" i="5"/>
  <c r="V529" i="5"/>
  <c r="U529" i="5"/>
  <c r="V471" i="5"/>
  <c r="U471" i="5"/>
  <c r="V50" i="5"/>
  <c r="U50" i="5"/>
  <c r="V338" i="5"/>
  <c r="U338" i="5"/>
  <c r="V441" i="5"/>
  <c r="U441" i="5"/>
  <c r="U256" i="5"/>
  <c r="V256" i="5"/>
  <c r="U145" i="5"/>
  <c r="V145" i="5"/>
  <c r="U49" i="5"/>
  <c r="V49" i="5"/>
  <c r="U253" i="5"/>
  <c r="V253" i="5"/>
  <c r="U120" i="5"/>
  <c r="V120" i="5"/>
  <c r="U48" i="5"/>
  <c r="V48" i="5"/>
  <c r="U465" i="5"/>
  <c r="V465" i="5"/>
  <c r="U462" i="5"/>
  <c r="V462" i="5"/>
  <c r="V369" i="5"/>
  <c r="U369" i="5"/>
  <c r="V266" i="5"/>
  <c r="U266" i="5"/>
  <c r="U128" i="5"/>
  <c r="V128" i="5"/>
  <c r="U504" i="5"/>
  <c r="V504" i="5"/>
  <c r="U399" i="5"/>
  <c r="V399" i="5"/>
  <c r="V335" i="5"/>
  <c r="U335" i="5"/>
  <c r="U135" i="5"/>
  <c r="V135" i="5"/>
  <c r="V196" i="5"/>
  <c r="U196" i="5"/>
  <c r="U138" i="5"/>
  <c r="V138" i="5"/>
  <c r="V107" i="5"/>
  <c r="U107" i="5"/>
  <c r="U8" i="5"/>
  <c r="V8" i="5"/>
  <c r="V312" i="5"/>
  <c r="U318" i="5"/>
  <c r="BA332" i="5"/>
  <c r="BB332" i="5"/>
  <c r="BB283" i="5"/>
  <c r="BA283" i="5"/>
  <c r="BB326" i="5"/>
  <c r="BA274" i="5"/>
  <c r="BA219" i="5"/>
  <c r="BB219" i="5"/>
  <c r="BB221" i="5"/>
  <c r="BA221" i="5"/>
  <c r="BB197" i="5"/>
  <c r="BA197" i="5"/>
  <c r="BA172" i="5"/>
  <c r="BB172" i="5"/>
  <c r="BA132" i="5"/>
  <c r="BA81" i="5"/>
  <c r="BB80" i="5"/>
  <c r="BA80" i="5"/>
  <c r="BB70" i="5"/>
  <c r="BA70" i="5"/>
  <c r="BB68" i="5"/>
  <c r="BB43" i="5"/>
  <c r="BA352" i="5"/>
  <c r="BB352" i="5"/>
  <c r="BB295" i="5"/>
  <c r="BB188" i="5"/>
  <c r="BA188" i="5"/>
  <c r="BA247" i="5"/>
  <c r="BB247" i="5"/>
  <c r="BB237" i="5"/>
  <c r="BB226" i="5"/>
  <c r="BA226" i="5"/>
  <c r="BA230" i="5"/>
  <c r="BB230" i="5"/>
  <c r="BA180" i="5"/>
  <c r="BB154" i="5"/>
  <c r="BA154" i="5"/>
  <c r="BB86" i="5"/>
  <c r="BA84" i="5"/>
  <c r="BB84" i="5"/>
  <c r="BA78" i="5"/>
  <c r="BB78" i="5"/>
  <c r="BB30" i="5"/>
  <c r="BB369" i="5"/>
  <c r="BA369" i="5"/>
  <c r="BA346" i="5"/>
  <c r="BB346" i="5"/>
  <c r="BA232" i="5"/>
  <c r="BB285" i="5"/>
  <c r="BA285" i="5"/>
  <c r="BA238" i="5"/>
  <c r="BB243" i="5"/>
  <c r="BA243" i="5"/>
  <c r="BB130" i="5"/>
  <c r="BA130" i="5"/>
  <c r="BB175" i="5"/>
  <c r="BA113" i="5"/>
  <c r="BB113" i="5"/>
  <c r="BB112" i="5"/>
  <c r="BA112" i="5"/>
  <c r="BB71" i="5"/>
  <c r="BB48" i="5"/>
  <c r="BA48" i="5"/>
  <c r="BB29" i="5"/>
  <c r="AV7" i="5"/>
  <c r="AU7" i="5"/>
  <c r="U419" i="5"/>
  <c r="V419" i="5"/>
  <c r="V548" i="5"/>
  <c r="U548" i="5"/>
  <c r="U543" i="5"/>
  <c r="V543" i="5"/>
  <c r="V483" i="5"/>
  <c r="U483" i="5"/>
  <c r="U227" i="5"/>
  <c r="V227" i="5"/>
  <c r="U444" i="5"/>
  <c r="V444" i="5"/>
  <c r="U460" i="5"/>
  <c r="V460" i="5"/>
  <c r="U36" i="5"/>
  <c r="V36" i="5"/>
  <c r="V436" i="5"/>
  <c r="U436" i="5"/>
  <c r="V479" i="5"/>
  <c r="U479" i="5"/>
  <c r="U527" i="5"/>
  <c r="V527" i="5"/>
  <c r="V534" i="5"/>
  <c r="U534" i="5"/>
  <c r="U489" i="5"/>
  <c r="V489" i="5"/>
  <c r="U401" i="5"/>
  <c r="V401" i="5"/>
  <c r="U474" i="5"/>
  <c r="V474" i="5"/>
  <c r="V491" i="5"/>
  <c r="U491" i="5"/>
  <c r="U365" i="5"/>
  <c r="V365" i="5"/>
  <c r="U298" i="5"/>
  <c r="V298" i="5"/>
  <c r="U208" i="5"/>
  <c r="V208" i="5"/>
  <c r="V55" i="5"/>
  <c r="U55" i="5"/>
  <c r="V558" i="5"/>
  <c r="U558" i="5"/>
  <c r="U426" i="5"/>
  <c r="V426" i="5"/>
  <c r="U346" i="5"/>
  <c r="V346" i="5"/>
  <c r="U467" i="5"/>
  <c r="V467" i="5"/>
  <c r="U358" i="5"/>
  <c r="V358" i="5"/>
  <c r="V453" i="5"/>
  <c r="U453" i="5"/>
  <c r="U447" i="5"/>
  <c r="V447" i="5"/>
  <c r="V376" i="5"/>
  <c r="U376" i="5"/>
  <c r="V292" i="5"/>
  <c r="U292" i="5"/>
  <c r="U177" i="5"/>
  <c r="V177" i="5"/>
  <c r="U28" i="5"/>
  <c r="V28" i="5"/>
  <c r="U449" i="5"/>
  <c r="V449" i="5"/>
  <c r="U550" i="5"/>
  <c r="V550" i="5"/>
  <c r="U538" i="5"/>
  <c r="V538" i="5"/>
  <c r="U446" i="5"/>
  <c r="V446" i="5"/>
  <c r="U511" i="5"/>
  <c r="V511" i="5"/>
  <c r="U533" i="5"/>
  <c r="V533" i="5"/>
  <c r="U357" i="5"/>
  <c r="V357" i="5"/>
  <c r="U367" i="5"/>
  <c r="V367" i="5"/>
  <c r="U248" i="5"/>
  <c r="V248" i="5"/>
  <c r="U141" i="5"/>
  <c r="V141" i="5"/>
  <c r="U392" i="5"/>
  <c r="V392" i="5"/>
  <c r="V418" i="5"/>
  <c r="U418" i="5"/>
  <c r="U433" i="5"/>
  <c r="V433" i="5"/>
  <c r="U307" i="5"/>
  <c r="V307" i="5"/>
  <c r="U160" i="5"/>
  <c r="V160" i="5"/>
  <c r="U314" i="5"/>
  <c r="V314" i="5"/>
  <c r="U219" i="5"/>
  <c r="V219" i="5"/>
  <c r="U220" i="5"/>
  <c r="V220" i="5"/>
  <c r="U184" i="5"/>
  <c r="V184" i="5"/>
  <c r="V104" i="5"/>
  <c r="U104" i="5"/>
  <c r="U110" i="5"/>
  <c r="V110" i="5"/>
  <c r="U71" i="5"/>
  <c r="V71" i="5"/>
  <c r="U45" i="5"/>
  <c r="V45" i="5"/>
  <c r="U409" i="5"/>
  <c r="V409" i="5"/>
  <c r="U424" i="5"/>
  <c r="V424" i="5"/>
  <c r="U337" i="5"/>
  <c r="V337" i="5"/>
  <c r="V305" i="5"/>
  <c r="U305" i="5"/>
  <c r="U328" i="5"/>
  <c r="V328" i="5"/>
  <c r="V308" i="5"/>
  <c r="U308" i="5"/>
  <c r="U213" i="5"/>
  <c r="V213" i="5"/>
  <c r="U218" i="5"/>
  <c r="V218" i="5"/>
  <c r="U182" i="5"/>
  <c r="V182" i="5"/>
  <c r="U75" i="5"/>
  <c r="V75" i="5"/>
  <c r="U108" i="5"/>
  <c r="V108" i="5"/>
  <c r="U68" i="5"/>
  <c r="V68" i="5"/>
  <c r="U42" i="5"/>
  <c r="V42" i="5"/>
  <c r="U469" i="5"/>
  <c r="V469" i="5"/>
  <c r="V552" i="5"/>
  <c r="U552" i="5"/>
  <c r="U554" i="5"/>
  <c r="V554" i="5"/>
  <c r="V344" i="5"/>
  <c r="U344" i="5"/>
  <c r="V486" i="5"/>
  <c r="U486" i="5"/>
  <c r="U422" i="5"/>
  <c r="V422" i="5"/>
  <c r="V512" i="5"/>
  <c r="U512" i="5"/>
  <c r="V442" i="5"/>
  <c r="U442" i="5"/>
  <c r="V472" i="5"/>
  <c r="U472" i="5"/>
  <c r="U404" i="5"/>
  <c r="V404" i="5"/>
  <c r="V228" i="5"/>
  <c r="U228" i="5"/>
  <c r="U437" i="5"/>
  <c r="V437" i="5"/>
  <c r="U359" i="5"/>
  <c r="V359" i="5"/>
  <c r="U321" i="5"/>
  <c r="V321" i="5"/>
  <c r="U332" i="5"/>
  <c r="V332" i="5"/>
  <c r="V233" i="5"/>
  <c r="U233" i="5"/>
  <c r="V234" i="5"/>
  <c r="U234" i="5"/>
  <c r="V158" i="5"/>
  <c r="U158" i="5"/>
  <c r="V122" i="5"/>
  <c r="U122" i="5"/>
  <c r="V113" i="5"/>
  <c r="U113" i="5"/>
  <c r="V77" i="5"/>
  <c r="U77" i="5"/>
  <c r="V40" i="5"/>
  <c r="U40" i="5"/>
  <c r="V498" i="5"/>
  <c r="U498" i="5"/>
  <c r="V438" i="5"/>
  <c r="U438" i="5"/>
  <c r="U499" i="5"/>
  <c r="V499" i="5"/>
  <c r="U428" i="5"/>
  <c r="V428" i="5"/>
  <c r="U382" i="5"/>
  <c r="V382" i="5"/>
  <c r="V195" i="5"/>
  <c r="U195" i="5"/>
  <c r="V341" i="5"/>
  <c r="U341" i="5"/>
  <c r="V400" i="5"/>
  <c r="U400" i="5"/>
  <c r="U315" i="5"/>
  <c r="V315" i="5"/>
  <c r="U320" i="5"/>
  <c r="V320" i="5"/>
  <c r="V261" i="5"/>
  <c r="U261" i="5"/>
  <c r="U299" i="5"/>
  <c r="V299" i="5"/>
  <c r="U322" i="5"/>
  <c r="V322" i="5"/>
  <c r="U263" i="5"/>
  <c r="V263" i="5"/>
  <c r="V225" i="5"/>
  <c r="U225" i="5"/>
  <c r="V229" i="5"/>
  <c r="U229" i="5"/>
  <c r="V224" i="5"/>
  <c r="U224" i="5"/>
  <c r="V204" i="5"/>
  <c r="U204" i="5"/>
  <c r="V100" i="5"/>
  <c r="U100" i="5"/>
  <c r="U173" i="5"/>
  <c r="V173" i="5"/>
  <c r="V115" i="5"/>
  <c r="U115" i="5"/>
  <c r="V109" i="5"/>
  <c r="U109" i="5"/>
  <c r="V87" i="5"/>
  <c r="U87" i="5"/>
  <c r="V69" i="5"/>
  <c r="U69" i="5"/>
  <c r="V80" i="5"/>
  <c r="U80" i="5"/>
  <c r="V33" i="5"/>
  <c r="U33" i="5"/>
  <c r="V34" i="5"/>
  <c r="U34" i="5"/>
  <c r="U276" i="5"/>
  <c r="V276" i="5"/>
  <c r="U252" i="5"/>
  <c r="V252" i="5"/>
  <c r="U207" i="5"/>
  <c r="V207" i="5"/>
  <c r="U211" i="5"/>
  <c r="V211" i="5"/>
  <c r="U190" i="5"/>
  <c r="V190" i="5"/>
  <c r="V169" i="5"/>
  <c r="U169" i="5"/>
  <c r="V151" i="5"/>
  <c r="U151" i="5"/>
  <c r="U155" i="5"/>
  <c r="V155" i="5"/>
  <c r="U64" i="5"/>
  <c r="V64" i="5"/>
  <c r="BA344" i="5"/>
  <c r="BB344" i="5"/>
  <c r="BA256" i="5"/>
  <c r="BA111" i="5"/>
  <c r="BB111" i="5"/>
  <c r="BB53" i="5"/>
  <c r="BB38" i="5"/>
  <c r="BA38" i="5"/>
  <c r="BB269" i="5"/>
  <c r="BB191" i="5"/>
  <c r="BA191" i="5"/>
  <c r="BA136" i="5"/>
  <c r="BB136" i="5"/>
  <c r="BA119" i="5"/>
  <c r="BB94" i="5"/>
  <c r="BA94" i="5"/>
  <c r="BA52" i="5"/>
  <c r="BB52" i="5"/>
  <c r="BA206" i="5"/>
  <c r="BA251" i="5"/>
  <c r="BB251" i="5"/>
  <c r="BA174" i="5"/>
  <c r="BB141" i="5"/>
  <c r="BA141" i="5"/>
  <c r="BB114" i="5"/>
  <c r="BA114" i="5"/>
  <c r="BA51" i="5"/>
  <c r="U350" i="5"/>
  <c r="V350" i="5"/>
  <c r="V413" i="5"/>
  <c r="U413" i="5"/>
  <c r="U459" i="5"/>
  <c r="V459" i="5"/>
  <c r="U304" i="5"/>
  <c r="V304" i="5"/>
  <c r="U555" i="5"/>
  <c r="V555" i="5"/>
  <c r="V434" i="5"/>
  <c r="U434" i="5"/>
  <c r="V515" i="5"/>
  <c r="U515" i="5"/>
  <c r="U191" i="5"/>
  <c r="V191" i="5"/>
  <c r="U518" i="5"/>
  <c r="V518" i="5"/>
  <c r="U395" i="5"/>
  <c r="V395" i="5"/>
  <c r="V355" i="5"/>
  <c r="U355" i="5"/>
  <c r="V206" i="5"/>
  <c r="U206" i="5"/>
  <c r="U333" i="5"/>
  <c r="V333" i="5"/>
  <c r="V317" i="5"/>
  <c r="U317" i="5"/>
  <c r="U125" i="5"/>
  <c r="V125" i="5"/>
  <c r="V297" i="5"/>
  <c r="U297" i="5"/>
  <c r="U330" i="5"/>
  <c r="V330" i="5"/>
  <c r="V153" i="5"/>
  <c r="U153" i="5"/>
  <c r="V179" i="5"/>
  <c r="U179" i="5"/>
  <c r="U78" i="5"/>
  <c r="V78" i="5"/>
  <c r="U247" i="5"/>
  <c r="V247" i="5"/>
  <c r="V326" i="5"/>
  <c r="U326" i="5"/>
  <c r="U240" i="5"/>
  <c r="V240" i="5"/>
  <c r="V143" i="5"/>
  <c r="U143" i="5"/>
  <c r="V73" i="5"/>
  <c r="U73" i="5"/>
  <c r="U440" i="5"/>
  <c r="V440" i="5"/>
  <c r="U493" i="5"/>
  <c r="V493" i="5"/>
  <c r="V522" i="5"/>
  <c r="U522" i="5"/>
  <c r="V378" i="5"/>
  <c r="U378" i="5"/>
  <c r="V264" i="5"/>
  <c r="U264" i="5"/>
  <c r="V193" i="5"/>
  <c r="U193" i="5"/>
  <c r="V147" i="5"/>
  <c r="U147" i="5"/>
  <c r="V54" i="5"/>
  <c r="U54" i="5"/>
  <c r="V513" i="5"/>
  <c r="U513" i="5"/>
  <c r="U294" i="5"/>
  <c r="V294" i="5"/>
  <c r="U415" i="5"/>
  <c r="V415" i="5"/>
  <c r="U271" i="5"/>
  <c r="V271" i="5"/>
  <c r="V274" i="5"/>
  <c r="U274" i="5"/>
  <c r="V243" i="5"/>
  <c r="U243" i="5"/>
  <c r="U172" i="5"/>
  <c r="V172" i="5"/>
  <c r="V123" i="5"/>
  <c r="U123" i="5"/>
  <c r="U59" i="5"/>
  <c r="V59" i="5"/>
  <c r="U44" i="5"/>
  <c r="V44" i="5"/>
  <c r="U221" i="5"/>
  <c r="V221" i="5"/>
  <c r="U223" i="5"/>
  <c r="V223" i="5"/>
  <c r="V171" i="5"/>
  <c r="U171" i="5"/>
  <c r="V106" i="5"/>
  <c r="U106" i="5"/>
  <c r="U76" i="5"/>
  <c r="V76" i="5"/>
  <c r="U30" i="5"/>
  <c r="V30" i="5"/>
  <c r="AJ93" i="5"/>
  <c r="AJ49" i="5"/>
  <c r="AL49" i="5" s="1"/>
  <c r="AJ105" i="5"/>
  <c r="AK105" i="5" s="1"/>
  <c r="AJ75" i="5"/>
  <c r="AL75" i="5" s="1"/>
  <c r="AJ188" i="5"/>
  <c r="AK188" i="5" s="1"/>
  <c r="AJ146" i="5"/>
  <c r="AJ77" i="5"/>
  <c r="AK77" i="5" s="1"/>
  <c r="AJ169" i="5"/>
  <c r="AJ195" i="5"/>
  <c r="AL195" i="5" s="1"/>
  <c r="AJ156" i="5"/>
  <c r="AL156" i="5" s="1"/>
  <c r="AJ87" i="5"/>
  <c r="AL87" i="5" s="1"/>
  <c r="AJ24" i="5"/>
  <c r="AJ44" i="5"/>
  <c r="AK44" i="5" s="1"/>
  <c r="V201" i="5"/>
  <c r="V275" i="5"/>
  <c r="BA263" i="5"/>
  <c r="BB263" i="5"/>
  <c r="BA261" i="5"/>
  <c r="BB261" i="5"/>
  <c r="BB199" i="5"/>
  <c r="BA199" i="5"/>
  <c r="BB208" i="5"/>
  <c r="BA168" i="5"/>
  <c r="BB168" i="5"/>
  <c r="BA159" i="5"/>
  <c r="BB159" i="5"/>
  <c r="BA97" i="5"/>
  <c r="BB97" i="5"/>
  <c r="BA61" i="5"/>
  <c r="BA56" i="5"/>
  <c r="BB56" i="5"/>
  <c r="BA26" i="5"/>
  <c r="BB26" i="5"/>
  <c r="BA329" i="5"/>
  <c r="BB329" i="5"/>
  <c r="BB268" i="5"/>
  <c r="BA268" i="5"/>
  <c r="BB323" i="5"/>
  <c r="BB202" i="5"/>
  <c r="BA202" i="5"/>
  <c r="BB183" i="5"/>
  <c r="BA183" i="5"/>
  <c r="BB166" i="5"/>
  <c r="BA166" i="5"/>
  <c r="BB138" i="5"/>
  <c r="BA144" i="5"/>
  <c r="BB144" i="5"/>
  <c r="BA74" i="5"/>
  <c r="BB74" i="5"/>
  <c r="BA31" i="5"/>
  <c r="BB31" i="5"/>
  <c r="BB337" i="5"/>
  <c r="BA287" i="5"/>
  <c r="BB287" i="5"/>
  <c r="BA331" i="5"/>
  <c r="BB331" i="5"/>
  <c r="BB234" i="5"/>
  <c r="BA234" i="5"/>
  <c r="BA222" i="5"/>
  <c r="BB222" i="5"/>
  <c r="BA198" i="5"/>
  <c r="BA176" i="5"/>
  <c r="BA160" i="5"/>
  <c r="BB160" i="5"/>
  <c r="BA108" i="5"/>
  <c r="BB108" i="5"/>
  <c r="BA82" i="5"/>
  <c r="BB82" i="5"/>
  <c r="BB73" i="5"/>
  <c r="BA20" i="5"/>
  <c r="BB20" i="5"/>
  <c r="U503" i="5"/>
  <c r="V503" i="5"/>
  <c r="V525" i="5"/>
  <c r="U525" i="5"/>
  <c r="V494" i="5"/>
  <c r="U494" i="5"/>
  <c r="U74" i="5"/>
  <c r="V74" i="5"/>
  <c r="U477" i="5"/>
  <c r="V477" i="5"/>
  <c r="V547" i="5"/>
  <c r="U547" i="5"/>
  <c r="U521" i="5"/>
  <c r="V521" i="5"/>
  <c r="U327" i="5"/>
  <c r="V327" i="5"/>
  <c r="U397" i="5"/>
  <c r="V397" i="5"/>
  <c r="U450" i="5"/>
  <c r="V450" i="5"/>
  <c r="V352" i="5"/>
  <c r="U352" i="5"/>
  <c r="U360" i="5"/>
  <c r="V360" i="5"/>
  <c r="V391" i="5"/>
  <c r="U391" i="5"/>
  <c r="U323" i="5"/>
  <c r="V323" i="5"/>
  <c r="U140" i="5"/>
  <c r="V140" i="5"/>
  <c r="V27" i="5"/>
  <c r="U27" i="5"/>
  <c r="U528" i="5"/>
  <c r="V528" i="5"/>
  <c r="U541" i="5"/>
  <c r="V541" i="5"/>
  <c r="V556" i="5"/>
  <c r="U556" i="5"/>
  <c r="U452" i="5"/>
  <c r="V452" i="5"/>
  <c r="V517" i="5"/>
  <c r="U517" i="5"/>
  <c r="U537" i="5"/>
  <c r="V537" i="5"/>
  <c r="V370" i="5"/>
  <c r="U370" i="5"/>
  <c r="U393" i="5"/>
  <c r="V393" i="5"/>
  <c r="V265" i="5"/>
  <c r="U265" i="5"/>
  <c r="U112" i="5"/>
  <c r="V112" i="5"/>
  <c r="V551" i="5"/>
  <c r="U551" i="5"/>
  <c r="U540" i="5"/>
  <c r="V540" i="5"/>
  <c r="V416" i="5"/>
  <c r="U416" i="5"/>
  <c r="U485" i="5"/>
  <c r="V485" i="5"/>
  <c r="U507" i="5"/>
  <c r="V507" i="5"/>
  <c r="V388" i="5"/>
  <c r="U388" i="5"/>
  <c r="V343" i="5"/>
  <c r="U343" i="5"/>
  <c r="U166" i="5"/>
  <c r="V166" i="5"/>
  <c r="U25" i="5"/>
  <c r="V25" i="5"/>
  <c r="U373" i="5"/>
  <c r="V373" i="5"/>
  <c r="V389" i="5"/>
  <c r="U389" i="5"/>
  <c r="V410" i="5"/>
  <c r="U410" i="5"/>
  <c r="V309" i="5"/>
  <c r="U309" i="5"/>
  <c r="V296" i="5"/>
  <c r="U296" i="5"/>
  <c r="U278" i="5"/>
  <c r="V278" i="5"/>
  <c r="U168" i="5"/>
  <c r="V168" i="5"/>
  <c r="U202" i="5"/>
  <c r="V202" i="5"/>
  <c r="V111" i="5"/>
  <c r="U111" i="5"/>
  <c r="U129" i="5"/>
  <c r="V129" i="5"/>
  <c r="U72" i="5"/>
  <c r="V72" i="5"/>
  <c r="U65" i="5"/>
  <c r="V65" i="5"/>
  <c r="U21" i="5"/>
  <c r="V21" i="5"/>
  <c r="U385" i="5"/>
  <c r="V385" i="5"/>
  <c r="V405" i="5"/>
  <c r="U405" i="5"/>
  <c r="U286" i="5"/>
  <c r="V286" i="5"/>
  <c r="U311" i="5"/>
  <c r="V311" i="5"/>
  <c r="U277" i="5"/>
  <c r="V277" i="5"/>
  <c r="V157" i="5"/>
  <c r="U157" i="5"/>
  <c r="U200" i="5"/>
  <c r="V200" i="5"/>
  <c r="V86" i="5"/>
  <c r="U86" i="5"/>
  <c r="U124" i="5"/>
  <c r="V124" i="5"/>
  <c r="U60" i="5"/>
  <c r="V60" i="5"/>
  <c r="U62" i="5"/>
  <c r="V62" i="5"/>
  <c r="U46" i="5"/>
  <c r="V46" i="5"/>
  <c r="U559" i="5"/>
  <c r="V559" i="5"/>
  <c r="U524" i="5"/>
  <c r="V524" i="5"/>
  <c r="V545" i="5"/>
  <c r="U545" i="5"/>
  <c r="V557" i="5"/>
  <c r="U557" i="5"/>
  <c r="V470" i="5"/>
  <c r="U470" i="5"/>
  <c r="U398" i="5"/>
  <c r="V398" i="5"/>
  <c r="V500" i="5"/>
  <c r="U500" i="5"/>
  <c r="V339" i="5"/>
  <c r="U339" i="5"/>
  <c r="V448" i="5"/>
  <c r="U448" i="5"/>
  <c r="U383" i="5"/>
  <c r="V383" i="5"/>
  <c r="U421" i="5"/>
  <c r="V421" i="5"/>
  <c r="U329" i="5"/>
  <c r="V329" i="5"/>
  <c r="U325" i="5"/>
  <c r="V325" i="5"/>
  <c r="V295" i="5"/>
  <c r="U295" i="5"/>
  <c r="V192" i="5"/>
  <c r="U192" i="5"/>
  <c r="V209" i="5"/>
  <c r="U209" i="5"/>
  <c r="V163" i="5"/>
  <c r="U163" i="5"/>
  <c r="V148" i="5"/>
  <c r="U148" i="5"/>
  <c r="V90" i="5"/>
  <c r="U90" i="5"/>
  <c r="U58" i="5"/>
  <c r="V58" i="5"/>
  <c r="V31" i="5"/>
  <c r="U31" i="5"/>
  <c r="U480" i="5"/>
  <c r="V480" i="5"/>
  <c r="U347" i="5"/>
  <c r="V347" i="5"/>
  <c r="U478" i="5"/>
  <c r="V478" i="5"/>
  <c r="U324" i="5"/>
  <c r="V324" i="5"/>
  <c r="U363" i="5"/>
  <c r="V363" i="5"/>
  <c r="V407" i="5"/>
  <c r="U407" i="5"/>
  <c r="U214" i="5"/>
  <c r="V214" i="5"/>
  <c r="V381" i="5"/>
  <c r="U381" i="5"/>
  <c r="V283" i="5"/>
  <c r="U283" i="5"/>
  <c r="V303" i="5"/>
  <c r="U303" i="5"/>
  <c r="U246" i="5"/>
  <c r="V246" i="5"/>
  <c r="V284" i="5"/>
  <c r="U284" i="5"/>
  <c r="V306" i="5"/>
  <c r="U306" i="5"/>
  <c r="U254" i="5"/>
  <c r="V254" i="5"/>
  <c r="U210" i="5"/>
  <c r="V210" i="5"/>
  <c r="U212" i="5"/>
  <c r="V212" i="5"/>
  <c r="V215" i="5"/>
  <c r="U215" i="5"/>
  <c r="U194" i="5"/>
  <c r="V194" i="5"/>
  <c r="U170" i="5"/>
  <c r="V170" i="5"/>
  <c r="V149" i="5"/>
  <c r="U149" i="5"/>
  <c r="V156" i="5"/>
  <c r="U156" i="5"/>
  <c r="U84" i="5"/>
  <c r="V84" i="5"/>
  <c r="U101" i="5"/>
  <c r="V101" i="5"/>
  <c r="U94" i="5"/>
  <c r="V94" i="5"/>
  <c r="U66" i="5"/>
  <c r="V66" i="5"/>
  <c r="U70" i="5"/>
  <c r="V70" i="5"/>
  <c r="U39" i="5"/>
  <c r="V39" i="5"/>
  <c r="V250" i="5"/>
  <c r="U250" i="5"/>
  <c r="V176" i="5"/>
  <c r="U176" i="5"/>
  <c r="V174" i="5"/>
  <c r="U174" i="5"/>
  <c r="U150" i="5"/>
  <c r="V150" i="5"/>
  <c r="U118" i="5"/>
  <c r="V118" i="5"/>
  <c r="U131" i="5"/>
  <c r="V131" i="5"/>
  <c r="V83" i="5"/>
  <c r="U83" i="5"/>
  <c r="U67" i="5"/>
  <c r="V67" i="5"/>
  <c r="U41" i="5"/>
  <c r="V41" i="5"/>
  <c r="BA302" i="5"/>
  <c r="BB302" i="5"/>
  <c r="BA282" i="5"/>
  <c r="BB282" i="5"/>
  <c r="BA236" i="5"/>
  <c r="BA115" i="5"/>
  <c r="BB115" i="5"/>
  <c r="BA107" i="5"/>
  <c r="BB83" i="5"/>
  <c r="BA39" i="5"/>
  <c r="BB39" i="5"/>
  <c r="BA373" i="5"/>
  <c r="BB288" i="5"/>
  <c r="BA288" i="5"/>
  <c r="BB179" i="5"/>
  <c r="BB177" i="5"/>
  <c r="BA75" i="5"/>
  <c r="BB44" i="5"/>
  <c r="BA44" i="5"/>
  <c r="BA314" i="5"/>
  <c r="BB314" i="5"/>
  <c r="BA300" i="5"/>
  <c r="BA178" i="5"/>
  <c r="BB178" i="5"/>
  <c r="BB156" i="5"/>
  <c r="BA156" i="5"/>
  <c r="BB137" i="5"/>
  <c r="BB92" i="5"/>
  <c r="BA92" i="5"/>
  <c r="BA32" i="5"/>
  <c r="BB45" i="5"/>
  <c r="BA45" i="5"/>
  <c r="V531" i="5"/>
  <c r="U531" i="5"/>
  <c r="V310" i="5"/>
  <c r="U310" i="5"/>
  <c r="V154" i="5"/>
  <c r="U154" i="5"/>
  <c r="V432" i="5"/>
  <c r="U432" i="5"/>
  <c r="V546" i="5"/>
  <c r="U546" i="5"/>
  <c r="U501" i="5"/>
  <c r="V501" i="5"/>
  <c r="U408" i="5"/>
  <c r="V408" i="5"/>
  <c r="U88" i="5"/>
  <c r="V88" i="5"/>
  <c r="V476" i="5"/>
  <c r="U476" i="5"/>
  <c r="V487" i="5"/>
  <c r="U487" i="5"/>
  <c r="V481" i="5"/>
  <c r="U481" i="5"/>
  <c r="V281" i="5"/>
  <c r="U281" i="5"/>
  <c r="U549" i="5"/>
  <c r="V549" i="5"/>
  <c r="V463" i="5"/>
  <c r="U463" i="5"/>
  <c r="U431" i="5"/>
  <c r="V431" i="5"/>
  <c r="U258" i="5"/>
  <c r="V258" i="5"/>
  <c r="U414" i="5"/>
  <c r="V414" i="5"/>
  <c r="U366" i="5"/>
  <c r="V366" i="5"/>
  <c r="U244" i="5"/>
  <c r="V244" i="5"/>
  <c r="U144" i="5"/>
  <c r="V144" i="5"/>
  <c r="U132" i="5"/>
  <c r="V132" i="5"/>
  <c r="V272" i="5"/>
  <c r="U272" i="5"/>
  <c r="U237" i="5"/>
  <c r="V237" i="5"/>
  <c r="V175" i="5"/>
  <c r="U175" i="5"/>
  <c r="V127" i="5"/>
  <c r="U127" i="5"/>
  <c r="U502" i="5"/>
  <c r="V502" i="5"/>
  <c r="U406" i="5"/>
  <c r="V406" i="5"/>
  <c r="V439" i="5"/>
  <c r="U439" i="5"/>
  <c r="V505" i="5"/>
  <c r="U505" i="5"/>
  <c r="V336" i="5"/>
  <c r="U336" i="5"/>
  <c r="U349" i="5"/>
  <c r="V349" i="5"/>
  <c r="V249" i="5"/>
  <c r="U249" i="5"/>
  <c r="U189" i="5"/>
  <c r="V189" i="5"/>
  <c r="U81" i="5"/>
  <c r="V81" i="5"/>
  <c r="U456" i="5"/>
  <c r="V456" i="5"/>
  <c r="V443" i="5"/>
  <c r="U443" i="5"/>
  <c r="U375" i="5"/>
  <c r="V375" i="5"/>
  <c r="U345" i="5"/>
  <c r="V345" i="5"/>
  <c r="U316" i="5"/>
  <c r="V316" i="5"/>
  <c r="U236" i="5"/>
  <c r="V236" i="5"/>
  <c r="U245" i="5"/>
  <c r="V245" i="5"/>
  <c r="V187" i="5"/>
  <c r="U187" i="5"/>
  <c r="U126" i="5"/>
  <c r="V126" i="5"/>
  <c r="V61" i="5"/>
  <c r="U61" i="5"/>
  <c r="U47" i="5"/>
  <c r="V47" i="5"/>
  <c r="U260" i="5"/>
  <c r="V260" i="5"/>
  <c r="V79" i="5"/>
  <c r="U79" i="5"/>
  <c r="U114" i="5"/>
  <c r="V114" i="5"/>
  <c r="U98" i="5"/>
  <c r="V98" i="5"/>
  <c r="AJ28" i="5"/>
  <c r="AL28" i="5" s="1"/>
  <c r="AJ158" i="5"/>
  <c r="AL158" i="5" s="1"/>
  <c r="AJ27" i="5"/>
  <c r="AK27" i="5" s="1"/>
  <c r="AJ164" i="5"/>
  <c r="AL164" i="5" s="1"/>
  <c r="AJ40" i="5"/>
  <c r="AL40" i="5" s="1"/>
  <c r="AJ174" i="5"/>
  <c r="AL174" i="5" s="1"/>
  <c r="AJ125" i="5"/>
  <c r="AK125" i="5" s="1"/>
  <c r="AJ61" i="5"/>
  <c r="AJ153" i="5"/>
  <c r="AK153" i="5" s="1"/>
  <c r="AJ184" i="5"/>
  <c r="AJ143" i="5"/>
  <c r="AJ71" i="5"/>
  <c r="AJ165" i="5"/>
  <c r="AK165" i="5" s="1"/>
  <c r="AJ138" i="5"/>
  <c r="V412" i="5"/>
  <c r="V222" i="5"/>
  <c r="U37" i="5"/>
  <c r="U362" i="5"/>
  <c r="V22" i="5"/>
  <c r="BB312" i="5"/>
  <c r="BA312" i="5"/>
  <c r="BB249" i="5"/>
  <c r="BA249" i="5"/>
  <c r="BA278" i="5"/>
  <c r="BB278" i="5"/>
  <c r="BB296" i="5"/>
  <c r="BA296" i="5"/>
  <c r="BB220" i="5"/>
  <c r="BA220" i="5"/>
  <c r="BB161" i="5"/>
  <c r="BA161" i="5"/>
  <c r="BB194" i="5"/>
  <c r="BA194" i="5"/>
  <c r="BA171" i="5"/>
  <c r="BB171" i="5"/>
  <c r="BB152" i="5"/>
  <c r="BA152" i="5"/>
  <c r="BA116" i="5"/>
  <c r="BB116" i="5"/>
  <c r="BA127" i="5"/>
  <c r="BB127" i="5"/>
  <c r="BA123" i="5"/>
  <c r="BB123" i="5"/>
  <c r="BA110" i="5"/>
  <c r="BB110" i="5"/>
  <c r="BB91" i="5"/>
  <c r="BA91" i="5"/>
  <c r="BA23" i="5"/>
  <c r="BB23" i="5"/>
  <c r="BA24" i="5"/>
  <c r="BB24" i="5"/>
  <c r="BB50" i="5"/>
  <c r="BA50" i="5"/>
  <c r="BB40" i="5"/>
  <c r="BA40" i="5"/>
  <c r="BA393" i="5"/>
  <c r="BB393" i="5"/>
  <c r="BA218" i="5"/>
  <c r="BB218" i="5"/>
  <c r="BB315" i="5"/>
  <c r="BA315" i="5"/>
  <c r="BA255" i="5"/>
  <c r="BB255" i="5"/>
  <c r="BA290" i="5"/>
  <c r="BB290" i="5"/>
  <c r="BA303" i="5"/>
  <c r="BB303" i="5"/>
  <c r="BA246" i="5"/>
  <c r="BB246" i="5"/>
  <c r="BA184" i="5"/>
  <c r="BB184" i="5"/>
  <c r="BA196" i="5"/>
  <c r="BB196" i="5"/>
  <c r="BA190" i="5"/>
  <c r="BB190" i="5"/>
  <c r="BB158" i="5"/>
  <c r="BA158" i="5"/>
  <c r="BB150" i="5"/>
  <c r="BA150" i="5"/>
  <c r="BA139" i="5"/>
  <c r="BB139" i="5"/>
  <c r="BB126" i="5"/>
  <c r="BA126" i="5"/>
  <c r="BB121" i="5"/>
  <c r="BA121" i="5"/>
  <c r="BA95" i="5"/>
  <c r="BB95" i="5"/>
  <c r="BB59" i="5"/>
  <c r="BA59" i="5"/>
  <c r="BB55" i="5"/>
  <c r="BA55" i="5"/>
  <c r="BA35" i="5"/>
  <c r="BB35" i="5"/>
  <c r="BB22" i="5"/>
  <c r="BA22" i="5"/>
  <c r="BA299" i="5"/>
  <c r="BB299" i="5"/>
  <c r="BB324" i="5"/>
  <c r="BA324" i="5"/>
  <c r="BB265" i="5"/>
  <c r="BA265" i="5"/>
  <c r="BA305" i="5"/>
  <c r="BB305" i="5"/>
  <c r="BB318" i="5"/>
  <c r="BA318" i="5"/>
  <c r="BB264" i="5"/>
  <c r="BA264" i="5"/>
  <c r="BB200" i="5"/>
  <c r="BA200" i="5"/>
  <c r="BB212" i="5"/>
  <c r="BA212" i="5"/>
  <c r="BB211" i="5"/>
  <c r="BA211" i="5"/>
  <c r="BA173" i="5"/>
  <c r="BB173" i="5"/>
  <c r="BA164" i="5"/>
  <c r="BB164" i="5"/>
  <c r="BA148" i="5"/>
  <c r="BB148" i="5"/>
  <c r="BB135" i="5"/>
  <c r="BA135" i="5"/>
  <c r="BB140" i="5"/>
  <c r="BA140" i="5"/>
  <c r="BB98" i="5"/>
  <c r="BA98" i="5"/>
  <c r="BA69" i="5"/>
  <c r="BB69" i="5"/>
  <c r="BA66" i="5"/>
  <c r="BB66" i="5"/>
  <c r="BB60" i="5"/>
  <c r="BA60" i="5"/>
  <c r="BA27" i="5"/>
  <c r="BB27" i="5"/>
  <c r="V435" i="5"/>
  <c r="U435" i="5"/>
  <c r="V230" i="5"/>
  <c r="U230" i="5"/>
  <c r="U93" i="5"/>
  <c r="V93" i="5"/>
  <c r="U492" i="5"/>
  <c r="V492" i="5"/>
  <c r="V379" i="5"/>
  <c r="U379" i="5"/>
  <c r="U423" i="5"/>
  <c r="V423" i="5"/>
  <c r="V226" i="5"/>
  <c r="U226" i="5"/>
  <c r="U394" i="5"/>
  <c r="V394" i="5"/>
  <c r="V427" i="5"/>
  <c r="U427" i="5"/>
  <c r="U119" i="5"/>
  <c r="V119" i="5"/>
  <c r="U530" i="5"/>
  <c r="V530" i="5"/>
  <c r="U544" i="5"/>
  <c r="V544" i="5"/>
  <c r="U560" i="5"/>
  <c r="V560" i="5"/>
  <c r="U455" i="5"/>
  <c r="V455" i="5"/>
  <c r="V519" i="5"/>
  <c r="U519" i="5"/>
  <c r="U351" i="5"/>
  <c r="V351" i="5"/>
  <c r="U420" i="5"/>
  <c r="V420" i="5"/>
  <c r="V289" i="5"/>
  <c r="U289" i="5"/>
  <c r="U142" i="5"/>
  <c r="V142" i="5"/>
  <c r="U520" i="5"/>
  <c r="V520" i="5"/>
  <c r="V542" i="5"/>
  <c r="U542" i="5"/>
  <c r="U506" i="5"/>
  <c r="V506" i="5"/>
  <c r="U425" i="5"/>
  <c r="V425" i="5"/>
  <c r="V496" i="5"/>
  <c r="U496" i="5"/>
  <c r="U402" i="5"/>
  <c r="V402" i="5"/>
  <c r="V267" i="5"/>
  <c r="U267" i="5"/>
  <c r="V232" i="5"/>
  <c r="U232" i="5"/>
  <c r="V95" i="5"/>
  <c r="U95" i="5"/>
  <c r="V445" i="5"/>
  <c r="U445" i="5"/>
  <c r="V514" i="5"/>
  <c r="U514" i="5"/>
  <c r="V482" i="5"/>
  <c r="U482" i="5"/>
  <c r="V377" i="5"/>
  <c r="U377" i="5"/>
  <c r="U466" i="5"/>
  <c r="V466" i="5"/>
  <c r="U319" i="5"/>
  <c r="V319" i="5"/>
  <c r="U259" i="5"/>
  <c r="V259" i="5"/>
  <c r="V186" i="5"/>
  <c r="U186" i="5"/>
  <c r="U53" i="5"/>
  <c r="V53" i="5"/>
  <c r="U353" i="5"/>
  <c r="V353" i="5"/>
  <c r="V390" i="5"/>
  <c r="U390" i="5"/>
  <c r="U262" i="5"/>
  <c r="V262" i="5"/>
  <c r="V269" i="5"/>
  <c r="U269" i="5"/>
  <c r="V291" i="5"/>
  <c r="U291" i="5"/>
  <c r="V257" i="5"/>
  <c r="U257" i="5"/>
  <c r="U217" i="5"/>
  <c r="V217" i="5"/>
  <c r="U198" i="5"/>
  <c r="V198" i="5"/>
  <c r="U167" i="5"/>
  <c r="V167" i="5"/>
  <c r="U103" i="5"/>
  <c r="V103" i="5"/>
  <c r="U97" i="5"/>
  <c r="V97" i="5"/>
  <c r="U23" i="5"/>
  <c r="V23" i="5"/>
  <c r="U340" i="5"/>
  <c r="V340" i="5"/>
  <c r="U371" i="5"/>
  <c r="V371" i="5"/>
  <c r="U387" i="5"/>
  <c r="V387" i="5"/>
  <c r="V354" i="5"/>
  <c r="U354" i="5"/>
  <c r="V268" i="5"/>
  <c r="U268" i="5"/>
  <c r="V288" i="5"/>
  <c r="U288" i="5"/>
  <c r="U255" i="5"/>
  <c r="V255" i="5"/>
  <c r="U216" i="5"/>
  <c r="V216" i="5"/>
  <c r="U197" i="5"/>
  <c r="V197" i="5"/>
  <c r="V165" i="5"/>
  <c r="U165" i="5"/>
  <c r="U99" i="5"/>
  <c r="V99" i="5"/>
  <c r="U96" i="5"/>
  <c r="V96" i="5"/>
  <c r="U20" i="5"/>
  <c r="V20" i="5"/>
  <c r="U19" i="5"/>
  <c r="V19" i="5"/>
  <c r="V535" i="5"/>
  <c r="U535" i="5"/>
  <c r="U490" i="5"/>
  <c r="V490" i="5"/>
  <c r="U536" i="5"/>
  <c r="V536" i="5"/>
  <c r="U526" i="5"/>
  <c r="V526" i="5"/>
  <c r="V457" i="5"/>
  <c r="U457" i="5"/>
  <c r="V368" i="5"/>
  <c r="U368" i="5"/>
  <c r="U516" i="5"/>
  <c r="V516" i="5"/>
  <c r="V430" i="5"/>
  <c r="U430" i="5"/>
  <c r="U361" i="5"/>
  <c r="V361" i="5"/>
  <c r="V380" i="5"/>
  <c r="U380" i="5"/>
  <c r="V403" i="5"/>
  <c r="U403" i="5"/>
  <c r="U280" i="5"/>
  <c r="V280" i="5"/>
  <c r="V285" i="5"/>
  <c r="U285" i="5"/>
  <c r="V302" i="5"/>
  <c r="U302" i="5"/>
  <c r="V270" i="5"/>
  <c r="U270" i="5"/>
  <c r="V238" i="5"/>
  <c r="U238" i="5"/>
  <c r="V164" i="5"/>
  <c r="U164" i="5"/>
  <c r="V178" i="5"/>
  <c r="U178" i="5"/>
  <c r="V116" i="5"/>
  <c r="U116" i="5"/>
  <c r="V102" i="5"/>
  <c r="U102" i="5"/>
  <c r="V51" i="5"/>
  <c r="U51" i="5"/>
  <c r="V29" i="5"/>
  <c r="U29" i="5"/>
  <c r="V468" i="5"/>
  <c r="U468" i="5"/>
  <c r="V532" i="5"/>
  <c r="U532" i="5"/>
  <c r="V458" i="5"/>
  <c r="U458" i="5"/>
  <c r="V411" i="5"/>
  <c r="U411" i="5"/>
  <c r="U348" i="5"/>
  <c r="V348" i="5"/>
  <c r="U386" i="5"/>
  <c r="V386" i="5"/>
  <c r="U429" i="5"/>
  <c r="V429" i="5"/>
  <c r="U364" i="5"/>
  <c r="V364" i="5"/>
  <c r="U356" i="5"/>
  <c r="V356" i="5"/>
  <c r="U293" i="5"/>
  <c r="V293" i="5"/>
  <c r="V331" i="5"/>
  <c r="U331" i="5"/>
  <c r="V251" i="5"/>
  <c r="U251" i="5"/>
  <c r="U282" i="5"/>
  <c r="V282" i="5"/>
  <c r="V241" i="5"/>
  <c r="U241" i="5"/>
  <c r="V180" i="5"/>
  <c r="U180" i="5"/>
  <c r="U159" i="5"/>
  <c r="V159" i="5"/>
  <c r="V205" i="5"/>
  <c r="U205" i="5"/>
  <c r="U185" i="5"/>
  <c r="V185" i="5"/>
  <c r="V133" i="5"/>
  <c r="U133" i="5"/>
  <c r="V152" i="5"/>
  <c r="U152" i="5"/>
  <c r="U137" i="5"/>
  <c r="V137" i="5"/>
  <c r="V139" i="5"/>
  <c r="U139" i="5"/>
  <c r="V85" i="5"/>
  <c r="U85" i="5"/>
  <c r="V92" i="5"/>
  <c r="U92" i="5"/>
  <c r="U35" i="5"/>
  <c r="V35" i="5"/>
  <c r="V52" i="5"/>
  <c r="U52" i="5"/>
  <c r="U26" i="5"/>
  <c r="V26" i="5"/>
  <c r="V334" i="5"/>
  <c r="U334" i="5"/>
  <c r="V273" i="5"/>
  <c r="U273" i="5"/>
  <c r="V239" i="5"/>
  <c r="U239" i="5"/>
  <c r="U188" i="5"/>
  <c r="V188" i="5"/>
  <c r="V161" i="5"/>
  <c r="U161" i="5"/>
  <c r="U117" i="5"/>
  <c r="V117" i="5"/>
  <c r="U121" i="5"/>
  <c r="V121" i="5"/>
  <c r="U105" i="5"/>
  <c r="V105" i="5"/>
  <c r="U57" i="5"/>
  <c r="V57" i="5"/>
  <c r="V43" i="5"/>
  <c r="U43" i="5"/>
  <c r="V38" i="5"/>
  <c r="U38" i="5"/>
  <c r="AJ33" i="5"/>
  <c r="AJ141" i="5"/>
  <c r="AJ29" i="5"/>
  <c r="AJ64" i="5"/>
  <c r="AJ97" i="5"/>
  <c r="AJ129" i="5"/>
  <c r="AJ160" i="5"/>
  <c r="AJ176" i="5"/>
  <c r="AJ62" i="5"/>
  <c r="AJ185" i="5"/>
  <c r="AJ203" i="5"/>
  <c r="AJ219" i="5"/>
  <c r="AJ233" i="5"/>
  <c r="AJ255" i="5"/>
  <c r="AJ270" i="5"/>
  <c r="AJ286" i="5"/>
  <c r="AJ302" i="5"/>
  <c r="AJ319" i="5"/>
  <c r="AJ55" i="5"/>
  <c r="AJ107" i="5"/>
  <c r="AJ139" i="5"/>
  <c r="AJ186" i="5"/>
  <c r="AJ202" i="5"/>
  <c r="AJ218" i="5"/>
  <c r="AJ235" i="5"/>
  <c r="AJ20" i="5"/>
  <c r="AJ67" i="5"/>
  <c r="AJ193" i="5"/>
  <c r="AJ212" i="5"/>
  <c r="AJ231" i="5"/>
  <c r="AJ244" i="5"/>
  <c r="AJ252" i="5"/>
  <c r="AJ260" i="5"/>
  <c r="AJ276" i="5"/>
  <c r="AJ292" i="5"/>
  <c r="AJ308" i="5"/>
  <c r="AJ324" i="5"/>
  <c r="AJ194" i="5"/>
  <c r="AJ264" i="5"/>
  <c r="AJ296" i="5"/>
  <c r="AJ321" i="5"/>
  <c r="AJ339" i="5"/>
  <c r="AJ355" i="5"/>
  <c r="AJ371" i="5"/>
  <c r="AJ383" i="5"/>
  <c r="AJ396" i="5"/>
  <c r="AJ462" i="5"/>
  <c r="AJ478" i="5"/>
  <c r="AJ494" i="5"/>
  <c r="AJ509" i="5"/>
  <c r="AJ519" i="5"/>
  <c r="AJ529" i="5"/>
  <c r="AJ543" i="5"/>
  <c r="AJ559" i="5"/>
  <c r="AJ127" i="5"/>
  <c r="AJ221" i="5"/>
  <c r="AJ269" i="5"/>
  <c r="AJ301" i="5"/>
  <c r="AJ318" i="5"/>
  <c r="AJ333" i="5"/>
  <c r="AJ349" i="5"/>
  <c r="AJ365" i="5"/>
  <c r="AJ385" i="5"/>
  <c r="AJ401" i="5"/>
  <c r="AJ417" i="5"/>
  <c r="AJ433" i="5"/>
  <c r="AJ253" i="5"/>
  <c r="AJ271" i="5"/>
  <c r="AJ303" i="5"/>
  <c r="AJ389" i="5"/>
  <c r="AJ403" i="5"/>
  <c r="AJ419" i="5"/>
  <c r="AJ435" i="5"/>
  <c r="AJ451" i="5"/>
  <c r="AJ467" i="5"/>
  <c r="AJ483" i="5"/>
  <c r="AJ499" i="5"/>
  <c r="AJ514" i="5"/>
  <c r="AJ530" i="5"/>
  <c r="AJ540" i="5"/>
  <c r="AJ548" i="5"/>
  <c r="AJ209" i="5"/>
  <c r="AJ344" i="5"/>
  <c r="AJ376" i="5"/>
  <c r="AJ59" i="5"/>
  <c r="AJ157" i="5"/>
  <c r="AJ34" i="5"/>
  <c r="AJ66" i="5"/>
  <c r="AJ101" i="5"/>
  <c r="AJ133" i="5"/>
  <c r="AJ162" i="5"/>
  <c r="AJ180" i="5"/>
  <c r="AJ89" i="5"/>
  <c r="AJ189" i="5"/>
  <c r="AJ207" i="5"/>
  <c r="AJ223" i="5"/>
  <c r="AJ239" i="5"/>
  <c r="AJ259" i="5"/>
  <c r="AJ275" i="5"/>
  <c r="AJ291" i="5"/>
  <c r="AJ307" i="5"/>
  <c r="AJ326" i="5"/>
  <c r="AJ73" i="5"/>
  <c r="AJ115" i="5"/>
  <c r="AJ148" i="5"/>
  <c r="AJ190" i="5"/>
  <c r="AJ206" i="5"/>
  <c r="AJ222" i="5"/>
  <c r="AJ238" i="5"/>
  <c r="AJ30" i="5"/>
  <c r="AJ76" i="5"/>
  <c r="AJ200" i="5"/>
  <c r="AJ216" i="5"/>
  <c r="AJ234" i="5"/>
  <c r="AJ246" i="5"/>
  <c r="AJ254" i="5"/>
  <c r="AJ262" i="5"/>
  <c r="AJ278" i="5"/>
  <c r="AJ294" i="5"/>
  <c r="AJ312" i="5"/>
  <c r="AJ119" i="5"/>
  <c r="AJ227" i="5"/>
  <c r="AJ277" i="5"/>
  <c r="AJ309" i="5"/>
  <c r="AJ325" i="5"/>
  <c r="AJ343" i="5"/>
  <c r="AJ359" i="5"/>
  <c r="AJ375" i="5"/>
  <c r="AJ388" i="5"/>
  <c r="AJ398" i="5"/>
  <c r="AJ464" i="5"/>
  <c r="AJ480" i="5"/>
  <c r="AJ496" i="5"/>
  <c r="AJ511" i="5"/>
  <c r="AJ523" i="5"/>
  <c r="AJ533" i="5"/>
  <c r="AJ547" i="5"/>
  <c r="AJ23" i="5"/>
  <c r="AJ196" i="5"/>
  <c r="AJ230" i="5"/>
  <c r="AJ274" i="5"/>
  <c r="AJ306" i="5"/>
  <c r="B76" i="5"/>
  <c r="AJ91" i="5"/>
  <c r="AJ173" i="5"/>
  <c r="AJ50" i="5"/>
  <c r="AJ82" i="5"/>
  <c r="AJ117" i="5"/>
  <c r="AJ154" i="5"/>
  <c r="AJ170" i="5"/>
  <c r="AJ52" i="5"/>
  <c r="AJ181" i="5"/>
  <c r="AJ199" i="5"/>
  <c r="AJ215" i="5"/>
  <c r="AJ228" i="5"/>
  <c r="AJ251" i="5"/>
  <c r="AJ268" i="5"/>
  <c r="AJ284" i="5"/>
  <c r="AJ300" i="5"/>
  <c r="AJ315" i="5"/>
  <c r="AJ46" i="5"/>
  <c r="AJ99" i="5"/>
  <c r="AJ131" i="5"/>
  <c r="AJ182" i="5"/>
  <c r="AJ198" i="5"/>
  <c r="AJ214" i="5"/>
  <c r="AJ229" i="5"/>
  <c r="AJ242" i="5"/>
  <c r="AJ57" i="5"/>
  <c r="AJ178" i="5"/>
  <c r="AJ208" i="5"/>
  <c r="AJ225" i="5"/>
  <c r="AJ241" i="5"/>
  <c r="AJ250" i="5"/>
  <c r="AJ258" i="5"/>
  <c r="AJ273" i="5"/>
  <c r="AJ289" i="5"/>
  <c r="AJ305" i="5"/>
  <c r="AJ320" i="5"/>
  <c r="AJ179" i="5"/>
  <c r="AJ247" i="5"/>
  <c r="AJ287" i="5"/>
  <c r="AJ317" i="5"/>
  <c r="AJ335" i="5"/>
  <c r="AJ351" i="5"/>
  <c r="AJ367" i="5"/>
  <c r="AJ379" i="5"/>
  <c r="AJ394" i="5"/>
  <c r="AJ459" i="5"/>
  <c r="AJ475" i="5"/>
  <c r="AJ491" i="5"/>
  <c r="AJ507" i="5"/>
  <c r="AJ517" i="5"/>
  <c r="AJ527" i="5"/>
  <c r="AJ539" i="5"/>
  <c r="AJ555" i="5"/>
  <c r="AJ95" i="5"/>
  <c r="AJ213" i="5"/>
  <c r="AJ249" i="5"/>
  <c r="AJ288" i="5"/>
  <c r="AJ314" i="5"/>
  <c r="AJ331" i="5"/>
  <c r="AJ345" i="5"/>
  <c r="AJ361" i="5"/>
  <c r="AJ381" i="5"/>
  <c r="AJ395" i="5"/>
  <c r="AJ413" i="5"/>
  <c r="AJ429" i="5"/>
  <c r="AJ232" i="5"/>
  <c r="AJ266" i="5"/>
  <c r="AJ298" i="5"/>
  <c r="AJ378" i="5"/>
  <c r="AJ399" i="5"/>
  <c r="AJ415" i="5"/>
  <c r="AJ431" i="5"/>
  <c r="AJ447" i="5"/>
  <c r="AJ461" i="5"/>
  <c r="AJ477" i="5"/>
  <c r="AJ493" i="5"/>
  <c r="AJ508" i="5"/>
  <c r="AJ524" i="5"/>
  <c r="AJ538" i="5"/>
  <c r="AJ546" i="5"/>
  <c r="AJ144" i="5"/>
  <c r="AJ336" i="5"/>
  <c r="AJ368" i="5"/>
  <c r="AJ408" i="5"/>
  <c r="AJ161" i="5"/>
  <c r="AJ150" i="5"/>
  <c r="AJ197" i="5"/>
  <c r="AJ265" i="5"/>
  <c r="AJ36" i="5"/>
  <c r="AJ192" i="5"/>
  <c r="AJ39" i="5"/>
  <c r="AJ236" i="5"/>
  <c r="AJ283" i="5"/>
  <c r="AJ237" i="5"/>
  <c r="AJ347" i="5"/>
  <c r="AJ453" i="5"/>
  <c r="AJ513" i="5"/>
  <c r="AJ60" i="5"/>
  <c r="AJ310" i="5"/>
  <c r="AJ341" i="5"/>
  <c r="AJ373" i="5"/>
  <c r="AJ409" i="5"/>
  <c r="AJ135" i="5"/>
  <c r="AJ293" i="5"/>
  <c r="AJ393" i="5"/>
  <c r="AJ427" i="5"/>
  <c r="AJ456" i="5"/>
  <c r="AJ488" i="5"/>
  <c r="AJ520" i="5"/>
  <c r="AJ544" i="5"/>
  <c r="AJ327" i="5"/>
  <c r="AJ400" i="5"/>
  <c r="AJ437" i="5"/>
  <c r="AJ458" i="5"/>
  <c r="AJ490" i="5"/>
  <c r="AJ560" i="5"/>
  <c r="AJ500" i="5"/>
  <c r="AJ541" i="5"/>
  <c r="AJ406" i="5"/>
  <c r="AJ466" i="5"/>
  <c r="AJ263" i="5"/>
  <c r="AJ354" i="5"/>
  <c r="AJ402" i="5"/>
  <c r="AJ434" i="5"/>
  <c r="AJ450" i="5"/>
  <c r="AJ528" i="5"/>
  <c r="AJ436" i="5"/>
  <c r="AJ78" i="5"/>
  <c r="AJ348" i="5"/>
  <c r="AJ380" i="5"/>
  <c r="AJ428" i="5"/>
  <c r="AJ474" i="5"/>
  <c r="AJ506" i="5"/>
  <c r="AJ526" i="5"/>
  <c r="AJ111" i="5"/>
  <c r="AJ334" i="5"/>
  <c r="AJ366" i="5"/>
  <c r="AJ444" i="5"/>
  <c r="AJ554" i="5"/>
  <c r="AJ175" i="5"/>
  <c r="AJ136" i="5"/>
  <c r="AJ31" i="5"/>
  <c r="AJ86" i="5"/>
  <c r="AJ22" i="5"/>
  <c r="AJ132" i="5"/>
  <c r="AJ124" i="5"/>
  <c r="AJ85" i="5"/>
  <c r="AJ163" i="5"/>
  <c r="AJ130" i="5"/>
  <c r="AJ191" i="5"/>
  <c r="AJ110" i="5"/>
  <c r="AJ42" i="5"/>
  <c r="AJ100" i="5"/>
  <c r="AJ79" i="5"/>
  <c r="AJ32" i="5"/>
  <c r="AJ53" i="5"/>
  <c r="AJ45" i="5"/>
  <c r="AJ168" i="5"/>
  <c r="AJ211" i="5"/>
  <c r="AJ281" i="5"/>
  <c r="AJ83" i="5"/>
  <c r="AJ210" i="5"/>
  <c r="AJ142" i="5"/>
  <c r="AJ248" i="5"/>
  <c r="AJ299" i="5"/>
  <c r="AJ282" i="5"/>
  <c r="AJ363" i="5"/>
  <c r="AJ469" i="5"/>
  <c r="AJ525" i="5"/>
  <c r="AJ205" i="5"/>
  <c r="AJ322" i="5"/>
  <c r="AJ353" i="5"/>
  <c r="AJ387" i="5"/>
  <c r="AJ421" i="5"/>
  <c r="AJ257" i="5"/>
  <c r="AJ323" i="5"/>
  <c r="AJ407" i="5"/>
  <c r="AJ439" i="5"/>
  <c r="AJ470" i="5"/>
  <c r="AJ502" i="5"/>
  <c r="AJ532" i="5"/>
  <c r="AJ550" i="5"/>
  <c r="AJ352" i="5"/>
  <c r="AJ416" i="5"/>
  <c r="AJ441" i="5"/>
  <c r="AJ471" i="5"/>
  <c r="AJ503" i="5"/>
  <c r="AJ463" i="5"/>
  <c r="AJ512" i="5"/>
  <c r="AJ549" i="5"/>
  <c r="AJ422" i="5"/>
  <c r="AJ479" i="5"/>
  <c r="AJ329" i="5"/>
  <c r="AJ362" i="5"/>
  <c r="AJ410" i="5"/>
  <c r="AJ438" i="5"/>
  <c r="AJ468" i="5"/>
  <c r="AJ545" i="5"/>
  <c r="AJ452" i="5"/>
  <c r="AJ285" i="5"/>
  <c r="AJ356" i="5"/>
  <c r="AJ404" i="5"/>
  <c r="AJ455" i="5"/>
  <c r="AJ487" i="5"/>
  <c r="AJ510" i="5"/>
  <c r="AJ534" i="5"/>
  <c r="AJ201" i="5"/>
  <c r="AJ342" i="5"/>
  <c r="AJ397" i="5"/>
  <c r="AJ457" i="5"/>
  <c r="AJ120" i="5"/>
  <c r="AJ81" i="5"/>
  <c r="AJ187" i="5"/>
  <c r="AJ70" i="5"/>
  <c r="AJ159" i="5"/>
  <c r="AJ116" i="5"/>
  <c r="AJ104" i="5"/>
  <c r="AJ106" i="5"/>
  <c r="AJ171" i="5"/>
  <c r="AJ134" i="5"/>
  <c r="AJ98" i="5"/>
  <c r="AJ80" i="5"/>
  <c r="AJ25" i="5"/>
  <c r="AJ226" i="5"/>
  <c r="AJ297" i="5"/>
  <c r="AJ123" i="5"/>
  <c r="AJ224" i="5"/>
  <c r="AJ204" i="5"/>
  <c r="AJ256" i="5"/>
  <c r="AJ316" i="5"/>
  <c r="AJ313" i="5"/>
  <c r="AJ377" i="5"/>
  <c r="AJ485" i="5"/>
  <c r="AJ535" i="5"/>
  <c r="AJ245" i="5"/>
  <c r="AJ328" i="5"/>
  <c r="AJ357" i="5"/>
  <c r="AJ392" i="5"/>
  <c r="AJ425" i="5"/>
  <c r="AJ261" i="5"/>
  <c r="AJ332" i="5"/>
  <c r="AJ411" i="5"/>
  <c r="AJ443" i="5"/>
  <c r="AJ472" i="5"/>
  <c r="AJ504" i="5"/>
  <c r="AJ536" i="5"/>
  <c r="AJ552" i="5"/>
  <c r="AJ360" i="5"/>
  <c r="AJ424" i="5"/>
  <c r="AJ445" i="5"/>
  <c r="AJ476" i="5"/>
  <c r="AJ515" i="5"/>
  <c r="AJ473" i="5"/>
  <c r="AJ521" i="5"/>
  <c r="AJ553" i="5"/>
  <c r="AJ440" i="5"/>
  <c r="AJ41" i="5"/>
  <c r="AJ338" i="5"/>
  <c r="AJ370" i="5"/>
  <c r="AJ418" i="5"/>
  <c r="AJ442" i="5"/>
  <c r="AJ482" i="5"/>
  <c r="AJ558" i="5"/>
  <c r="AJ489" i="5"/>
  <c r="AJ304" i="5"/>
  <c r="AJ364" i="5"/>
  <c r="AJ412" i="5"/>
  <c r="AJ460" i="5"/>
  <c r="AJ492" i="5"/>
  <c r="AJ518" i="5"/>
  <c r="AJ556" i="5"/>
  <c r="AJ272" i="5"/>
  <c r="AJ350" i="5"/>
  <c r="AJ414" i="5"/>
  <c r="AJ484" i="5"/>
  <c r="AJ65" i="5"/>
  <c r="AJ128" i="5"/>
  <c r="AJ54" i="5"/>
  <c r="AJ112" i="5"/>
  <c r="AJ149" i="5"/>
  <c r="AJ108" i="5"/>
  <c r="AJ8" i="5"/>
  <c r="AJ140" i="5"/>
  <c r="AJ122" i="5"/>
  <c r="AJ90" i="5"/>
  <c r="AJ126" i="5"/>
  <c r="AJ102" i="5"/>
  <c r="AJ74" i="5"/>
  <c r="AJ51" i="5"/>
  <c r="AJ35" i="5"/>
  <c r="AJ92" i="5"/>
  <c r="AJ26" i="5"/>
  <c r="AJ72" i="5"/>
  <c r="AJ113" i="5"/>
  <c r="AJ177" i="5"/>
  <c r="AJ152" i="5"/>
  <c r="AJ551" i="5"/>
  <c r="AJ405" i="5"/>
  <c r="AJ423" i="5"/>
  <c r="AJ542" i="5"/>
  <c r="AJ449" i="5"/>
  <c r="AJ537" i="5"/>
  <c r="AJ346" i="5"/>
  <c r="AJ505" i="5"/>
  <c r="AJ372" i="5"/>
  <c r="AJ522" i="5"/>
  <c r="AJ430" i="5"/>
  <c r="AJ151" i="5"/>
  <c r="AJ167" i="5"/>
  <c r="AJ118" i="5"/>
  <c r="AJ37" i="5"/>
  <c r="AJ137" i="5"/>
  <c r="AJ240" i="5"/>
  <c r="AJ330" i="5"/>
  <c r="AJ279" i="5"/>
  <c r="AJ103" i="5"/>
  <c r="AJ454" i="5"/>
  <c r="AJ295" i="5"/>
  <c r="AJ481" i="5"/>
  <c r="AJ374" i="5"/>
  <c r="AJ386" i="5"/>
  <c r="AJ382" i="5"/>
  <c r="AJ420" i="5"/>
  <c r="AJ19" i="5"/>
  <c r="AJ498" i="5"/>
  <c r="AJ47" i="5"/>
  <c r="AJ114" i="5"/>
  <c r="AJ69" i="5"/>
  <c r="AJ58" i="5"/>
  <c r="AJ96" i="5"/>
  <c r="AJ21" i="5"/>
  <c r="AJ243" i="5"/>
  <c r="AJ220" i="5"/>
  <c r="AJ390" i="5"/>
  <c r="AJ337" i="5"/>
  <c r="AJ280" i="5"/>
  <c r="AJ486" i="5"/>
  <c r="AJ384" i="5"/>
  <c r="AJ531" i="5"/>
  <c r="AJ448" i="5"/>
  <c r="AJ426" i="5"/>
  <c r="AJ557" i="5"/>
  <c r="AJ465" i="5"/>
  <c r="AJ290" i="5"/>
  <c r="AJ145" i="5"/>
  <c r="AJ94" i="5"/>
  <c r="AJ63" i="5"/>
  <c r="AJ88" i="5"/>
  <c r="AJ311" i="5"/>
  <c r="AJ391" i="5"/>
  <c r="AJ217" i="5"/>
  <c r="AJ358" i="5"/>
  <c r="AJ183" i="5"/>
  <c r="AJ48" i="5"/>
  <c r="AJ267" i="5"/>
  <c r="AJ516" i="5"/>
  <c r="AJ446" i="5"/>
  <c r="AJ155" i="5"/>
  <c r="AJ501" i="5"/>
  <c r="AJ432" i="5"/>
  <c r="AJ340" i="5"/>
  <c r="AJ369" i="5"/>
  <c r="AJ495" i="5"/>
  <c r="AJ38" i="5"/>
  <c r="AJ497" i="5"/>
  <c r="AJ68" i="5"/>
  <c r="B25" i="2"/>
  <c r="H17" i="1"/>
  <c r="AL77" i="5"/>
  <c r="AL24" i="5"/>
  <c r="AK24" i="5"/>
  <c r="AK184" i="5"/>
  <c r="AL184" i="5"/>
  <c r="AK158" i="5"/>
  <c r="AL27" i="5"/>
  <c r="AL105" i="5"/>
  <c r="AK75" i="5"/>
  <c r="AX7" i="5"/>
  <c r="AY7" i="5"/>
  <c r="AL44" i="5"/>
  <c r="AL188" i="5"/>
  <c r="AK169" i="5"/>
  <c r="AL169" i="5"/>
  <c r="AL143" i="5"/>
  <c r="AK143" i="5"/>
  <c r="AK138" i="5"/>
  <c r="AL138" i="5"/>
  <c r="AK166" i="5"/>
  <c r="AL166" i="5"/>
  <c r="AK109" i="5"/>
  <c r="AK43" i="5"/>
  <c r="AL43" i="5"/>
  <c r="AL84" i="5"/>
  <c r="AK84" i="5"/>
  <c r="AK172" i="5"/>
  <c r="AL172" i="5"/>
  <c r="AK56" i="5"/>
  <c r="AL56" i="5"/>
  <c r="AK7" i="5"/>
  <c r="AL7" i="5"/>
  <c r="BA7" i="5"/>
  <c r="BB7" i="5"/>
  <c r="AK121" i="5" l="1"/>
  <c r="AK87" i="5"/>
  <c r="AK147" i="5"/>
  <c r="AK164" i="5"/>
  <c r="AZ12" i="5"/>
  <c r="BA64" i="5"/>
  <c r="AJ12" i="5"/>
  <c r="AK12" i="5" s="1"/>
  <c r="AU172" i="5"/>
  <c r="AU103" i="5"/>
  <c r="AU316" i="5"/>
  <c r="BA117" i="5"/>
  <c r="BA266" i="5"/>
  <c r="BB262" i="5"/>
  <c r="AU189" i="5"/>
  <c r="AV276" i="5"/>
  <c r="AL125" i="5"/>
  <c r="AK195" i="5"/>
  <c r="AU28" i="5"/>
  <c r="AU154" i="5"/>
  <c r="AV100" i="5"/>
  <c r="AU328" i="5"/>
  <c r="AV215" i="5"/>
  <c r="AU121" i="5"/>
  <c r="BB131" i="5"/>
  <c r="BB118" i="5"/>
  <c r="BB322" i="5"/>
  <c r="BB163" i="5"/>
  <c r="AU42" i="5"/>
  <c r="AU209" i="5"/>
  <c r="AV142" i="5"/>
  <c r="BB223" i="5"/>
  <c r="AU79" i="5"/>
  <c r="AK174" i="5"/>
  <c r="AU191" i="5"/>
  <c r="AT12" i="5"/>
  <c r="BA351" i="5"/>
  <c r="AW12" i="5"/>
  <c r="AV33" i="5"/>
  <c r="AU33" i="5"/>
  <c r="AV49" i="5"/>
  <c r="AU49" i="5"/>
  <c r="AU560" i="5"/>
  <c r="AV560" i="5"/>
  <c r="AV475" i="5"/>
  <c r="AU475" i="5"/>
  <c r="AV431" i="5"/>
  <c r="AU431" i="5"/>
  <c r="AV119" i="5"/>
  <c r="AU119" i="5"/>
  <c r="AV455" i="5"/>
  <c r="AU455" i="5"/>
  <c r="AU19" i="5"/>
  <c r="AV19" i="5"/>
  <c r="AV546" i="5"/>
  <c r="AU546" i="5"/>
  <c r="AV266" i="5"/>
  <c r="AU266" i="5"/>
  <c r="AU552" i="5"/>
  <c r="AV552" i="5"/>
  <c r="AU256" i="5"/>
  <c r="AV256" i="5"/>
  <c r="AV389" i="5"/>
  <c r="AU389" i="5"/>
  <c r="AU35" i="5"/>
  <c r="AV35" i="5"/>
  <c r="AV482" i="5"/>
  <c r="AU482" i="5"/>
  <c r="AU354" i="5"/>
  <c r="AV354" i="5"/>
  <c r="AV521" i="5"/>
  <c r="AU521" i="5"/>
  <c r="AU454" i="5"/>
  <c r="AV454" i="5"/>
  <c r="AU545" i="5"/>
  <c r="AV545" i="5"/>
  <c r="AV528" i="5"/>
  <c r="AU528" i="5"/>
  <c r="AV498" i="5"/>
  <c r="AU498" i="5"/>
  <c r="AV464" i="5"/>
  <c r="AU464" i="5"/>
  <c r="AU414" i="5"/>
  <c r="AV414" i="5"/>
  <c r="AV374" i="5"/>
  <c r="AU374" i="5"/>
  <c r="AV236" i="5"/>
  <c r="AU236" i="5"/>
  <c r="AV108" i="5"/>
  <c r="AU108" i="5"/>
  <c r="AV446" i="5"/>
  <c r="AU446" i="5"/>
  <c r="AU413" i="5"/>
  <c r="AV413" i="5"/>
  <c r="AU484" i="5"/>
  <c r="AV484" i="5"/>
  <c r="AU463" i="5"/>
  <c r="AV463" i="5"/>
  <c r="AU457" i="5"/>
  <c r="AV457" i="5"/>
  <c r="AU422" i="5"/>
  <c r="AV422" i="5"/>
  <c r="AV409" i="5"/>
  <c r="AU409" i="5"/>
  <c r="AV323" i="5"/>
  <c r="AU323" i="5"/>
  <c r="AV206" i="5"/>
  <c r="AU206" i="5"/>
  <c r="AU68" i="5"/>
  <c r="AV68" i="5"/>
  <c r="AU537" i="5"/>
  <c r="AV537" i="5"/>
  <c r="AU358" i="5"/>
  <c r="AV358" i="5"/>
  <c r="AV554" i="5"/>
  <c r="AU554" i="5"/>
  <c r="AV549" i="5"/>
  <c r="AU549" i="5"/>
  <c r="AV517" i="5"/>
  <c r="AU517" i="5"/>
  <c r="AV481" i="5"/>
  <c r="AU481" i="5"/>
  <c r="AU298" i="5"/>
  <c r="AV298" i="5"/>
  <c r="AV292" i="5"/>
  <c r="AU292" i="5"/>
  <c r="AV171" i="5"/>
  <c r="AU171" i="5"/>
  <c r="AU509" i="5"/>
  <c r="AV509" i="5"/>
  <c r="AV550" i="5"/>
  <c r="AU550" i="5"/>
  <c r="AU478" i="5"/>
  <c r="AV478" i="5"/>
  <c r="AU272" i="5"/>
  <c r="AV272" i="5"/>
  <c r="AU456" i="5"/>
  <c r="AV456" i="5"/>
  <c r="AU518" i="5"/>
  <c r="AV518" i="5"/>
  <c r="AU445" i="5"/>
  <c r="AV445" i="5"/>
  <c r="AV168" i="5"/>
  <c r="AU168" i="5"/>
  <c r="AU352" i="5"/>
  <c r="AV352" i="5"/>
  <c r="AV376" i="5"/>
  <c r="AU376" i="5"/>
  <c r="AU180" i="5"/>
  <c r="AV180" i="5"/>
  <c r="AV388" i="5"/>
  <c r="AU388" i="5"/>
  <c r="AU349" i="5"/>
  <c r="AV349" i="5"/>
  <c r="AU269" i="5"/>
  <c r="AV269" i="5"/>
  <c r="AU258" i="5"/>
  <c r="AV258" i="5"/>
  <c r="AU252" i="5"/>
  <c r="AV252" i="5"/>
  <c r="AV192" i="5"/>
  <c r="AU192" i="5"/>
  <c r="AV140" i="5"/>
  <c r="AU140" i="5"/>
  <c r="AU116" i="5"/>
  <c r="AV116" i="5"/>
  <c r="AU127" i="5"/>
  <c r="AV127" i="5"/>
  <c r="AU72" i="5"/>
  <c r="AV72" i="5"/>
  <c r="AV384" i="5"/>
  <c r="AU384" i="5"/>
  <c r="AU488" i="5"/>
  <c r="AV488" i="5"/>
  <c r="AV350" i="5"/>
  <c r="AU350" i="5"/>
  <c r="AV383" i="5"/>
  <c r="AU383" i="5"/>
  <c r="AV405" i="5"/>
  <c r="AU405" i="5"/>
  <c r="AV326" i="5"/>
  <c r="AU326" i="5"/>
  <c r="AV406" i="5"/>
  <c r="AU406" i="5"/>
  <c r="AU290" i="5"/>
  <c r="AV290" i="5"/>
  <c r="AV313" i="5"/>
  <c r="AU313" i="5"/>
  <c r="AV308" i="5"/>
  <c r="AU308" i="5"/>
  <c r="AU293" i="5"/>
  <c r="AV293" i="5"/>
  <c r="AU188" i="5"/>
  <c r="AV188" i="5"/>
  <c r="AV197" i="5"/>
  <c r="AU197" i="5"/>
  <c r="AV179" i="5"/>
  <c r="AU179" i="5"/>
  <c r="AV151" i="5"/>
  <c r="AU151" i="5"/>
  <c r="AV98" i="5"/>
  <c r="AU98" i="5"/>
  <c r="AU60" i="5"/>
  <c r="AV60" i="5"/>
  <c r="AU380" i="5"/>
  <c r="AV380" i="5"/>
  <c r="AV507" i="5"/>
  <c r="AU507" i="5"/>
  <c r="AV439" i="5"/>
  <c r="AU439" i="5"/>
  <c r="AU483" i="5"/>
  <c r="AV483" i="5"/>
  <c r="AV370" i="5"/>
  <c r="AU370" i="5"/>
  <c r="AU487" i="5"/>
  <c r="AV487" i="5"/>
  <c r="AV346" i="5"/>
  <c r="AU346" i="5"/>
  <c r="AU375" i="5"/>
  <c r="AV375" i="5"/>
  <c r="AV396" i="5"/>
  <c r="AU396" i="5"/>
  <c r="AV321" i="5"/>
  <c r="AU321" i="5"/>
  <c r="AV403" i="5"/>
  <c r="AU403" i="5"/>
  <c r="AU284" i="5"/>
  <c r="AV284" i="5"/>
  <c r="AV303" i="5"/>
  <c r="AU303" i="5"/>
  <c r="AU304" i="5"/>
  <c r="AV304" i="5"/>
  <c r="AV287" i="5"/>
  <c r="AU287" i="5"/>
  <c r="AV166" i="5"/>
  <c r="AU166" i="5"/>
  <c r="AU194" i="5"/>
  <c r="AV194" i="5"/>
  <c r="AV178" i="5"/>
  <c r="AU178" i="5"/>
  <c r="AV148" i="5"/>
  <c r="AU148" i="5"/>
  <c r="AV97" i="5"/>
  <c r="AU97" i="5"/>
  <c r="AU57" i="5"/>
  <c r="AV57" i="5"/>
  <c r="AV155" i="5"/>
  <c r="AU155" i="5"/>
  <c r="AU226" i="5"/>
  <c r="AV226" i="5"/>
  <c r="AU132" i="5"/>
  <c r="AV132" i="5"/>
  <c r="AV519" i="5"/>
  <c r="AU519" i="5"/>
  <c r="AU544" i="5"/>
  <c r="AV544" i="5"/>
  <c r="AV536" i="5"/>
  <c r="AU536" i="5"/>
  <c r="AV531" i="5"/>
  <c r="AU531" i="5"/>
  <c r="AV433" i="5"/>
  <c r="AU433" i="5"/>
  <c r="AU137" i="5"/>
  <c r="AV137" i="5"/>
  <c r="AU432" i="5"/>
  <c r="AV432" i="5"/>
  <c r="AV520" i="5"/>
  <c r="AU520" i="5"/>
  <c r="AU458" i="5"/>
  <c r="AV458" i="5"/>
  <c r="AU330" i="5"/>
  <c r="AV330" i="5"/>
  <c r="AU107" i="5"/>
  <c r="AV107" i="5"/>
  <c r="AV395" i="5"/>
  <c r="AU395" i="5"/>
  <c r="AV392" i="5"/>
  <c r="AU392" i="5"/>
  <c r="AU357" i="5"/>
  <c r="AV357" i="5"/>
  <c r="AV300" i="5"/>
  <c r="AU300" i="5"/>
  <c r="AU50" i="5"/>
  <c r="AV50" i="5"/>
  <c r="AV504" i="5"/>
  <c r="AU504" i="5"/>
  <c r="AV472" i="5"/>
  <c r="AU472" i="5"/>
  <c r="AV469" i="5"/>
  <c r="AU469" i="5"/>
  <c r="AV369" i="5"/>
  <c r="AU369" i="5"/>
  <c r="AV268" i="5"/>
  <c r="AU268" i="5"/>
  <c r="AU174" i="5"/>
  <c r="AV174" i="5"/>
  <c r="AU289" i="5"/>
  <c r="AV289" i="5"/>
  <c r="AU232" i="5"/>
  <c r="AV232" i="5"/>
  <c r="AV158" i="5"/>
  <c r="AU158" i="5"/>
  <c r="AV94" i="5"/>
  <c r="AU94" i="5"/>
  <c r="AU499" i="5"/>
  <c r="AV499" i="5"/>
  <c r="AV404" i="5"/>
  <c r="AU404" i="5"/>
  <c r="AV355" i="5"/>
  <c r="AU355" i="5"/>
  <c r="AV364" i="5"/>
  <c r="AU364" i="5"/>
  <c r="AU196" i="5"/>
  <c r="AV196" i="5"/>
  <c r="AV225" i="5"/>
  <c r="AU225" i="5"/>
  <c r="AU161" i="5"/>
  <c r="AV161" i="5"/>
  <c r="AV85" i="5"/>
  <c r="AU85" i="5"/>
  <c r="AU473" i="5"/>
  <c r="AV473" i="5"/>
  <c r="AU459" i="5"/>
  <c r="AV459" i="5"/>
  <c r="AU425" i="5"/>
  <c r="AV425" i="5"/>
  <c r="AV412" i="5"/>
  <c r="AU412" i="5"/>
  <c r="AV410" i="5"/>
  <c r="AU410" i="5"/>
  <c r="AV421" i="5"/>
  <c r="AU421" i="5"/>
  <c r="AV117" i="5"/>
  <c r="AU117" i="5"/>
  <c r="AV315" i="5"/>
  <c r="AU315" i="5"/>
  <c r="AU193" i="5"/>
  <c r="AV193" i="5"/>
  <c r="AU82" i="5"/>
  <c r="AV82" i="5"/>
  <c r="AV423" i="5"/>
  <c r="AU423" i="5"/>
  <c r="AV529" i="5"/>
  <c r="AU529" i="5"/>
  <c r="AU515" i="5"/>
  <c r="AV515" i="5"/>
  <c r="AV123" i="5"/>
  <c r="AU123" i="5"/>
  <c r="AV535" i="5"/>
  <c r="AU535" i="5"/>
  <c r="AU394" i="5"/>
  <c r="AV394" i="5"/>
  <c r="AV204" i="5"/>
  <c r="AU204" i="5"/>
  <c r="AV470" i="5"/>
  <c r="AU470" i="5"/>
  <c r="AU471" i="5"/>
  <c r="AV471" i="5"/>
  <c r="AV207" i="5"/>
  <c r="AU207" i="5"/>
  <c r="AU449" i="5"/>
  <c r="AV449" i="5"/>
  <c r="AV426" i="5"/>
  <c r="AU426" i="5"/>
  <c r="AV495" i="5"/>
  <c r="AU495" i="5"/>
  <c r="AV476" i="5"/>
  <c r="AU476" i="5"/>
  <c r="AV462" i="5"/>
  <c r="AU462" i="5"/>
  <c r="AV434" i="5"/>
  <c r="AU434" i="5"/>
  <c r="AV339" i="5"/>
  <c r="AU339" i="5"/>
  <c r="AV343" i="5"/>
  <c r="AU343" i="5"/>
  <c r="AV227" i="5"/>
  <c r="AU227" i="5"/>
  <c r="AU80" i="5"/>
  <c r="AV80" i="5"/>
  <c r="AU556" i="5"/>
  <c r="AV556" i="5"/>
  <c r="AU365" i="5"/>
  <c r="AV365" i="5"/>
  <c r="AV441" i="5"/>
  <c r="AU441" i="5"/>
  <c r="AU551" i="5"/>
  <c r="AV551" i="5"/>
  <c r="AV302" i="5"/>
  <c r="AU302" i="5"/>
  <c r="AU493" i="5"/>
  <c r="AV493" i="5"/>
  <c r="AU333" i="5"/>
  <c r="AV333" i="5"/>
  <c r="AU325" i="5"/>
  <c r="AV325" i="5"/>
  <c r="AU125" i="5"/>
  <c r="AV125" i="5"/>
  <c r="AU534" i="5"/>
  <c r="AV534" i="5"/>
  <c r="AU467" i="5"/>
  <c r="AV467" i="5"/>
  <c r="AV555" i="5"/>
  <c r="AU555" i="5"/>
  <c r="AV539" i="5"/>
  <c r="AU539" i="5"/>
  <c r="AV512" i="5"/>
  <c r="AU512" i="5"/>
  <c r="AV485" i="5"/>
  <c r="AU485" i="5"/>
  <c r="AU344" i="5"/>
  <c r="AV344" i="5"/>
  <c r="AU401" i="5"/>
  <c r="AV401" i="5"/>
  <c r="AV277" i="5"/>
  <c r="AU277" i="5"/>
  <c r="AU124" i="5"/>
  <c r="AV124" i="5"/>
  <c r="AV479" i="5"/>
  <c r="AU479" i="5"/>
  <c r="AU543" i="5"/>
  <c r="AV543" i="5"/>
  <c r="AV468" i="5"/>
  <c r="AU468" i="5"/>
  <c r="AV501" i="5"/>
  <c r="AU501" i="5"/>
  <c r="AV435" i="5"/>
  <c r="AU435" i="5"/>
  <c r="AV502" i="5"/>
  <c r="AU502" i="5"/>
  <c r="AV427" i="5"/>
  <c r="AU427" i="5"/>
  <c r="AV411" i="5"/>
  <c r="AU411" i="5"/>
  <c r="AV317" i="5"/>
  <c r="AU317" i="5"/>
  <c r="AU362" i="5"/>
  <c r="AV362" i="5"/>
  <c r="AV429" i="5"/>
  <c r="AU429" i="5"/>
  <c r="AV366" i="5"/>
  <c r="AU366" i="5"/>
  <c r="AV342" i="5"/>
  <c r="AU342" i="5"/>
  <c r="AU244" i="5"/>
  <c r="AV244" i="5"/>
  <c r="AV332" i="5"/>
  <c r="AU332" i="5"/>
  <c r="AU235" i="5"/>
  <c r="AV235" i="5"/>
  <c r="AV223" i="5"/>
  <c r="AU223" i="5"/>
  <c r="AU169" i="5"/>
  <c r="AV169" i="5"/>
  <c r="AV134" i="5"/>
  <c r="AU134" i="5"/>
  <c r="AV101" i="5"/>
  <c r="AU101" i="5"/>
  <c r="AV26" i="5"/>
  <c r="AU26" i="5"/>
  <c r="AV294" i="5"/>
  <c r="AU294" i="5"/>
  <c r="AV466" i="5"/>
  <c r="AU466" i="5"/>
  <c r="AU305" i="5"/>
  <c r="AV305" i="5"/>
  <c r="AV361" i="5"/>
  <c r="AU361" i="5"/>
  <c r="AV387" i="5"/>
  <c r="AU387" i="5"/>
  <c r="AU267" i="5"/>
  <c r="AV267" i="5"/>
  <c r="AV398" i="5"/>
  <c r="AU398" i="5"/>
  <c r="AV359" i="5"/>
  <c r="AU359" i="5"/>
  <c r="AU288" i="5"/>
  <c r="AV288" i="5"/>
  <c r="AU279" i="5"/>
  <c r="AV279" i="5"/>
  <c r="AU263" i="5"/>
  <c r="AV263" i="5"/>
  <c r="AU220" i="5"/>
  <c r="AV220" i="5"/>
  <c r="AU167" i="5"/>
  <c r="AV167" i="5"/>
  <c r="AV147" i="5"/>
  <c r="AU147" i="5"/>
  <c r="AV145" i="5"/>
  <c r="AU145" i="5"/>
  <c r="AU86" i="5"/>
  <c r="AV86" i="5"/>
  <c r="AU40" i="5"/>
  <c r="AV40" i="5"/>
  <c r="AV553" i="5"/>
  <c r="AU553" i="5"/>
  <c r="AV486" i="5"/>
  <c r="AU486" i="5"/>
  <c r="AV337" i="5"/>
  <c r="AU337" i="5"/>
  <c r="AV460" i="5"/>
  <c r="AU460" i="5"/>
  <c r="AU530" i="5"/>
  <c r="AV530" i="5"/>
  <c r="AU451" i="5"/>
  <c r="AV451" i="5"/>
  <c r="AV275" i="5"/>
  <c r="AU275" i="5"/>
  <c r="AU360" i="5"/>
  <c r="AV360" i="5"/>
  <c r="AU386" i="5"/>
  <c r="AV386" i="5"/>
  <c r="AV262" i="5"/>
  <c r="AU262" i="5"/>
  <c r="AU397" i="5"/>
  <c r="AV397" i="5"/>
  <c r="AU356" i="5"/>
  <c r="AV356" i="5"/>
  <c r="AV285" i="5"/>
  <c r="AU285" i="5"/>
  <c r="AV278" i="5"/>
  <c r="AU278" i="5"/>
  <c r="AU260" i="5"/>
  <c r="AV260" i="5"/>
  <c r="AV216" i="5"/>
  <c r="AU216" i="5"/>
  <c r="AU162" i="5"/>
  <c r="AV162" i="5"/>
  <c r="AU144" i="5"/>
  <c r="AV144" i="5"/>
  <c r="AV143" i="5"/>
  <c r="AU143" i="5"/>
  <c r="AU81" i="5"/>
  <c r="AV81" i="5"/>
  <c r="AU45" i="5"/>
  <c r="AV45" i="5"/>
  <c r="AV547" i="5"/>
  <c r="AU547" i="5"/>
  <c r="AV461" i="5"/>
  <c r="AU461" i="5"/>
  <c r="AU281" i="5"/>
  <c r="AV281" i="5"/>
  <c r="AU353" i="5"/>
  <c r="AV353" i="5"/>
  <c r="AV523" i="5"/>
  <c r="AU523" i="5"/>
  <c r="AV542" i="5"/>
  <c r="AU542" i="5"/>
  <c r="AV497" i="5"/>
  <c r="AU497" i="5"/>
  <c r="AU203" i="5"/>
  <c r="AV203" i="5"/>
  <c r="AU503" i="5"/>
  <c r="AV503" i="5"/>
  <c r="AU533" i="5"/>
  <c r="AV533" i="5"/>
  <c r="AV480" i="5"/>
  <c r="AU480" i="5"/>
  <c r="AU390" i="5"/>
  <c r="AV390" i="5"/>
  <c r="AU213" i="5"/>
  <c r="AV213" i="5"/>
  <c r="AV440" i="5"/>
  <c r="AU440" i="5"/>
  <c r="AV465" i="5"/>
  <c r="AU465" i="5"/>
  <c r="AU452" i="5"/>
  <c r="AV452" i="5"/>
  <c r="AV393" i="5"/>
  <c r="AU393" i="5"/>
  <c r="AU186" i="5"/>
  <c r="AV186" i="5"/>
  <c r="AV559" i="5"/>
  <c r="AU559" i="5"/>
  <c r="AU399" i="5"/>
  <c r="AV399" i="5"/>
  <c r="AV331" i="5"/>
  <c r="AU331" i="5"/>
  <c r="AU334" i="5"/>
  <c r="AV334" i="5"/>
  <c r="AU391" i="5"/>
  <c r="AV391" i="5"/>
  <c r="AV400" i="5"/>
  <c r="AU400" i="5"/>
  <c r="AV296" i="5"/>
  <c r="AU296" i="5"/>
  <c r="AU274" i="5"/>
  <c r="AV274" i="5"/>
  <c r="AV185" i="5"/>
  <c r="AU185" i="5"/>
  <c r="AV104" i="5"/>
  <c r="AU104" i="5"/>
  <c r="AU48" i="5"/>
  <c r="AV48" i="5"/>
  <c r="AV419" i="5"/>
  <c r="AU419" i="5"/>
  <c r="AU202" i="5"/>
  <c r="AV202" i="5"/>
  <c r="AV424" i="5"/>
  <c r="AU424" i="5"/>
  <c r="AV338" i="5"/>
  <c r="AU338" i="5"/>
  <c r="AV320" i="5"/>
  <c r="AU320" i="5"/>
  <c r="AU208" i="5"/>
  <c r="AV208" i="5"/>
  <c r="AV120" i="5"/>
  <c r="AU120" i="5"/>
  <c r="AV59" i="5"/>
  <c r="AU59" i="5"/>
  <c r="AV525" i="5"/>
  <c r="AU525" i="5"/>
  <c r="AV496" i="5"/>
  <c r="AU496" i="5"/>
  <c r="AV494" i="5"/>
  <c r="AU494" i="5"/>
  <c r="AV402" i="5"/>
  <c r="AU402" i="5"/>
  <c r="AV340" i="5"/>
  <c r="AU340" i="5"/>
  <c r="AV341" i="5"/>
  <c r="AU341" i="5"/>
  <c r="AV336" i="5"/>
  <c r="AU336" i="5"/>
  <c r="AU222" i="5"/>
  <c r="AV222" i="5"/>
  <c r="AU149" i="5"/>
  <c r="AV149" i="5"/>
  <c r="AV58" i="5"/>
  <c r="AU58" i="5"/>
  <c r="AU381" i="5"/>
  <c r="AV381" i="5"/>
  <c r="AV540" i="5"/>
  <c r="AU540" i="5"/>
  <c r="AV450" i="5"/>
  <c r="AU450" i="5"/>
  <c r="AV527" i="5"/>
  <c r="AU527" i="5"/>
  <c r="AV505" i="5"/>
  <c r="AU505" i="5"/>
  <c r="AV254" i="5"/>
  <c r="AU254" i="5"/>
  <c r="AV522" i="5"/>
  <c r="AU522" i="5"/>
  <c r="AV428" i="5"/>
  <c r="AU428" i="5"/>
  <c r="AV442" i="5"/>
  <c r="AU442" i="5"/>
  <c r="AV76" i="5"/>
  <c r="AU76" i="5"/>
  <c r="AU558" i="5"/>
  <c r="AV558" i="5"/>
  <c r="AU377" i="5"/>
  <c r="AV377" i="5"/>
  <c r="AV444" i="5"/>
  <c r="AU444" i="5"/>
  <c r="AU557" i="5"/>
  <c r="AV557" i="5"/>
  <c r="AV363" i="5"/>
  <c r="AU363" i="5"/>
  <c r="AU508" i="5"/>
  <c r="AV508" i="5"/>
  <c r="AV367" i="5"/>
  <c r="AU367" i="5"/>
  <c r="AV253" i="5"/>
  <c r="AU253" i="5"/>
  <c r="AU170" i="5"/>
  <c r="AV170" i="5"/>
  <c r="AU538" i="5"/>
  <c r="AV538" i="5"/>
  <c r="AU511" i="5"/>
  <c r="AV511" i="5"/>
  <c r="AV532" i="5"/>
  <c r="AU532" i="5"/>
  <c r="AU541" i="5"/>
  <c r="AV541" i="5"/>
  <c r="AV524" i="5"/>
  <c r="AU524" i="5"/>
  <c r="AV491" i="5"/>
  <c r="AU491" i="5"/>
  <c r="AU379" i="5"/>
  <c r="AV379" i="5"/>
  <c r="AU420" i="5"/>
  <c r="AV420" i="5"/>
  <c r="AU309" i="5"/>
  <c r="AV309" i="5"/>
  <c r="AV106" i="5"/>
  <c r="AU106" i="5"/>
  <c r="AU500" i="5"/>
  <c r="AV500" i="5"/>
  <c r="AV430" i="5"/>
  <c r="AU430" i="5"/>
  <c r="AU526" i="5"/>
  <c r="AV526" i="5"/>
  <c r="AU506" i="5"/>
  <c r="AV506" i="5"/>
  <c r="AV477" i="5"/>
  <c r="AU477" i="5"/>
  <c r="AV448" i="5"/>
  <c r="AU448" i="5"/>
  <c r="AV373" i="5"/>
  <c r="AU373" i="5"/>
  <c r="AV231" i="5"/>
  <c r="AU231" i="5"/>
  <c r="AU242" i="5"/>
  <c r="AV242" i="5"/>
  <c r="AU74" i="5"/>
  <c r="AV74" i="5"/>
  <c r="AU416" i="5"/>
  <c r="AV416" i="5"/>
  <c r="AU514" i="5"/>
  <c r="AV514" i="5"/>
  <c r="AU453" i="5"/>
  <c r="AV453" i="5"/>
  <c r="AU490" i="5"/>
  <c r="AV490" i="5"/>
  <c r="AU408" i="5"/>
  <c r="AV408" i="5"/>
  <c r="AU489" i="5"/>
  <c r="AV489" i="5"/>
  <c r="AU371" i="5"/>
  <c r="AV371" i="5"/>
  <c r="AU385" i="5"/>
  <c r="AV385" i="5"/>
  <c r="AU407" i="5"/>
  <c r="AV407" i="5"/>
  <c r="AV329" i="5"/>
  <c r="AU329" i="5"/>
  <c r="AV415" i="5"/>
  <c r="AU415" i="5"/>
  <c r="AV310" i="5"/>
  <c r="AU310" i="5"/>
  <c r="AU318" i="5"/>
  <c r="AV318" i="5"/>
  <c r="AV319" i="5"/>
  <c r="AU319" i="5"/>
  <c r="AU306" i="5"/>
  <c r="AV306" i="5"/>
  <c r="AU212" i="5"/>
  <c r="AV212" i="5"/>
  <c r="AV201" i="5"/>
  <c r="AU201" i="5"/>
  <c r="AV112" i="5"/>
  <c r="AU112" i="5"/>
  <c r="AU99" i="5"/>
  <c r="AV99" i="5"/>
  <c r="AV105" i="5"/>
  <c r="AU105" i="5"/>
  <c r="AU67" i="5"/>
  <c r="AV67" i="5"/>
  <c r="AV513" i="5"/>
  <c r="AU513" i="5"/>
  <c r="AV443" i="5"/>
  <c r="AU443" i="5"/>
  <c r="AV418" i="5"/>
  <c r="AU418" i="5"/>
  <c r="AV351" i="5"/>
  <c r="AU351" i="5"/>
  <c r="AV372" i="5"/>
  <c r="AU372" i="5"/>
  <c r="AV437" i="5"/>
  <c r="AU437" i="5"/>
  <c r="AV382" i="5"/>
  <c r="AU382" i="5"/>
  <c r="AV348" i="5"/>
  <c r="AU348" i="5"/>
  <c r="AV264" i="5"/>
  <c r="AU264" i="5"/>
  <c r="AU241" i="5"/>
  <c r="AV241" i="5"/>
  <c r="AV228" i="5"/>
  <c r="AU228" i="5"/>
  <c r="AU247" i="5"/>
  <c r="AV247" i="5"/>
  <c r="AV95" i="5"/>
  <c r="AU95" i="5"/>
  <c r="AU152" i="5"/>
  <c r="AV152" i="5"/>
  <c r="AU114" i="5"/>
  <c r="AV114" i="5"/>
  <c r="AU73" i="5"/>
  <c r="AV73" i="5"/>
  <c r="AU492" i="5"/>
  <c r="AV492" i="5"/>
  <c r="AV548" i="5"/>
  <c r="AU548" i="5"/>
  <c r="AV474" i="5"/>
  <c r="AU474" i="5"/>
  <c r="AV516" i="5"/>
  <c r="AU516" i="5"/>
  <c r="AV447" i="5"/>
  <c r="AU447" i="5"/>
  <c r="AV510" i="5"/>
  <c r="AU510" i="5"/>
  <c r="AV438" i="5"/>
  <c r="AU438" i="5"/>
  <c r="AV417" i="5"/>
  <c r="AU417" i="5"/>
  <c r="AV347" i="5"/>
  <c r="AU347" i="5"/>
  <c r="AU368" i="5"/>
  <c r="AV368" i="5"/>
  <c r="AV436" i="5"/>
  <c r="AU436" i="5"/>
  <c r="AV378" i="5"/>
  <c r="AU378" i="5"/>
  <c r="AV345" i="5"/>
  <c r="AU345" i="5"/>
  <c r="AV261" i="5"/>
  <c r="AU261" i="5"/>
  <c r="AV219" i="5"/>
  <c r="AU219" i="5"/>
  <c r="AV214" i="5"/>
  <c r="AU214" i="5"/>
  <c r="AU245" i="5"/>
  <c r="AV245" i="5"/>
  <c r="AU184" i="5"/>
  <c r="AV184" i="5"/>
  <c r="AU146" i="5"/>
  <c r="AV146" i="5"/>
  <c r="AU113" i="5"/>
  <c r="AV113" i="5"/>
  <c r="AU70" i="5"/>
  <c r="AV70" i="5"/>
  <c r="AU27" i="5"/>
  <c r="AV27" i="5"/>
  <c r="BA85" i="5"/>
  <c r="BB276" i="5"/>
  <c r="BA54" i="5"/>
  <c r="BA213" i="5"/>
  <c r="BB316" i="5"/>
  <c r="BB133" i="5"/>
  <c r="BB313" i="5"/>
  <c r="BB105" i="5"/>
  <c r="BA88" i="5"/>
  <c r="BB231" i="5"/>
  <c r="BA235" i="5"/>
  <c r="BB109" i="5"/>
  <c r="BB21" i="5"/>
  <c r="BB201" i="5"/>
  <c r="BA339" i="5"/>
  <c r="BB195" i="5"/>
  <c r="BB34" i="5"/>
  <c r="BB241" i="5"/>
  <c r="BB72" i="5"/>
  <c r="BA149" i="5"/>
  <c r="BB225" i="5"/>
  <c r="BB207" i="5"/>
  <c r="BB338" i="5"/>
  <c r="BA76" i="5"/>
  <c r="BB101" i="5"/>
  <c r="BA214" i="5"/>
  <c r="BA317" i="5"/>
  <c r="BA411" i="5"/>
  <c r="BA65" i="5"/>
  <c r="BB145" i="5"/>
  <c r="BB210" i="5"/>
  <c r="BB298" i="5"/>
  <c r="BA41" i="5"/>
  <c r="BA122" i="5"/>
  <c r="BB189" i="5"/>
  <c r="BB306" i="5"/>
  <c r="BB100" i="5"/>
  <c r="BA279" i="5"/>
  <c r="BB147" i="5"/>
  <c r="BA157" i="5"/>
  <c r="BA47" i="5"/>
  <c r="AK71" i="5"/>
  <c r="AL71" i="5"/>
  <c r="AL61" i="5"/>
  <c r="AK61" i="5"/>
  <c r="AK40" i="5"/>
  <c r="AL146" i="5"/>
  <c r="AK146" i="5"/>
  <c r="AK93" i="5"/>
  <c r="AL93" i="5"/>
  <c r="H57" i="1"/>
  <c r="B146" i="2"/>
  <c r="H61" i="1" s="1"/>
  <c r="B143" i="2"/>
  <c r="H59" i="1" s="1"/>
  <c r="AS31" i="5"/>
  <c r="BC31" i="5" s="1"/>
  <c r="AS466" i="5"/>
  <c r="BC466" i="5" s="1"/>
  <c r="AS417" i="5"/>
  <c r="AS422" i="5"/>
  <c r="BC422" i="5" s="1"/>
  <c r="AS497" i="5"/>
  <c r="AS449" i="5"/>
  <c r="AS405" i="5"/>
  <c r="AS492" i="5"/>
  <c r="AS264" i="5"/>
  <c r="AS26" i="5"/>
  <c r="BC26" i="5" s="1"/>
  <c r="AS12" i="5"/>
  <c r="AS287" i="5"/>
  <c r="BC287" i="5" s="1"/>
  <c r="BE287" i="5" s="1"/>
  <c r="AS339" i="5"/>
  <c r="BC339" i="5" s="1"/>
  <c r="AS446" i="5"/>
  <c r="BC446" i="5" s="1"/>
  <c r="AS91" i="5"/>
  <c r="BC91" i="5" s="1"/>
  <c r="AS161" i="5"/>
  <c r="BC161" i="5" s="1"/>
  <c r="AS484" i="5"/>
  <c r="AS310" i="5"/>
  <c r="BC310" i="5" s="1"/>
  <c r="AS50" i="5"/>
  <c r="AS435" i="5"/>
  <c r="BC435" i="5" s="1"/>
  <c r="AS210" i="5"/>
  <c r="BC210" i="5" s="1"/>
  <c r="BE210" i="5" s="1"/>
  <c r="AS71" i="5"/>
  <c r="BC71" i="5" s="1"/>
  <c r="BE71" i="5" s="1"/>
  <c r="AS177" i="5"/>
  <c r="AS540" i="5"/>
  <c r="BC540" i="5" s="1"/>
  <c r="AS511" i="5"/>
  <c r="BC511" i="5" s="1"/>
  <c r="AS444" i="5"/>
  <c r="BC444" i="5" s="1"/>
  <c r="AS548" i="5"/>
  <c r="AS319" i="5"/>
  <c r="BC319" i="5" s="1"/>
  <c r="AS455" i="5"/>
  <c r="AS128" i="5"/>
  <c r="AS528" i="5"/>
  <c r="AS434" i="5"/>
  <c r="BC434" i="5" s="1"/>
  <c r="AS205" i="5"/>
  <c r="AS538" i="5"/>
  <c r="BC538" i="5" s="1"/>
  <c r="AS452" i="5"/>
  <c r="AS265" i="5"/>
  <c r="BC265" i="5" s="1"/>
  <c r="AS64" i="5"/>
  <c r="BC64" i="5" s="1"/>
  <c r="BE64" i="5" s="1"/>
  <c r="AS114" i="5"/>
  <c r="BC114" i="5" s="1"/>
  <c r="BD114" i="5" s="1"/>
  <c r="AS11" i="5"/>
  <c r="AS514" i="5"/>
  <c r="BC514" i="5" s="1"/>
  <c r="AS382" i="5"/>
  <c r="AS373" i="5"/>
  <c r="BC373" i="5" s="1"/>
  <c r="AS500" i="5"/>
  <c r="AS258" i="5"/>
  <c r="BC258" i="5" s="1"/>
  <c r="AS426" i="5"/>
  <c r="AS54" i="5"/>
  <c r="BC54" i="5" s="1"/>
  <c r="AS429" i="5"/>
  <c r="AS439" i="5"/>
  <c r="BC439" i="5" s="1"/>
  <c r="AS208" i="5"/>
  <c r="BC208" i="5" s="1"/>
  <c r="AS240" i="5"/>
  <c r="BC240" i="5" s="1"/>
  <c r="AS550" i="5"/>
  <c r="AS506" i="5"/>
  <c r="BC506" i="5" s="1"/>
  <c r="AS496" i="5"/>
  <c r="AS350" i="5"/>
  <c r="AS159" i="5"/>
  <c r="BC159" i="5" s="1"/>
  <c r="AS33" i="5"/>
  <c r="BC33" i="5" s="1"/>
  <c r="AS164" i="5"/>
  <c r="BC164" i="5" s="1"/>
  <c r="BE164" i="5" s="1"/>
  <c r="AS292" i="5"/>
  <c r="BC292" i="5" s="1"/>
  <c r="AS252" i="5"/>
  <c r="AS418" i="5"/>
  <c r="BC418" i="5" s="1"/>
  <c r="AS43" i="5"/>
  <c r="BC43" i="5" s="1"/>
  <c r="BD43" i="5" s="1"/>
  <c r="AS120" i="5"/>
  <c r="AS219" i="5"/>
  <c r="BC219" i="5" s="1"/>
  <c r="BD219" i="5" s="1"/>
  <c r="AS290" i="5"/>
  <c r="BC290" i="5" s="1"/>
  <c r="AS315" i="5"/>
  <c r="BC315" i="5" s="1"/>
  <c r="BE315" i="5" s="1"/>
  <c r="AS442" i="5"/>
  <c r="BC442" i="5" s="1"/>
  <c r="AS156" i="5"/>
  <c r="BC156" i="5" s="1"/>
  <c r="AS21" i="5"/>
  <c r="AS154" i="5"/>
  <c r="BC154" i="5" s="1"/>
  <c r="AS505" i="5"/>
  <c r="BC505" i="5" s="1"/>
  <c r="AS197" i="5"/>
  <c r="BC197" i="5" s="1"/>
  <c r="AS524" i="5"/>
  <c r="AS390" i="5"/>
  <c r="BC390" i="5" s="1"/>
  <c r="AS359" i="5"/>
  <c r="BC359" i="5" s="1"/>
  <c r="AS101" i="5"/>
  <c r="BC101" i="5" s="1"/>
  <c r="AS200" i="5"/>
  <c r="AS199" i="5"/>
  <c r="BC199" i="5" s="1"/>
  <c r="AS146" i="5"/>
  <c r="BC146" i="5" s="1"/>
  <c r="AS212" i="5"/>
  <c r="BC212" i="5" s="1"/>
  <c r="AS55" i="5"/>
  <c r="BC55" i="5" s="1"/>
  <c r="BD55" i="5" s="1"/>
  <c r="AS460" i="5"/>
  <c r="AS109" i="5"/>
  <c r="BC109" i="5" s="1"/>
  <c r="AS365" i="5"/>
  <c r="AS28" i="5"/>
  <c r="BC28" i="5" s="1"/>
  <c r="AS179" i="5"/>
  <c r="BC179" i="5" s="1"/>
  <c r="AS467" i="5"/>
  <c r="BC467" i="5" s="1"/>
  <c r="AS180" i="5"/>
  <c r="BC180" i="5" s="1"/>
  <c r="BE180" i="5" s="1"/>
  <c r="AS398" i="5"/>
  <c r="BC398" i="5" s="1"/>
  <c r="AS207" i="5"/>
  <c r="AS428" i="5"/>
  <c r="BC428" i="5" s="1"/>
  <c r="AS488" i="5"/>
  <c r="AS306" i="5"/>
  <c r="BC306" i="5" s="1"/>
  <c r="BD306" i="5" s="1"/>
  <c r="AS98" i="5"/>
  <c r="BC98" i="5" s="1"/>
  <c r="BE98" i="5" s="1"/>
  <c r="AS512" i="5"/>
  <c r="BC512" i="5" s="1"/>
  <c r="AS304" i="5"/>
  <c r="AS46" i="5"/>
  <c r="AS202" i="5"/>
  <c r="BC202" i="5" s="1"/>
  <c r="AS337" i="5"/>
  <c r="BC337" i="5" s="1"/>
  <c r="BD337" i="5" s="1"/>
  <c r="AS228" i="5"/>
  <c r="AS552" i="5"/>
  <c r="BC552" i="5" s="1"/>
  <c r="AS157" i="5"/>
  <c r="BC157" i="5" s="1"/>
  <c r="AS355" i="5"/>
  <c r="AS508" i="5"/>
  <c r="AS515" i="5"/>
  <c r="BC515" i="5" s="1"/>
  <c r="AS215" i="5"/>
  <c r="AS29" i="5"/>
  <c r="BC29" i="5" s="1"/>
  <c r="AS454" i="5"/>
  <c r="AS402" i="5"/>
  <c r="BC402" i="5" s="1"/>
  <c r="AS222" i="5"/>
  <c r="BC222" i="5" s="1"/>
  <c r="BE222" i="5" s="1"/>
  <c r="AS84" i="5"/>
  <c r="BC84" i="5" s="1"/>
  <c r="BE84" i="5" s="1"/>
  <c r="AS225" i="5"/>
  <c r="BC225" i="5" s="1"/>
  <c r="AS302" i="5"/>
  <c r="BC302" i="5" s="1"/>
  <c r="AS380" i="5"/>
  <c r="AS86" i="5"/>
  <c r="AS230" i="5"/>
  <c r="AS358" i="5"/>
  <c r="BC358" i="5" s="1"/>
  <c r="AS371" i="5"/>
  <c r="AS149" i="5"/>
  <c r="BC149" i="5" s="1"/>
  <c r="AS192" i="5"/>
  <c r="AS85" i="5"/>
  <c r="BC85" i="5" s="1"/>
  <c r="AS22" i="5"/>
  <c r="BC22" i="5" s="1"/>
  <c r="BD22" i="5" s="1"/>
  <c r="AS234" i="5"/>
  <c r="BC234" i="5" s="1"/>
  <c r="BD234" i="5" s="1"/>
  <c r="AS254" i="5"/>
  <c r="AS403" i="5"/>
  <c r="BC403" i="5" s="1"/>
  <c r="AS106" i="5"/>
  <c r="AS178" i="5"/>
  <c r="BC178" i="5" s="1"/>
  <c r="AS259" i="5"/>
  <c r="AS368" i="5"/>
  <c r="BC368" i="5" s="1"/>
  <c r="AS384" i="5"/>
  <c r="AS143" i="5"/>
  <c r="BC143" i="5" s="1"/>
  <c r="AS66" i="5"/>
  <c r="AS122" i="5"/>
  <c r="BC122" i="5" s="1"/>
  <c r="BD122" i="5" s="1"/>
  <c r="AS99" i="5"/>
  <c r="BC99" i="5" s="1"/>
  <c r="AS36" i="5"/>
  <c r="BC36" i="5" s="1"/>
  <c r="AS267" i="5"/>
  <c r="AS283" i="5"/>
  <c r="BC283" i="5" s="1"/>
  <c r="BD283" i="5" s="1"/>
  <c r="AS425" i="5"/>
  <c r="AS148" i="5"/>
  <c r="BC148" i="5" s="1"/>
  <c r="AS195" i="5"/>
  <c r="BC195" i="5" s="1"/>
  <c r="BD195" i="5" s="1"/>
  <c r="AS271" i="5"/>
  <c r="BC271" i="5" s="1"/>
  <c r="AS386" i="5"/>
  <c r="AS399" i="5"/>
  <c r="AS115" i="5"/>
  <c r="BC115" i="5" s="1"/>
  <c r="BE115" i="5" s="1"/>
  <c r="AS47" i="5"/>
  <c r="BC47" i="5" s="1"/>
  <c r="AS184" i="5"/>
  <c r="BC184" i="5" s="1"/>
  <c r="AS100" i="5"/>
  <c r="BC100" i="5" s="1"/>
  <c r="BE100" i="5" s="1"/>
  <c r="AS45" i="5"/>
  <c r="BC45" i="5" s="1"/>
  <c r="BD45" i="5" s="1"/>
  <c r="AS303" i="5"/>
  <c r="AS409" i="5"/>
  <c r="AS336" i="5"/>
  <c r="BC336" i="5" s="1"/>
  <c r="AS96" i="5"/>
  <c r="AS216" i="5"/>
  <c r="BC216" i="5" s="1"/>
  <c r="AS327" i="5"/>
  <c r="AS324" i="5"/>
  <c r="BC324" i="5" s="1"/>
  <c r="AS357" i="5"/>
  <c r="AS182" i="5"/>
  <c r="BC182" i="5" s="1"/>
  <c r="AS78" i="5"/>
  <c r="BC78" i="5" s="1"/>
  <c r="BE78" i="5" s="1"/>
  <c r="AS172" i="5"/>
  <c r="BC172" i="5" s="1"/>
  <c r="AS142" i="5"/>
  <c r="AS37" i="5"/>
  <c r="BC37" i="5" s="1"/>
  <c r="AS522" i="5"/>
  <c r="AS366" i="5"/>
  <c r="AS165" i="5"/>
  <c r="AS322" i="5"/>
  <c r="AS110" i="5"/>
  <c r="BC110" i="5" s="1"/>
  <c r="AS464" i="5"/>
  <c r="AS51" i="5"/>
  <c r="BC51" i="5" s="1"/>
  <c r="BD51" i="5" s="1"/>
  <c r="AS471" i="5"/>
  <c r="AS438" i="5"/>
  <c r="BC438" i="5" s="1"/>
  <c r="AS556" i="5"/>
  <c r="BC556" i="5" s="1"/>
  <c r="AS479" i="5"/>
  <c r="AS489" i="5"/>
  <c r="BC489" i="5" s="1"/>
  <c r="AS389" i="5"/>
  <c r="AS558" i="5"/>
  <c r="BC558" i="5" s="1"/>
  <c r="AS342" i="5"/>
  <c r="AS56" i="5"/>
  <c r="BC56" i="5" s="1"/>
  <c r="AS13" i="5"/>
  <c r="AS256" i="5"/>
  <c r="AS547" i="5"/>
  <c r="AS223" i="5"/>
  <c r="BC223" i="5" s="1"/>
  <c r="BE223" i="5" s="1"/>
  <c r="AS81" i="5"/>
  <c r="BC81" i="5" s="1"/>
  <c r="AS313" i="5"/>
  <c r="BC313" i="5" s="1"/>
  <c r="AS473" i="5"/>
  <c r="AS340" i="5"/>
  <c r="BC340" i="5" s="1"/>
  <c r="AS27" i="5"/>
  <c r="AS516" i="5"/>
  <c r="BC516" i="5" s="1"/>
  <c r="AS139" i="5"/>
  <c r="BC139" i="5" s="1"/>
  <c r="AS93" i="5"/>
  <c r="BC93" i="5" s="1"/>
  <c r="AS430" i="5"/>
  <c r="AS494" i="5"/>
  <c r="BC494" i="5" s="1"/>
  <c r="AS551" i="5"/>
  <c r="AS485" i="5"/>
  <c r="BC485" i="5" s="1"/>
  <c r="AS23" i="5"/>
  <c r="BC23" i="5" s="1"/>
  <c r="BE23" i="5" s="1"/>
  <c r="AS227" i="5"/>
  <c r="BC227" i="5" s="1"/>
  <c r="AS519" i="5"/>
  <c r="AS397" i="5"/>
  <c r="BC397" i="5" s="1"/>
  <c r="AS299" i="5"/>
  <c r="BC299" i="5" s="1"/>
  <c r="BD299" i="5" s="1"/>
  <c r="AS443" i="5"/>
  <c r="BC443" i="5" s="1"/>
  <c r="AS498" i="5"/>
  <c r="AS407" i="5"/>
  <c r="BC407" i="5" s="1"/>
  <c r="AS111" i="5"/>
  <c r="BC111" i="5" s="1"/>
  <c r="AS116" i="5"/>
  <c r="BC116" i="5" s="1"/>
  <c r="AS231" i="5"/>
  <c r="AS367" i="5"/>
  <c r="BC367" i="5" s="1"/>
  <c r="AS388" i="5"/>
  <c r="BC388" i="5" s="1"/>
  <c r="AS123" i="5"/>
  <c r="AS282" i="5"/>
  <c r="AS354" i="5"/>
  <c r="BC354" i="5" s="1"/>
  <c r="AS348" i="5"/>
  <c r="AS57" i="5"/>
  <c r="AS152" i="5"/>
  <c r="BC152" i="5" s="1"/>
  <c r="AS97" i="5"/>
  <c r="BC97" i="5" s="1"/>
  <c r="BE97" i="5" s="1"/>
  <c r="AS201" i="5"/>
  <c r="BC201" i="5" s="1"/>
  <c r="AS321" i="5"/>
  <c r="BC321" i="5" s="1"/>
  <c r="AS361" i="5"/>
  <c r="AS472" i="5"/>
  <c r="BC472" i="5" s="1"/>
  <c r="AS140" i="5"/>
  <c r="BC140" i="5" s="1"/>
  <c r="AS238" i="5"/>
  <c r="BC238" i="5" s="1"/>
  <c r="AS198" i="5"/>
  <c r="BC198" i="5" s="1"/>
  <c r="BD198" i="5" s="1"/>
  <c r="AS193" i="5"/>
  <c r="BC193" i="5" s="1"/>
  <c r="AS394" i="5"/>
  <c r="AS131" i="5"/>
  <c r="BC131" i="5" s="1"/>
  <c r="AS25" i="5"/>
  <c r="AS141" i="5"/>
  <c r="BC141" i="5" s="1"/>
  <c r="BD141" i="5" s="1"/>
  <c r="AS48" i="5"/>
  <c r="BC48" i="5" s="1"/>
  <c r="BD48" i="5" s="1"/>
  <c r="AS266" i="5"/>
  <c r="BC266" i="5" s="1"/>
  <c r="AS331" i="5"/>
  <c r="AS383" i="5"/>
  <c r="BC383" i="5" s="1"/>
  <c r="AS490" i="5"/>
  <c r="AS155" i="5"/>
  <c r="BC155" i="5" s="1"/>
  <c r="AS194" i="5"/>
  <c r="BC194" i="5" s="1"/>
  <c r="AS247" i="5"/>
  <c r="BC247" i="5" s="1"/>
  <c r="AS257" i="5"/>
  <c r="AS406" i="5"/>
  <c r="AS117" i="5"/>
  <c r="BC117" i="5" s="1"/>
  <c r="AS40" i="5"/>
  <c r="BC40" i="5" s="1"/>
  <c r="AS121" i="5"/>
  <c r="BC121" i="5" s="1"/>
  <c r="AS75" i="5"/>
  <c r="BC75" i="5" s="1"/>
  <c r="BD75" i="5" s="1"/>
  <c r="AS214" i="5"/>
  <c r="AS284" i="5"/>
  <c r="BC284" i="5" s="1"/>
  <c r="AS312" i="5"/>
  <c r="BC312" i="5" s="1"/>
  <c r="AS436" i="5"/>
  <c r="BC436" i="5" s="1"/>
  <c r="AS102" i="5"/>
  <c r="AS217" i="5"/>
  <c r="AS291" i="5"/>
  <c r="AS396" i="5"/>
  <c r="BC396" i="5" s="1"/>
  <c r="AS416" i="5"/>
  <c r="AS88" i="5"/>
  <c r="BC88" i="5" s="1"/>
  <c r="AS65" i="5"/>
  <c r="AS169" i="5"/>
  <c r="BC169" i="5" s="1"/>
  <c r="AS83" i="5"/>
  <c r="BC83" i="5" s="1"/>
  <c r="BD83" i="5" s="1"/>
  <c r="AS445" i="5"/>
  <c r="BC445" i="5" s="1"/>
  <c r="AS504" i="5"/>
  <c r="BC504" i="5" s="1"/>
  <c r="AS493" i="5"/>
  <c r="BC493" i="5" s="1"/>
  <c r="AS135" i="5"/>
  <c r="AS235" i="5"/>
  <c r="BC235" i="5" s="1"/>
  <c r="AS468" i="5"/>
  <c r="AS241" i="5"/>
  <c r="BC241" i="5" s="1"/>
  <c r="AS333" i="5"/>
  <c r="AS539" i="5"/>
  <c r="BC539" i="5" s="1"/>
  <c r="AS408" i="5"/>
  <c r="AS502" i="5"/>
  <c r="BC502" i="5" s="1"/>
  <c r="AS459" i="5"/>
  <c r="AS431" i="5"/>
  <c r="BC431" i="5" s="1"/>
  <c r="AS173" i="5"/>
  <c r="BC173" i="5" s="1"/>
  <c r="AS534" i="5"/>
  <c r="BC534" i="5" s="1"/>
  <c r="AS250" i="5"/>
  <c r="AS535" i="5"/>
  <c r="BC535" i="5" s="1"/>
  <c r="AS463" i="5"/>
  <c r="AS82" i="5"/>
  <c r="BC82" i="5" s="1"/>
  <c r="BD82" i="5" s="1"/>
  <c r="AS423" i="5"/>
  <c r="AS63" i="5"/>
  <c r="BC63" i="5" s="1"/>
  <c r="AS253" i="5"/>
  <c r="AS456" i="5"/>
  <c r="BC456" i="5" s="1"/>
  <c r="AS183" i="5"/>
  <c r="BC183" i="5" s="1"/>
  <c r="AS118" i="5"/>
  <c r="BC118" i="5" s="1"/>
  <c r="AS138" i="5"/>
  <c r="BC138" i="5" s="1"/>
  <c r="AS308" i="5"/>
  <c r="BC308" i="5" s="1"/>
  <c r="AS334" i="5"/>
  <c r="AS181" i="5"/>
  <c r="BC181" i="5" s="1"/>
  <c r="AS305" i="5"/>
  <c r="BC305" i="5" s="1"/>
  <c r="BE305" i="5" s="1"/>
  <c r="AS458" i="5"/>
  <c r="BC458" i="5" s="1"/>
  <c r="AS211" i="5"/>
  <c r="BC211" i="5" s="1"/>
  <c r="AS53" i="5"/>
  <c r="BC53" i="5" s="1"/>
  <c r="BD53" i="5" s="1"/>
  <c r="AS301" i="5"/>
  <c r="AS60" i="5"/>
  <c r="BC60" i="5" s="1"/>
  <c r="AS246" i="5"/>
  <c r="AS369" i="5"/>
  <c r="BC369" i="5" s="1"/>
  <c r="BE369" i="5" s="1"/>
  <c r="AS104" i="5"/>
  <c r="BC104" i="5" s="1"/>
  <c r="AS133" i="5"/>
  <c r="BC133" i="5" s="1"/>
  <c r="BD133" i="5" s="1"/>
  <c r="AS279" i="5"/>
  <c r="BC279" i="5" s="1"/>
  <c r="AS404" i="5"/>
  <c r="BC404" i="5" s="1"/>
  <c r="AS127" i="5"/>
  <c r="BC127" i="5" s="1"/>
  <c r="BD127" i="5" s="1"/>
  <c r="AS268" i="5"/>
  <c r="BC268" i="5" s="1"/>
  <c r="AS433" i="5"/>
  <c r="AS42" i="5"/>
  <c r="BC42" i="5" s="1"/>
  <c r="AS35" i="5"/>
  <c r="BC35" i="5" s="1"/>
  <c r="BE35" i="5" s="1"/>
  <c r="AS320" i="5"/>
  <c r="BC320" i="5" s="1"/>
  <c r="AS410" i="5"/>
  <c r="AS124" i="5"/>
  <c r="BC124" i="5" s="1"/>
  <c r="AS326" i="5"/>
  <c r="BC326" i="5" s="1"/>
  <c r="AS39" i="5"/>
  <c r="BC39" i="5" s="1"/>
  <c r="AS103" i="5"/>
  <c r="AS391" i="5"/>
  <c r="BC391" i="5" s="1"/>
  <c r="AS220" i="5"/>
  <c r="AS518" i="5"/>
  <c r="AS343" i="5"/>
  <c r="AS381" i="5"/>
  <c r="AS105" i="5"/>
  <c r="BC105" i="5" s="1"/>
  <c r="AS134" i="5"/>
  <c r="BC134" i="5" s="1"/>
  <c r="AS349" i="5"/>
  <c r="AS125" i="5"/>
  <c r="BC125" i="5" s="1"/>
  <c r="AS196" i="5"/>
  <c r="BC196" i="5" s="1"/>
  <c r="AS176" i="5"/>
  <c r="BC176" i="5" s="1"/>
  <c r="AS542" i="5"/>
  <c r="AS170" i="5"/>
  <c r="BC170" i="5" s="1"/>
  <c r="AS483" i="5"/>
  <c r="AS332" i="5"/>
  <c r="BC332" i="5" s="1"/>
  <c r="AS187" i="5"/>
  <c r="AS224" i="5"/>
  <c r="BC224" i="5" s="1"/>
  <c r="AS448" i="5"/>
  <c r="AS24" i="5"/>
  <c r="BC24" i="5" s="1"/>
  <c r="AS364" i="5"/>
  <c r="AS527" i="5"/>
  <c r="BC527" i="5" s="1"/>
  <c r="AS520" i="5"/>
  <c r="BC520" i="5" s="1"/>
  <c r="AS32" i="5"/>
  <c r="BC32" i="5" s="1"/>
  <c r="AS531" i="5"/>
  <c r="AS513" i="5"/>
  <c r="BC513" i="5" s="1"/>
  <c r="AS377" i="5"/>
  <c r="AS507" i="5"/>
  <c r="BC507" i="5" s="1"/>
  <c r="AS144" i="5"/>
  <c r="BC144" i="5" s="1"/>
  <c r="BD144" i="5" s="1"/>
  <c r="AS263" i="5"/>
  <c r="BC263" i="5" s="1"/>
  <c r="BE263" i="5" s="1"/>
  <c r="AS34" i="5"/>
  <c r="AS323" i="5"/>
  <c r="BC323" i="5" s="1"/>
  <c r="AS38" i="5"/>
  <c r="BC38" i="5" s="1"/>
  <c r="BD38" i="5" s="1"/>
  <c r="AS307" i="5"/>
  <c r="BC307" i="5" s="1"/>
  <c r="AS163" i="5"/>
  <c r="BC163" i="5" s="1"/>
  <c r="BD163" i="5" s="1"/>
  <c r="AS112" i="5"/>
  <c r="BC112" i="5" s="1"/>
  <c r="BE112" i="5" s="1"/>
  <c r="AS269" i="5"/>
  <c r="BC269" i="5" s="1"/>
  <c r="BE269" i="5" s="1"/>
  <c r="AS395" i="5"/>
  <c r="BC395" i="5" s="1"/>
  <c r="AS204" i="5"/>
  <c r="AS255" i="5"/>
  <c r="BC255" i="5" s="1"/>
  <c r="AS162" i="5"/>
  <c r="AS168" i="5"/>
  <c r="BC168" i="5" s="1"/>
  <c r="BD168" i="5" s="1"/>
  <c r="AS62" i="5"/>
  <c r="AS393" i="5"/>
  <c r="BC393" i="5" s="1"/>
  <c r="BD393" i="5" s="1"/>
  <c r="AS79" i="5"/>
  <c r="AS311" i="5"/>
  <c r="BC311" i="5" s="1"/>
  <c r="AS335" i="5"/>
  <c r="BC335" i="5" s="1"/>
  <c r="AS74" i="5"/>
  <c r="BC74" i="5" s="1"/>
  <c r="AS160" i="5"/>
  <c r="BC160" i="5" s="1"/>
  <c r="AS171" i="5"/>
  <c r="BC171" i="5" s="1"/>
  <c r="AS370" i="5"/>
  <c r="AS175" i="5"/>
  <c r="BC175" i="5" s="1"/>
  <c r="BE175" i="5" s="1"/>
  <c r="AS341" i="5"/>
  <c r="AS174" i="5"/>
  <c r="BC174" i="5" s="1"/>
  <c r="AS158" i="5"/>
  <c r="BC158" i="5" s="1"/>
  <c r="BE158" i="5" s="1"/>
  <c r="AS58" i="5"/>
  <c r="BC58" i="5" s="1"/>
  <c r="AS206" i="5"/>
  <c r="BC206" i="5" s="1"/>
  <c r="AS486" i="5"/>
  <c r="BC486" i="5" s="1"/>
  <c r="AS376" i="5"/>
  <c r="BC376" i="5" s="1"/>
  <c r="AS378" i="5"/>
  <c r="AS530" i="5"/>
  <c r="AS153" i="5"/>
  <c r="BC153" i="5" s="1"/>
  <c r="AS526" i="5"/>
  <c r="AS328" i="5"/>
  <c r="BC328" i="5" s="1"/>
  <c r="AS461" i="5"/>
  <c r="AS20" i="5"/>
  <c r="BC20" i="5" s="1"/>
  <c r="AS451" i="5"/>
  <c r="AS145" i="5"/>
  <c r="BC145" i="5" s="1"/>
  <c r="AS441" i="5"/>
  <c r="AS69" i="5"/>
  <c r="BC69" i="5" s="1"/>
  <c r="AS274" i="5"/>
  <c r="BC274" i="5" s="1"/>
  <c r="AS237" i="5"/>
  <c r="BC237" i="5" s="1"/>
  <c r="BD237" i="5" s="1"/>
  <c r="AS147" i="5"/>
  <c r="BC147" i="5" s="1"/>
  <c r="AS346" i="5"/>
  <c r="BC346" i="5" s="1"/>
  <c r="AS475" i="5"/>
  <c r="AS30" i="5"/>
  <c r="BC30" i="5" s="1"/>
  <c r="AS203" i="5"/>
  <c r="AS107" i="5"/>
  <c r="AS457" i="5"/>
  <c r="AS419" i="5"/>
  <c r="BC419" i="5" s="1"/>
  <c r="AS517" i="5"/>
  <c r="AS420" i="5"/>
  <c r="BC420" i="5" s="1"/>
  <c r="AS248" i="5"/>
  <c r="BC248" i="5" s="1"/>
  <c r="AS544" i="5"/>
  <c r="BC544" i="5" s="1"/>
  <c r="AS213" i="5"/>
  <c r="BC213" i="5" s="1"/>
  <c r="AS330" i="5"/>
  <c r="BC330" i="5" s="1"/>
  <c r="AS374" i="5"/>
  <c r="AS229" i="5"/>
  <c r="BC229" i="5" s="1"/>
  <c r="AS411" i="5"/>
  <c r="BC411" i="5" s="1"/>
  <c r="AS72" i="5"/>
  <c r="BC72" i="5" s="1"/>
  <c r="AS297" i="5"/>
  <c r="AS61" i="5"/>
  <c r="BC61" i="5" s="1"/>
  <c r="BD61" i="5" s="1"/>
  <c r="AS413" i="5"/>
  <c r="AS277" i="5"/>
  <c r="BC277" i="5" s="1"/>
  <c r="AS44" i="5"/>
  <c r="BC44" i="5" s="1"/>
  <c r="BD44" i="5" s="1"/>
  <c r="AS270" i="5"/>
  <c r="BC270" i="5" s="1"/>
  <c r="AS95" i="5"/>
  <c r="AS482" i="5"/>
  <c r="BC482" i="5" s="1"/>
  <c r="AS529" i="5"/>
  <c r="AS151" i="5"/>
  <c r="BC151" i="5" s="1"/>
  <c r="AS67" i="5"/>
  <c r="AS167" i="5"/>
  <c r="BC167" i="5" s="1"/>
  <c r="AS375" i="5"/>
  <c r="AS314" i="5"/>
  <c r="BC314" i="5" s="1"/>
  <c r="AS300" i="5"/>
  <c r="AS166" i="5"/>
  <c r="BC166" i="5" s="1"/>
  <c r="BE166" i="5" s="1"/>
  <c r="AS76" i="5"/>
  <c r="BC76" i="5" s="1"/>
  <c r="AS41" i="5"/>
  <c r="BC41" i="5" s="1"/>
  <c r="BD41" i="5" s="1"/>
  <c r="AS347" i="5"/>
  <c r="AS325" i="5"/>
  <c r="BC325" i="5" s="1"/>
  <c r="AS137" i="5"/>
  <c r="BC137" i="5" s="1"/>
  <c r="AS189" i="5"/>
  <c r="BC189" i="5" s="1"/>
  <c r="AS352" i="5"/>
  <c r="AS295" i="5"/>
  <c r="BC295" i="5" s="1"/>
  <c r="AS244" i="5"/>
  <c r="AS474" i="5"/>
  <c r="BC474" i="5" s="1"/>
  <c r="AS119" i="5"/>
  <c r="BC119" i="5" s="1"/>
  <c r="BD119" i="5" s="1"/>
  <c r="AS338" i="5"/>
  <c r="BC338" i="5" s="1"/>
  <c r="BD338" i="5" s="1"/>
  <c r="AS239" i="5"/>
  <c r="BC239" i="5" s="1"/>
  <c r="AS89" i="5"/>
  <c r="BC89" i="5" s="1"/>
  <c r="AS260" i="5"/>
  <c r="AS278" i="5"/>
  <c r="BC278" i="5" s="1"/>
  <c r="BD278" i="5" s="1"/>
  <c r="AS232" i="5"/>
  <c r="BC232" i="5" s="1"/>
  <c r="AS52" i="5"/>
  <c r="BC52" i="5" s="1"/>
  <c r="AS77" i="5"/>
  <c r="AS249" i="5"/>
  <c r="BC249" i="5" s="1"/>
  <c r="AS288" i="5"/>
  <c r="BC288" i="5" s="1"/>
  <c r="AS186" i="5"/>
  <c r="BC186" i="5" s="1"/>
  <c r="AS130" i="5"/>
  <c r="BC130" i="5" s="1"/>
  <c r="BE130" i="5" s="1"/>
  <c r="AS49" i="5"/>
  <c r="BC49" i="5" s="1"/>
  <c r="AS385" i="5"/>
  <c r="BC385" i="5" s="1"/>
  <c r="AS480" i="5"/>
  <c r="BC480" i="5" s="1"/>
  <c r="AS316" i="5"/>
  <c r="BC316" i="5" s="1"/>
  <c r="BD316" i="5" s="1"/>
  <c r="AS87" i="5"/>
  <c r="BC87" i="5" s="1"/>
  <c r="AS465" i="5"/>
  <c r="BC465" i="5" s="1"/>
  <c r="AS363" i="5"/>
  <c r="BC363" i="5" s="1"/>
  <c r="AS424" i="5"/>
  <c r="BC424" i="5" s="1"/>
  <c r="AS281" i="5"/>
  <c r="BC281" i="5" s="1"/>
  <c r="AS537" i="5"/>
  <c r="AS275" i="5"/>
  <c r="BC275" i="5" s="1"/>
  <c r="AS372" i="5"/>
  <c r="AS129" i="5"/>
  <c r="BC129" i="5" s="1"/>
  <c r="AS427" i="5"/>
  <c r="BC427" i="5" s="1"/>
  <c r="AS108" i="5"/>
  <c r="BC108" i="5" s="1"/>
  <c r="AS421" i="5"/>
  <c r="AS543" i="5"/>
  <c r="BC543" i="5" s="1"/>
  <c r="BE543" i="5" s="1"/>
  <c r="AS7" i="5"/>
  <c r="BC7" i="5" s="1"/>
  <c r="BD7" i="5" s="1"/>
  <c r="AS555" i="5"/>
  <c r="BC555" i="5" s="1"/>
  <c r="BE555" i="5" s="1"/>
  <c r="AS509" i="5"/>
  <c r="AS491" i="5"/>
  <c r="BC491" i="5" s="1"/>
  <c r="AS440" i="5"/>
  <c r="AS94" i="5"/>
  <c r="BC94" i="5" s="1"/>
  <c r="BD94" i="5" s="1"/>
  <c r="AS437" i="5"/>
  <c r="BC437" i="5" s="1"/>
  <c r="AS285" i="5"/>
  <c r="BC285" i="5" s="1"/>
  <c r="AS545" i="5"/>
  <c r="BC545" i="5" s="1"/>
  <c r="AS549" i="5"/>
  <c r="BC549" i="5" s="1"/>
  <c r="BE549" i="5" s="1"/>
  <c r="AS136" i="5"/>
  <c r="BC136" i="5" s="1"/>
  <c r="AS296" i="5"/>
  <c r="BC296" i="5" s="1"/>
  <c r="BD296" i="5" s="1"/>
  <c r="AS262" i="5"/>
  <c r="BC262" i="5" s="1"/>
  <c r="BE262" i="5" s="1"/>
  <c r="AS245" i="5"/>
  <c r="BC245" i="5" s="1"/>
  <c r="BD245" i="5" s="1"/>
  <c r="AS289" i="5"/>
  <c r="BC289" i="5" s="1"/>
  <c r="AS280" i="5"/>
  <c r="AS59" i="5"/>
  <c r="BC59" i="5" s="1"/>
  <c r="BE59" i="5" s="1"/>
  <c r="AS190" i="5"/>
  <c r="BC190" i="5" s="1"/>
  <c r="AS559" i="5"/>
  <c r="BC559" i="5" s="1"/>
  <c r="AS226" i="5"/>
  <c r="BC226" i="5" s="1"/>
  <c r="AS309" i="5"/>
  <c r="BC309" i="5" s="1"/>
  <c r="AS185" i="5"/>
  <c r="BC185" i="5" s="1"/>
  <c r="AS379" i="5"/>
  <c r="AS242" i="5"/>
  <c r="BC242" i="5" s="1"/>
  <c r="AS553" i="5"/>
  <c r="BC553" i="5" s="1"/>
  <c r="AS362" i="5"/>
  <c r="BC362" i="5" s="1"/>
  <c r="AS150" i="5"/>
  <c r="BC150" i="5" s="1"/>
  <c r="AS525" i="5"/>
  <c r="BC525" i="5" s="1"/>
  <c r="AS345" i="5"/>
  <c r="AS92" i="5"/>
  <c r="BC92" i="5" s="1"/>
  <c r="AS298" i="5"/>
  <c r="BC298" i="5" s="1"/>
  <c r="AS191" i="5"/>
  <c r="BC191" i="5" s="1"/>
  <c r="BE191" i="5" s="1"/>
  <c r="AS462" i="5"/>
  <c r="BC462" i="5" s="1"/>
  <c r="BD462" i="5" s="1"/>
  <c r="AS432" i="5"/>
  <c r="BC432" i="5" s="1"/>
  <c r="AS412" i="5"/>
  <c r="BC412" i="5" s="1"/>
  <c r="AS521" i="5"/>
  <c r="BC521" i="5" s="1"/>
  <c r="BD521" i="5" s="1"/>
  <c r="AS353" i="5"/>
  <c r="AS401" i="5"/>
  <c r="BC401" i="5" s="1"/>
  <c r="AS90" i="5"/>
  <c r="AS453" i="5"/>
  <c r="BC453" i="5" s="1"/>
  <c r="BD453" i="5" s="1"/>
  <c r="AS450" i="5"/>
  <c r="BC450" i="5" s="1"/>
  <c r="AS360" i="5"/>
  <c r="BC360" i="5" s="1"/>
  <c r="AS344" i="5"/>
  <c r="AS392" i="5"/>
  <c r="BC392" i="5" s="1"/>
  <c r="AS251" i="5"/>
  <c r="BC251" i="5" s="1"/>
  <c r="AS510" i="5"/>
  <c r="AS560" i="5"/>
  <c r="BC560" i="5" s="1"/>
  <c r="BE560" i="5" s="1"/>
  <c r="AS536" i="5"/>
  <c r="BC536" i="5" s="1"/>
  <c r="BD536" i="5" s="1"/>
  <c r="AS476" i="5"/>
  <c r="BC476" i="5" s="1"/>
  <c r="AS477" i="5"/>
  <c r="BC477" i="5" s="1"/>
  <c r="AS503" i="5"/>
  <c r="AS469" i="5"/>
  <c r="BC469" i="5" s="1"/>
  <c r="BD469" i="5" s="1"/>
  <c r="AS10" i="5"/>
  <c r="AS70" i="5"/>
  <c r="BC70" i="5" s="1"/>
  <c r="BD70" i="5" s="1"/>
  <c r="AS209" i="5"/>
  <c r="BC209" i="5" s="1"/>
  <c r="AS400" i="5"/>
  <c r="BC400" i="5" s="1"/>
  <c r="AS233" i="5"/>
  <c r="BC233" i="5" s="1"/>
  <c r="AS415" i="5"/>
  <c r="BC415" i="5" s="1"/>
  <c r="AS80" i="5"/>
  <c r="BC80" i="5" s="1"/>
  <c r="AS294" i="5"/>
  <c r="BC294" i="5" s="1"/>
  <c r="AS73" i="5"/>
  <c r="BC73" i="5" s="1"/>
  <c r="AS113" i="5"/>
  <c r="BC113" i="5" s="1"/>
  <c r="BD113" i="5" s="1"/>
  <c r="AS533" i="5"/>
  <c r="AS478" i="5"/>
  <c r="BC478" i="5" s="1"/>
  <c r="AS9" i="5"/>
  <c r="AS218" i="5"/>
  <c r="BC218" i="5" s="1"/>
  <c r="AS132" i="5"/>
  <c r="BC132" i="5" s="1"/>
  <c r="AS557" i="5"/>
  <c r="BC557" i="5" s="1"/>
  <c r="AS293" i="5"/>
  <c r="BC293" i="5" s="1"/>
  <c r="AS501" i="5"/>
  <c r="BC501" i="5" s="1"/>
  <c r="AS126" i="5"/>
  <c r="BC126" i="5" s="1"/>
  <c r="AS499" i="5"/>
  <c r="BC499" i="5" s="1"/>
  <c r="AS541" i="5"/>
  <c r="AS481" i="5"/>
  <c r="BC481" i="5" s="1"/>
  <c r="BD481" i="5" s="1"/>
  <c r="AS236" i="5"/>
  <c r="BC236" i="5" s="1"/>
  <c r="BD236" i="5" s="1"/>
  <c r="AS554" i="5"/>
  <c r="BC554" i="5" s="1"/>
  <c r="AS286" i="5"/>
  <c r="AS273" i="5"/>
  <c r="BC273" i="5" s="1"/>
  <c r="AS487" i="5"/>
  <c r="BC487" i="5" s="1"/>
  <c r="AS470" i="5"/>
  <c r="BC470" i="5" s="1"/>
  <c r="BE470" i="5" s="1"/>
  <c r="AS68" i="5"/>
  <c r="BC68" i="5" s="1"/>
  <c r="AS221" i="5"/>
  <c r="BC221" i="5" s="1"/>
  <c r="BE221" i="5" s="1"/>
  <c r="AS317" i="5"/>
  <c r="BC317" i="5" s="1"/>
  <c r="AS8" i="5"/>
  <c r="BC8" i="5" s="1"/>
  <c r="BD8" i="5" s="1"/>
  <c r="AS329" i="5"/>
  <c r="BC329" i="5" s="1"/>
  <c r="BE329" i="5" s="1"/>
  <c r="AS447" i="5"/>
  <c r="BC447" i="5" s="1"/>
  <c r="AS351" i="5"/>
  <c r="BC351" i="5" s="1"/>
  <c r="AS532" i="5"/>
  <c r="BC532" i="5" s="1"/>
  <c r="AS546" i="5"/>
  <c r="BC546" i="5" s="1"/>
  <c r="AS414" i="5"/>
  <c r="BC414" i="5" s="1"/>
  <c r="AS387" i="5"/>
  <c r="BC387" i="5" s="1"/>
  <c r="AS318" i="5"/>
  <c r="BC318" i="5" s="1"/>
  <c r="AS272" i="5"/>
  <c r="BC272" i="5" s="1"/>
  <c r="AS523" i="5"/>
  <c r="BC523" i="5" s="1"/>
  <c r="AS188" i="5"/>
  <c r="AS495" i="5"/>
  <c r="BC495" i="5" s="1"/>
  <c r="BE495" i="5" s="1"/>
  <c r="AS276" i="5"/>
  <c r="BC276" i="5" s="1"/>
  <c r="AS356" i="5"/>
  <c r="BC356" i="5" s="1"/>
  <c r="BD356" i="5" s="1"/>
  <c r="AS243" i="5"/>
  <c r="BC243" i="5" s="1"/>
  <c r="AS261" i="5"/>
  <c r="BC261" i="5" s="1"/>
  <c r="AS19" i="5"/>
  <c r="BC19" i="5" s="1"/>
  <c r="BC537" i="5"/>
  <c r="BD537" i="5" s="1"/>
  <c r="AL12" i="5"/>
  <c r="BB552" i="5"/>
  <c r="BA552" i="5"/>
  <c r="BB539" i="5"/>
  <c r="BA539" i="5"/>
  <c r="BA514" i="5"/>
  <c r="BB514" i="5"/>
  <c r="BA273" i="5"/>
  <c r="BB273" i="5"/>
  <c r="BB376" i="5"/>
  <c r="BA376" i="5"/>
  <c r="BA90" i="5"/>
  <c r="BB90" i="5"/>
  <c r="BB456" i="5"/>
  <c r="BA456" i="5"/>
  <c r="BA498" i="5"/>
  <c r="BB498" i="5"/>
  <c r="BA349" i="5"/>
  <c r="BB349" i="5"/>
  <c r="BA258" i="5"/>
  <c r="BB258" i="5"/>
  <c r="BB155" i="5"/>
  <c r="BA155" i="5"/>
  <c r="BA534" i="5"/>
  <c r="BB534" i="5"/>
  <c r="BA519" i="5"/>
  <c r="BB519" i="5"/>
  <c r="BA379" i="5"/>
  <c r="BB379" i="5"/>
  <c r="BA385" i="5"/>
  <c r="BB385" i="5"/>
  <c r="BB170" i="5"/>
  <c r="BA170" i="5"/>
  <c r="BB513" i="5"/>
  <c r="BA513" i="5"/>
  <c r="BB441" i="5"/>
  <c r="BA441" i="5"/>
  <c r="BA204" i="5"/>
  <c r="BB204" i="5"/>
  <c r="BC379" i="5"/>
  <c r="BA535" i="5"/>
  <c r="BB535" i="5"/>
  <c r="BA445" i="5"/>
  <c r="BB445" i="5"/>
  <c r="BA485" i="5"/>
  <c r="BB485" i="5"/>
  <c r="BA520" i="5"/>
  <c r="BB520" i="5"/>
  <c r="BB487" i="5"/>
  <c r="BA487" i="5"/>
  <c r="BB434" i="5"/>
  <c r="BA434" i="5"/>
  <c r="BA506" i="5"/>
  <c r="BB506" i="5"/>
  <c r="BA427" i="5"/>
  <c r="BB427" i="5"/>
  <c r="BB497" i="5"/>
  <c r="BA497" i="5"/>
  <c r="BA362" i="5"/>
  <c r="BB362" i="5"/>
  <c r="BB355" i="5"/>
  <c r="BA355" i="5"/>
  <c r="BA209" i="5"/>
  <c r="BB209" i="5"/>
  <c r="BB370" i="5"/>
  <c r="BA370" i="5"/>
  <c r="BA436" i="5"/>
  <c r="BB436" i="5"/>
  <c r="BB319" i="5"/>
  <c r="BA319" i="5"/>
  <c r="BB272" i="5"/>
  <c r="BA272" i="5"/>
  <c r="BB182" i="5"/>
  <c r="BA182" i="5"/>
  <c r="BB124" i="5"/>
  <c r="BA124" i="5"/>
  <c r="BA79" i="5"/>
  <c r="BB79" i="5"/>
  <c r="BB537" i="5"/>
  <c r="BA537" i="5"/>
  <c r="BA481" i="5"/>
  <c r="BB481" i="5"/>
  <c r="BA557" i="5"/>
  <c r="BB557" i="5"/>
  <c r="BA328" i="5"/>
  <c r="BB328" i="5"/>
  <c r="BB505" i="5"/>
  <c r="BA505" i="5"/>
  <c r="BB473" i="5"/>
  <c r="BA473" i="5"/>
  <c r="BA387" i="5"/>
  <c r="BB387" i="5"/>
  <c r="BB474" i="5"/>
  <c r="BA474" i="5"/>
  <c r="BB394" i="5"/>
  <c r="BA394" i="5"/>
  <c r="BA472" i="5"/>
  <c r="BB472" i="5"/>
  <c r="BB406" i="5"/>
  <c r="BA406" i="5"/>
  <c r="BB340" i="5"/>
  <c r="BA340" i="5"/>
  <c r="BA408" i="5"/>
  <c r="BB408" i="5"/>
  <c r="BA356" i="5"/>
  <c r="BB356" i="5"/>
  <c r="BA420" i="5"/>
  <c r="BB420" i="5"/>
  <c r="BA343" i="5"/>
  <c r="BB343" i="5"/>
  <c r="BB281" i="5"/>
  <c r="BA281" i="5"/>
  <c r="BB203" i="5"/>
  <c r="BA203" i="5"/>
  <c r="BA106" i="5"/>
  <c r="BB106" i="5"/>
  <c r="BA28" i="5"/>
  <c r="BB28" i="5"/>
  <c r="BB542" i="5"/>
  <c r="BA542" i="5"/>
  <c r="BB524" i="5"/>
  <c r="BA524" i="5"/>
  <c r="BB517" i="5"/>
  <c r="BA517" i="5"/>
  <c r="BB523" i="5"/>
  <c r="BA523" i="5"/>
  <c r="BB489" i="5"/>
  <c r="BA489" i="5"/>
  <c r="BB443" i="5"/>
  <c r="BA443" i="5"/>
  <c r="BA511" i="5"/>
  <c r="BB511" i="5"/>
  <c r="BA439" i="5"/>
  <c r="BB439" i="5"/>
  <c r="BA515" i="5"/>
  <c r="BB515" i="5"/>
  <c r="BA401" i="5"/>
  <c r="BB401" i="5"/>
  <c r="BB366" i="5"/>
  <c r="BA366" i="5"/>
  <c r="BA254" i="5"/>
  <c r="BB254" i="5"/>
  <c r="BA377" i="5"/>
  <c r="BB377" i="5"/>
  <c r="BA250" i="5"/>
  <c r="BB250" i="5"/>
  <c r="BB360" i="5"/>
  <c r="BA360" i="5"/>
  <c r="BB321" i="5"/>
  <c r="BA321" i="5"/>
  <c r="BA217" i="5"/>
  <c r="BB217" i="5"/>
  <c r="BA104" i="5"/>
  <c r="BB104" i="5"/>
  <c r="BB77" i="5"/>
  <c r="BA77" i="5"/>
  <c r="BA19" i="5"/>
  <c r="BB19" i="5"/>
  <c r="BB501" i="5"/>
  <c r="BA501" i="5"/>
  <c r="BA558" i="5"/>
  <c r="BB558" i="5"/>
  <c r="BB425" i="5"/>
  <c r="BA425" i="5"/>
  <c r="BB509" i="5"/>
  <c r="BA509" i="5"/>
  <c r="BB479" i="5"/>
  <c r="BA479" i="5"/>
  <c r="BA405" i="5"/>
  <c r="BB405" i="5"/>
  <c r="BB480" i="5"/>
  <c r="BA480" i="5"/>
  <c r="BA403" i="5"/>
  <c r="BB403" i="5"/>
  <c r="BA478" i="5"/>
  <c r="BB478" i="5"/>
  <c r="BB416" i="5"/>
  <c r="BA416" i="5"/>
  <c r="BA342" i="5"/>
  <c r="BB342" i="5"/>
  <c r="BB417" i="5"/>
  <c r="BA417" i="5"/>
  <c r="BB361" i="5"/>
  <c r="BA361" i="5"/>
  <c r="BA428" i="5"/>
  <c r="BB428" i="5"/>
  <c r="BA358" i="5"/>
  <c r="BB358" i="5"/>
  <c r="BB307" i="5"/>
  <c r="BA307" i="5"/>
  <c r="BA205" i="5"/>
  <c r="BB205" i="5"/>
  <c r="BB128" i="5"/>
  <c r="BA128" i="5"/>
  <c r="BB58" i="5"/>
  <c r="BA58" i="5"/>
  <c r="BA543" i="5"/>
  <c r="BB543" i="5"/>
  <c r="BA493" i="5"/>
  <c r="BB493" i="5"/>
  <c r="BB447" i="5"/>
  <c r="BA447" i="5"/>
  <c r="BA442" i="5"/>
  <c r="BB442" i="5"/>
  <c r="BA260" i="5"/>
  <c r="BB260" i="5"/>
  <c r="BA244" i="5"/>
  <c r="BB244" i="5"/>
  <c r="BA36" i="5"/>
  <c r="BB36" i="5"/>
  <c r="BA437" i="5"/>
  <c r="BB437" i="5"/>
  <c r="BB486" i="5"/>
  <c r="BA486" i="5"/>
  <c r="BB426" i="5"/>
  <c r="BA426" i="5"/>
  <c r="BA354" i="5"/>
  <c r="BB354" i="5"/>
  <c r="BA365" i="5"/>
  <c r="BB365" i="5"/>
  <c r="BB253" i="5"/>
  <c r="BA253" i="5"/>
  <c r="BA49" i="5"/>
  <c r="BB49" i="5"/>
  <c r="BA549" i="5"/>
  <c r="BB549" i="5"/>
  <c r="BA495" i="5"/>
  <c r="BB495" i="5"/>
  <c r="BB462" i="5"/>
  <c r="BA462" i="5"/>
  <c r="BB457" i="5"/>
  <c r="BA457" i="5"/>
  <c r="BA389" i="5"/>
  <c r="BB389" i="5"/>
  <c r="BA275" i="5"/>
  <c r="BB275" i="5"/>
  <c r="BB102" i="5"/>
  <c r="BA102" i="5"/>
  <c r="BB541" i="5"/>
  <c r="BA541" i="5"/>
  <c r="BA522" i="5"/>
  <c r="BB522" i="5"/>
  <c r="BA507" i="5"/>
  <c r="BB507" i="5"/>
  <c r="BB504" i="5"/>
  <c r="BA504" i="5"/>
  <c r="BA364" i="5"/>
  <c r="BB364" i="5"/>
  <c r="BB375" i="5"/>
  <c r="BA375" i="5"/>
  <c r="BB294" i="5"/>
  <c r="BA294" i="5"/>
  <c r="BB142" i="5"/>
  <c r="BA142" i="5"/>
  <c r="BD98" i="5"/>
  <c r="BC90" i="5"/>
  <c r="BA546" i="5"/>
  <c r="BB546" i="5"/>
  <c r="BB491" i="5"/>
  <c r="BA491" i="5"/>
  <c r="BA560" i="5"/>
  <c r="BB560" i="5"/>
  <c r="BA421" i="5"/>
  <c r="BB421" i="5"/>
  <c r="BA508" i="5"/>
  <c r="BB508" i="5"/>
  <c r="BB476" i="5"/>
  <c r="BA476" i="5"/>
  <c r="BA396" i="5"/>
  <c r="BB396" i="5"/>
  <c r="BB477" i="5"/>
  <c r="BA477" i="5"/>
  <c r="BA397" i="5"/>
  <c r="BB397" i="5"/>
  <c r="BA475" i="5"/>
  <c r="BB475" i="5"/>
  <c r="BA415" i="5"/>
  <c r="BB415" i="5"/>
  <c r="BA341" i="5"/>
  <c r="BB341" i="5"/>
  <c r="BB413" i="5"/>
  <c r="BA413" i="5"/>
  <c r="BA359" i="5"/>
  <c r="BB359" i="5"/>
  <c r="BB423" i="5"/>
  <c r="BA423" i="5"/>
  <c r="BA357" i="5"/>
  <c r="BB357" i="5"/>
  <c r="BB291" i="5"/>
  <c r="BA291" i="5"/>
  <c r="BB165" i="5"/>
  <c r="BA165" i="5"/>
  <c r="BA120" i="5"/>
  <c r="BB120" i="5"/>
  <c r="BA63" i="5"/>
  <c r="BB63" i="5"/>
  <c r="BB438" i="5"/>
  <c r="BA438" i="5"/>
  <c r="BA550" i="5"/>
  <c r="BB550" i="5"/>
  <c r="BA536" i="5"/>
  <c r="BB536" i="5"/>
  <c r="BA555" i="5"/>
  <c r="BB555" i="5"/>
  <c r="BB499" i="5"/>
  <c r="BA499" i="5"/>
  <c r="BA455" i="5"/>
  <c r="BB455" i="5"/>
  <c r="BB308" i="5"/>
  <c r="BA308" i="5"/>
  <c r="BA465" i="5"/>
  <c r="BB465" i="5"/>
  <c r="BB270" i="5"/>
  <c r="BA270" i="5"/>
  <c r="BA458" i="5"/>
  <c r="BB458" i="5"/>
  <c r="BB388" i="5"/>
  <c r="BA388" i="5"/>
  <c r="BA289" i="5"/>
  <c r="BB289" i="5"/>
  <c r="BB390" i="5"/>
  <c r="BA390" i="5"/>
  <c r="BA304" i="5"/>
  <c r="BB304" i="5"/>
  <c r="BB404" i="5"/>
  <c r="BA404" i="5"/>
  <c r="BB301" i="5"/>
  <c r="BA301" i="5"/>
  <c r="BB239" i="5"/>
  <c r="BA239" i="5"/>
  <c r="BB185" i="5"/>
  <c r="BA185" i="5"/>
  <c r="BA87" i="5"/>
  <c r="BB87" i="5"/>
  <c r="BA33" i="5"/>
  <c r="BB33" i="5"/>
  <c r="BA528" i="5"/>
  <c r="BB528" i="5"/>
  <c r="BB433" i="5"/>
  <c r="BA433" i="5"/>
  <c r="BB449" i="5"/>
  <c r="BA449" i="5"/>
  <c r="BB510" i="5"/>
  <c r="BA510" i="5"/>
  <c r="BA482" i="5"/>
  <c r="BB482" i="5"/>
  <c r="BB430" i="5"/>
  <c r="BA430" i="5"/>
  <c r="BB484" i="5"/>
  <c r="BA484" i="5"/>
  <c r="BB412" i="5"/>
  <c r="BA412" i="5"/>
  <c r="BA490" i="5"/>
  <c r="BB490" i="5"/>
  <c r="BA311" i="5"/>
  <c r="BB311" i="5"/>
  <c r="BB348" i="5"/>
  <c r="BA348" i="5"/>
  <c r="BB418" i="5"/>
  <c r="BA418" i="5"/>
  <c r="BA363" i="5"/>
  <c r="BB363" i="5"/>
  <c r="BA431" i="5"/>
  <c r="BB431" i="5"/>
  <c r="BB224" i="5"/>
  <c r="BA224" i="5"/>
  <c r="BB327" i="5"/>
  <c r="BA327" i="5"/>
  <c r="BA216" i="5"/>
  <c r="BB216" i="5"/>
  <c r="BA146" i="5"/>
  <c r="BB146" i="5"/>
  <c r="BA57" i="5"/>
  <c r="BB57" i="5"/>
  <c r="BB464" i="5"/>
  <c r="BA464" i="5"/>
  <c r="BA407" i="5"/>
  <c r="BB407" i="5"/>
  <c r="BB548" i="5"/>
  <c r="BA548" i="5"/>
  <c r="BA229" i="5"/>
  <c r="BB229" i="5"/>
  <c r="BB502" i="5"/>
  <c r="BA502" i="5"/>
  <c r="BA466" i="5"/>
  <c r="BB466" i="5"/>
  <c r="BB353" i="5"/>
  <c r="BA353" i="5"/>
  <c r="BB468" i="5"/>
  <c r="BA468" i="5"/>
  <c r="BA382" i="5"/>
  <c r="BB382" i="5"/>
  <c r="BB460" i="5"/>
  <c r="BA460" i="5"/>
  <c r="BB398" i="5"/>
  <c r="BA398" i="5"/>
  <c r="BB333" i="5"/>
  <c r="BA333" i="5"/>
  <c r="BA399" i="5"/>
  <c r="BB399" i="5"/>
  <c r="BB345" i="5"/>
  <c r="BA345" i="5"/>
  <c r="BA410" i="5"/>
  <c r="BB410" i="5"/>
  <c r="BA320" i="5"/>
  <c r="BB320" i="5"/>
  <c r="BB259" i="5"/>
  <c r="BA259" i="5"/>
  <c r="BB162" i="5"/>
  <c r="BA162" i="5"/>
  <c r="BB129" i="5"/>
  <c r="BA129" i="5"/>
  <c r="BB42" i="5"/>
  <c r="BA42" i="5"/>
  <c r="BA527" i="5"/>
  <c r="BB527" i="5"/>
  <c r="BA451" i="5"/>
  <c r="BB451" i="5"/>
  <c r="BA526" i="5"/>
  <c r="BB526" i="5"/>
  <c r="BA374" i="5"/>
  <c r="BB374" i="5"/>
  <c r="BA384" i="5"/>
  <c r="BB384" i="5"/>
  <c r="BA248" i="5"/>
  <c r="BB248" i="5"/>
  <c r="BB181" i="5"/>
  <c r="BA181" i="5"/>
  <c r="BA533" i="5"/>
  <c r="BB533" i="5"/>
  <c r="BB518" i="5"/>
  <c r="BA518" i="5"/>
  <c r="BB432" i="5"/>
  <c r="BA432" i="5"/>
  <c r="BA496" i="5"/>
  <c r="BB496" i="5"/>
  <c r="BB419" i="5"/>
  <c r="BA419" i="5"/>
  <c r="BA435" i="5"/>
  <c r="BB435" i="5"/>
  <c r="BB233" i="5"/>
  <c r="BA233" i="5"/>
  <c r="BA372" i="5"/>
  <c r="BB372" i="5"/>
  <c r="BB554" i="5"/>
  <c r="BA554" i="5"/>
  <c r="BB454" i="5"/>
  <c r="BA454" i="5"/>
  <c r="BB532" i="5"/>
  <c r="BA532" i="5"/>
  <c r="BB286" i="5"/>
  <c r="BA286" i="5"/>
  <c r="BA293" i="5"/>
  <c r="BB293" i="5"/>
  <c r="BB215" i="5"/>
  <c r="BA215" i="5"/>
  <c r="BA37" i="5"/>
  <c r="BB37" i="5"/>
  <c r="BB448" i="5"/>
  <c r="BA448" i="5"/>
  <c r="BB488" i="5"/>
  <c r="BA488" i="5"/>
  <c r="BB429" i="5"/>
  <c r="BA429" i="5"/>
  <c r="BA368" i="5"/>
  <c r="BB368" i="5"/>
  <c r="BA245" i="5"/>
  <c r="BB245" i="5"/>
  <c r="BB440" i="5"/>
  <c r="BA440" i="5"/>
  <c r="BB335" i="5"/>
  <c r="BA335" i="5"/>
  <c r="BA62" i="5"/>
  <c r="BB62" i="5"/>
  <c r="BC533" i="5"/>
  <c r="BD533" i="5" s="1"/>
  <c r="BC286" i="5"/>
  <c r="BC440" i="5"/>
  <c r="BB450" i="5"/>
  <c r="BA450" i="5"/>
  <c r="BB551" i="5"/>
  <c r="BA551" i="5"/>
  <c r="BB540" i="5"/>
  <c r="BA540" i="5"/>
  <c r="BB556" i="5"/>
  <c r="BA556" i="5"/>
  <c r="BB500" i="5"/>
  <c r="BA500" i="5"/>
  <c r="BB463" i="5"/>
  <c r="BA463" i="5"/>
  <c r="BB347" i="5"/>
  <c r="BA347" i="5"/>
  <c r="BB467" i="5"/>
  <c r="BA467" i="5"/>
  <c r="BA325" i="5"/>
  <c r="BB325" i="5"/>
  <c r="BB459" i="5"/>
  <c r="BA459" i="5"/>
  <c r="BB395" i="5"/>
  <c r="BA395" i="5"/>
  <c r="BA292" i="5"/>
  <c r="BB292" i="5"/>
  <c r="BA392" i="5"/>
  <c r="BB392" i="5"/>
  <c r="BA334" i="5"/>
  <c r="BB334" i="5"/>
  <c r="BB409" i="5"/>
  <c r="BA409" i="5"/>
  <c r="BB310" i="5"/>
  <c r="BA310" i="5"/>
  <c r="BA193" i="5"/>
  <c r="BB193" i="5"/>
  <c r="BB143" i="5"/>
  <c r="BA143" i="5"/>
  <c r="BA99" i="5"/>
  <c r="BB99" i="5"/>
  <c r="BA46" i="5"/>
  <c r="BB46" i="5"/>
  <c r="BA547" i="5"/>
  <c r="BB547" i="5"/>
  <c r="BB538" i="5"/>
  <c r="BA538" i="5"/>
  <c r="BA521" i="5"/>
  <c r="BB521" i="5"/>
  <c r="BB530" i="5"/>
  <c r="BA530" i="5"/>
  <c r="BA492" i="5"/>
  <c r="BB492" i="5"/>
  <c r="BB444" i="5"/>
  <c r="BA444" i="5"/>
  <c r="BA512" i="5"/>
  <c r="BB512" i="5"/>
  <c r="BA446" i="5"/>
  <c r="BB446" i="5"/>
  <c r="BB525" i="5"/>
  <c r="BA525" i="5"/>
  <c r="BA422" i="5"/>
  <c r="BB422" i="5"/>
  <c r="BA371" i="5"/>
  <c r="BB371" i="5"/>
  <c r="BB267" i="5"/>
  <c r="BA267" i="5"/>
  <c r="BB380" i="5"/>
  <c r="BA380" i="5"/>
  <c r="BB252" i="5"/>
  <c r="BA252" i="5"/>
  <c r="BB367" i="5"/>
  <c r="BA367" i="5"/>
  <c r="BB192" i="5"/>
  <c r="BA192" i="5"/>
  <c r="BB228" i="5"/>
  <c r="BA228" i="5"/>
  <c r="BA167" i="5"/>
  <c r="BB167" i="5"/>
  <c r="BB93" i="5"/>
  <c r="BA93" i="5"/>
  <c r="BB483" i="5"/>
  <c r="BA483" i="5"/>
  <c r="BA424" i="5"/>
  <c r="BB424" i="5"/>
  <c r="BB553" i="5"/>
  <c r="BA553" i="5"/>
  <c r="BA297" i="5"/>
  <c r="BB297" i="5"/>
  <c r="BA503" i="5"/>
  <c r="BB503" i="5"/>
  <c r="BB469" i="5"/>
  <c r="BA469" i="5"/>
  <c r="BB381" i="5"/>
  <c r="BA381" i="5"/>
  <c r="BA470" i="5"/>
  <c r="BB470" i="5"/>
  <c r="BB391" i="5"/>
  <c r="BA391" i="5"/>
  <c r="BB471" i="5"/>
  <c r="BA471" i="5"/>
  <c r="BB400" i="5"/>
  <c r="BA400" i="5"/>
  <c r="BA336" i="5"/>
  <c r="BB336" i="5"/>
  <c r="BB402" i="5"/>
  <c r="BA402" i="5"/>
  <c r="BA350" i="5"/>
  <c r="BB350" i="5"/>
  <c r="BB414" i="5"/>
  <c r="BA414" i="5"/>
  <c r="BB330" i="5"/>
  <c r="BA330" i="5"/>
  <c r="BA271" i="5"/>
  <c r="BB271" i="5"/>
  <c r="BA187" i="5"/>
  <c r="BB187" i="5"/>
  <c r="BB151" i="5"/>
  <c r="BA151" i="5"/>
  <c r="BA67" i="5"/>
  <c r="BB67" i="5"/>
  <c r="BB559" i="5"/>
  <c r="BA559" i="5"/>
  <c r="BB544" i="5"/>
  <c r="BA544" i="5"/>
  <c r="BB529" i="5"/>
  <c r="BA529" i="5"/>
  <c r="BA545" i="5"/>
  <c r="BB545" i="5"/>
  <c r="BB494" i="5"/>
  <c r="BA494" i="5"/>
  <c r="BB453" i="5"/>
  <c r="BA453" i="5"/>
  <c r="BB516" i="5"/>
  <c r="BA516" i="5"/>
  <c r="BA461" i="5"/>
  <c r="BB461" i="5"/>
  <c r="BB531" i="5"/>
  <c r="BA531" i="5"/>
  <c r="BA452" i="5"/>
  <c r="BB452" i="5"/>
  <c r="BA378" i="5"/>
  <c r="BB378" i="5"/>
  <c r="BB280" i="5"/>
  <c r="BA280" i="5"/>
  <c r="BA386" i="5"/>
  <c r="BB386" i="5"/>
  <c r="BB277" i="5"/>
  <c r="BA277" i="5"/>
  <c r="BB383" i="5"/>
  <c r="BA383" i="5"/>
  <c r="BA257" i="5"/>
  <c r="BB257" i="5"/>
  <c r="BA186" i="5"/>
  <c r="BB186" i="5"/>
  <c r="BB153" i="5"/>
  <c r="BA153" i="5"/>
  <c r="BA96" i="5"/>
  <c r="BB96" i="5"/>
  <c r="BA25" i="5"/>
  <c r="BB25" i="5"/>
  <c r="AY364" i="5"/>
  <c r="AX364" i="5"/>
  <c r="BC364" i="5"/>
  <c r="AY511" i="5"/>
  <c r="AX511" i="5"/>
  <c r="AY438" i="5"/>
  <c r="AX438" i="5"/>
  <c r="AY530" i="5"/>
  <c r="BC530" i="5"/>
  <c r="AX530" i="5"/>
  <c r="AY514" i="5"/>
  <c r="AX514" i="5"/>
  <c r="AX558" i="5"/>
  <c r="AY558" i="5"/>
  <c r="AX510" i="5"/>
  <c r="AY510" i="5"/>
  <c r="AY523" i="5"/>
  <c r="AX523" i="5"/>
  <c r="AX303" i="5"/>
  <c r="AY303" i="5"/>
  <c r="AY447" i="5"/>
  <c r="AX447" i="5"/>
  <c r="AY421" i="5"/>
  <c r="AX421" i="5"/>
  <c r="BC454" i="5"/>
  <c r="AX454" i="5"/>
  <c r="AY454" i="5"/>
  <c r="AX403" i="5"/>
  <c r="AY403" i="5"/>
  <c r="AX497" i="5"/>
  <c r="AY497" i="5"/>
  <c r="BC497" i="5"/>
  <c r="AY547" i="5"/>
  <c r="AX547" i="5"/>
  <c r="BC547" i="5"/>
  <c r="AX417" i="5"/>
  <c r="AY417" i="5"/>
  <c r="BC417" i="5"/>
  <c r="AY512" i="5"/>
  <c r="AX512" i="5"/>
  <c r="AX264" i="5"/>
  <c r="AY264" i="5"/>
  <c r="AX344" i="5"/>
  <c r="AY344" i="5"/>
  <c r="AX267" i="5"/>
  <c r="BC267" i="5"/>
  <c r="AY267" i="5"/>
  <c r="AX232" i="5"/>
  <c r="AY232" i="5"/>
  <c r="AX142" i="5"/>
  <c r="AY142" i="5"/>
  <c r="BC142" i="5"/>
  <c r="AX86" i="5"/>
  <c r="AY86" i="5"/>
  <c r="AX94" i="5"/>
  <c r="AY94" i="5"/>
  <c r="AX27" i="5"/>
  <c r="AY27" i="5"/>
  <c r="AX389" i="5"/>
  <c r="AY389" i="5"/>
  <c r="BC389" i="5"/>
  <c r="AY260" i="5"/>
  <c r="AX260" i="5"/>
  <c r="BC260" i="5"/>
  <c r="AX284" i="5"/>
  <c r="AY284" i="5"/>
  <c r="AX175" i="5"/>
  <c r="AY175" i="5"/>
  <c r="AY151" i="5"/>
  <c r="AX151" i="5"/>
  <c r="AY103" i="5"/>
  <c r="AX103" i="5"/>
  <c r="AY66" i="5"/>
  <c r="AX66" i="5"/>
  <c r="AY384" i="5"/>
  <c r="AX384" i="5"/>
  <c r="BC384" i="5"/>
  <c r="AY316" i="5"/>
  <c r="AX316" i="5"/>
  <c r="AY230" i="5"/>
  <c r="AX230" i="5"/>
  <c r="AX172" i="5"/>
  <c r="AY172" i="5"/>
  <c r="AY173" i="5"/>
  <c r="AX173" i="5"/>
  <c r="AX64" i="5"/>
  <c r="AY64" i="5"/>
  <c r="AY97" i="5"/>
  <c r="AX97" i="5"/>
  <c r="AX60" i="5"/>
  <c r="AY60" i="5"/>
  <c r="AY61" i="5"/>
  <c r="AX61" i="5"/>
  <c r="AY21" i="5"/>
  <c r="AX21" i="5"/>
  <c r="AY22" i="5"/>
  <c r="AX22" i="5"/>
  <c r="AY427" i="5"/>
  <c r="AX427" i="5"/>
  <c r="BC370" i="5"/>
  <c r="AX370" i="5"/>
  <c r="AY370" i="5"/>
  <c r="BC297" i="5"/>
  <c r="AY297" i="5"/>
  <c r="AX297" i="5"/>
  <c r="AX280" i="5"/>
  <c r="AY280" i="5"/>
  <c r="AY329" i="5"/>
  <c r="AX329" i="5"/>
  <c r="AX253" i="5"/>
  <c r="AY253" i="5"/>
  <c r="BC253" i="5"/>
  <c r="AY216" i="5"/>
  <c r="AX216" i="5"/>
  <c r="AX231" i="5"/>
  <c r="AY231" i="5"/>
  <c r="AY214" i="5"/>
  <c r="AX214" i="5"/>
  <c r="AY188" i="5"/>
  <c r="AX188" i="5"/>
  <c r="AY176" i="5"/>
  <c r="AX176" i="5"/>
  <c r="AX131" i="5"/>
  <c r="AY131" i="5"/>
  <c r="AY141" i="5"/>
  <c r="AX141" i="5"/>
  <c r="AX135" i="5"/>
  <c r="AY135" i="5"/>
  <c r="AY95" i="5"/>
  <c r="AX95" i="5"/>
  <c r="AX70" i="5"/>
  <c r="AY70" i="5"/>
  <c r="AY65" i="5"/>
  <c r="AX65" i="5"/>
  <c r="AX34" i="5"/>
  <c r="AY34" i="5"/>
  <c r="AX33" i="5"/>
  <c r="AY33" i="5"/>
  <c r="BC421" i="5"/>
  <c r="BC264" i="5"/>
  <c r="BE264" i="5" s="1"/>
  <c r="BC86" i="5"/>
  <c r="BE86" i="5" s="1"/>
  <c r="BC21" i="5"/>
  <c r="BE21" i="5" s="1"/>
  <c r="AX407" i="5"/>
  <c r="AY407" i="5"/>
  <c r="AY529" i="5"/>
  <c r="AX529" i="5"/>
  <c r="BC529" i="5"/>
  <c r="AY471" i="5"/>
  <c r="AX471" i="5"/>
  <c r="BC471" i="5"/>
  <c r="AY560" i="5"/>
  <c r="AX560" i="5"/>
  <c r="AX414" i="5"/>
  <c r="AY414" i="5"/>
  <c r="AY453" i="5"/>
  <c r="AX453" i="5"/>
  <c r="AX531" i="5"/>
  <c r="AY531" i="5"/>
  <c r="BC531" i="5"/>
  <c r="AX456" i="5"/>
  <c r="AY456" i="5"/>
  <c r="AX495" i="5"/>
  <c r="AY495" i="5"/>
  <c r="AY274" i="5"/>
  <c r="AX274" i="5"/>
  <c r="AY404" i="5"/>
  <c r="AX404" i="5"/>
  <c r="AX481" i="5"/>
  <c r="AY481" i="5"/>
  <c r="AX372" i="5"/>
  <c r="AY372" i="5"/>
  <c r="AY360" i="5"/>
  <c r="AX360" i="5"/>
  <c r="AY548" i="5"/>
  <c r="AX548" i="5"/>
  <c r="BC548" i="5"/>
  <c r="AX550" i="5"/>
  <c r="AY550" i="5"/>
  <c r="BC550" i="5"/>
  <c r="AY542" i="5"/>
  <c r="AX542" i="5"/>
  <c r="BC542" i="5"/>
  <c r="AX464" i="5"/>
  <c r="AY464" i="5"/>
  <c r="BC464" i="5"/>
  <c r="AX411" i="5"/>
  <c r="AY411" i="5"/>
  <c r="AY502" i="5"/>
  <c r="AX502" i="5"/>
  <c r="AX449" i="5"/>
  <c r="AY449" i="5"/>
  <c r="BC449" i="5"/>
  <c r="AY506" i="5"/>
  <c r="AX506" i="5"/>
  <c r="AY446" i="5"/>
  <c r="AX446" i="5"/>
  <c r="AX396" i="5"/>
  <c r="AY396" i="5"/>
  <c r="AX420" i="5"/>
  <c r="AY420" i="5"/>
  <c r="AX342" i="5"/>
  <c r="AY342" i="5"/>
  <c r="BC342" i="5"/>
  <c r="AY557" i="5"/>
  <c r="AX557" i="5"/>
  <c r="AY554" i="5"/>
  <c r="AX554" i="5"/>
  <c r="AX549" i="5"/>
  <c r="AY549" i="5"/>
  <c r="AY540" i="5"/>
  <c r="AX540" i="5"/>
  <c r="AY460" i="5"/>
  <c r="AX460" i="5"/>
  <c r="BC460" i="5"/>
  <c r="AX402" i="5"/>
  <c r="AY402" i="5"/>
  <c r="AX499" i="5"/>
  <c r="AY499" i="5"/>
  <c r="AX443" i="5"/>
  <c r="AY443" i="5"/>
  <c r="AX505" i="5"/>
  <c r="AY505" i="5"/>
  <c r="AX444" i="5"/>
  <c r="AY444" i="5"/>
  <c r="AX391" i="5"/>
  <c r="AY391" i="5"/>
  <c r="AX415" i="5"/>
  <c r="AY415" i="5"/>
  <c r="AX336" i="5"/>
  <c r="AY336" i="5"/>
  <c r="AY555" i="5"/>
  <c r="AX555" i="5"/>
  <c r="AY551" i="5"/>
  <c r="AX551" i="5"/>
  <c r="BC551" i="5"/>
  <c r="AX532" i="5"/>
  <c r="AY532" i="5"/>
  <c r="AY538" i="5"/>
  <c r="AX538" i="5"/>
  <c r="AY458" i="5"/>
  <c r="AX458" i="5"/>
  <c r="AX393" i="5"/>
  <c r="AY393" i="5"/>
  <c r="AX494" i="5"/>
  <c r="AY494" i="5"/>
  <c r="AX441" i="5"/>
  <c r="AY441" i="5"/>
  <c r="BC441" i="5"/>
  <c r="AX500" i="5"/>
  <c r="AY500" i="5"/>
  <c r="BC500" i="5"/>
  <c r="AX440" i="5"/>
  <c r="AY440" i="5"/>
  <c r="AX387" i="5"/>
  <c r="AY387" i="5"/>
  <c r="AX406" i="5"/>
  <c r="AY406" i="5"/>
  <c r="BC406" i="5"/>
  <c r="AY318" i="5"/>
  <c r="AX318" i="5"/>
  <c r="AX379" i="5"/>
  <c r="AY379" i="5"/>
  <c r="AY307" i="5"/>
  <c r="AX307" i="5"/>
  <c r="AX308" i="5"/>
  <c r="AY308" i="5"/>
  <c r="AX250" i="5"/>
  <c r="AY250" i="5"/>
  <c r="BC250" i="5"/>
  <c r="AY293" i="5"/>
  <c r="AX293" i="5"/>
  <c r="AX177" i="5"/>
  <c r="AY177" i="5"/>
  <c r="AX269" i="5"/>
  <c r="AY269" i="5"/>
  <c r="AX223" i="5"/>
  <c r="AY223" i="5"/>
  <c r="AX239" i="5"/>
  <c r="AY239" i="5"/>
  <c r="AX222" i="5"/>
  <c r="AY222" i="5"/>
  <c r="AX200" i="5"/>
  <c r="AY200" i="5"/>
  <c r="AY186" i="5"/>
  <c r="AX186" i="5"/>
  <c r="AY144" i="5"/>
  <c r="AX144" i="5"/>
  <c r="AX153" i="5"/>
  <c r="AY153" i="5"/>
  <c r="AX149" i="5"/>
  <c r="AY149" i="5"/>
  <c r="AX100" i="5"/>
  <c r="AY100" i="5"/>
  <c r="AX78" i="5"/>
  <c r="AY78" i="5"/>
  <c r="AX79" i="5"/>
  <c r="AY79" i="5"/>
  <c r="BC79" i="5"/>
  <c r="AX55" i="5"/>
  <c r="AY55" i="5"/>
  <c r="AX44" i="5"/>
  <c r="AY44" i="5"/>
  <c r="AY434" i="5"/>
  <c r="AX434" i="5"/>
  <c r="AY377" i="5"/>
  <c r="AX377" i="5"/>
  <c r="BC377" i="5"/>
  <c r="AX296" i="5"/>
  <c r="AY296" i="5"/>
  <c r="AY304" i="5"/>
  <c r="AX304" i="5"/>
  <c r="BC304" i="5"/>
  <c r="AX245" i="5"/>
  <c r="AY245" i="5"/>
  <c r="AY287" i="5"/>
  <c r="AX287" i="5"/>
  <c r="AY331" i="5"/>
  <c r="AX331" i="5"/>
  <c r="BC331" i="5"/>
  <c r="AX262" i="5"/>
  <c r="AY262" i="5"/>
  <c r="AY220" i="5"/>
  <c r="AX220" i="5"/>
  <c r="AY237" i="5"/>
  <c r="AX237" i="5"/>
  <c r="AY219" i="5"/>
  <c r="AX219" i="5"/>
  <c r="AY196" i="5"/>
  <c r="AX196" i="5"/>
  <c r="AY185" i="5"/>
  <c r="AX185" i="5"/>
  <c r="AY140" i="5"/>
  <c r="AX140" i="5"/>
  <c r="AX145" i="5"/>
  <c r="AY145" i="5"/>
  <c r="AX146" i="5"/>
  <c r="AY146" i="5"/>
  <c r="AX98" i="5"/>
  <c r="AY98" i="5"/>
  <c r="AY82" i="5"/>
  <c r="AX82" i="5"/>
  <c r="AY75" i="5"/>
  <c r="AX75" i="5"/>
  <c r="AY53" i="5"/>
  <c r="AX53" i="5"/>
  <c r="AY41" i="5"/>
  <c r="AX41" i="5"/>
  <c r="AY8" i="5"/>
  <c r="AX8" i="5"/>
  <c r="AX371" i="5"/>
  <c r="AY371" i="5"/>
  <c r="BC371" i="5"/>
  <c r="AX281" i="5"/>
  <c r="AY281" i="5"/>
  <c r="AY299" i="5"/>
  <c r="AX299" i="5"/>
  <c r="AX221" i="5"/>
  <c r="AY221" i="5"/>
  <c r="AY283" i="5"/>
  <c r="AX283" i="5"/>
  <c r="AX330" i="5"/>
  <c r="AY330" i="5"/>
  <c r="AX256" i="5"/>
  <c r="AY256" i="5"/>
  <c r="AY218" i="5"/>
  <c r="AX218" i="5"/>
  <c r="AY234" i="5"/>
  <c r="AX234" i="5"/>
  <c r="AX217" i="5"/>
  <c r="AY217" i="5"/>
  <c r="BC217" i="5"/>
  <c r="AX191" i="5"/>
  <c r="AY191" i="5"/>
  <c r="AY180" i="5"/>
  <c r="AX180" i="5"/>
  <c r="AX133" i="5"/>
  <c r="AY133" i="5"/>
  <c r="AX143" i="5"/>
  <c r="AY143" i="5"/>
  <c r="AX138" i="5"/>
  <c r="AY138" i="5"/>
  <c r="AX96" i="5"/>
  <c r="AY96" i="5"/>
  <c r="BC96" i="5"/>
  <c r="AX72" i="5"/>
  <c r="AY72" i="5"/>
  <c r="AX71" i="5"/>
  <c r="AY71" i="5"/>
  <c r="AX51" i="5"/>
  <c r="AY51" i="5"/>
  <c r="AX38" i="5"/>
  <c r="AY38" i="5"/>
  <c r="AT13" i="5"/>
  <c r="AZ13" i="5"/>
  <c r="AW13" i="5"/>
  <c r="T13" i="5"/>
  <c r="AY413" i="5"/>
  <c r="AX413" i="5"/>
  <c r="BC413" i="5"/>
  <c r="BC357" i="5"/>
  <c r="AY357" i="5"/>
  <c r="AX357" i="5"/>
  <c r="AX347" i="5"/>
  <c r="BC347" i="5"/>
  <c r="AY347" i="5"/>
  <c r="AY282" i="5"/>
  <c r="AX282" i="5"/>
  <c r="AX322" i="5"/>
  <c r="AY322" i="5"/>
  <c r="AX263" i="5"/>
  <c r="AY263" i="5"/>
  <c r="AY310" i="5"/>
  <c r="AX310" i="5"/>
  <c r="AX233" i="5"/>
  <c r="AY233" i="5"/>
  <c r="AX198" i="5"/>
  <c r="AY198" i="5"/>
  <c r="AY197" i="5"/>
  <c r="AX197" i="5"/>
  <c r="AY195" i="5"/>
  <c r="AX195" i="5"/>
  <c r="AY170" i="5"/>
  <c r="AX170" i="5"/>
  <c r="AY164" i="5"/>
  <c r="AX164" i="5"/>
  <c r="AX114" i="5"/>
  <c r="AY114" i="5"/>
  <c r="AY130" i="5"/>
  <c r="AX130" i="5"/>
  <c r="AX120" i="5"/>
  <c r="AY120" i="5"/>
  <c r="BC120" i="5"/>
  <c r="AX84" i="5"/>
  <c r="AY84" i="5"/>
  <c r="AX83" i="5"/>
  <c r="AY83" i="5"/>
  <c r="AX54" i="5"/>
  <c r="AY54" i="5"/>
  <c r="AX45" i="5"/>
  <c r="AY45" i="5"/>
  <c r="AX48" i="5"/>
  <c r="AY48" i="5"/>
  <c r="BC95" i="5"/>
  <c r="BC282" i="5"/>
  <c r="AY513" i="5"/>
  <c r="AX513" i="5"/>
  <c r="AY474" i="5"/>
  <c r="AX474" i="5"/>
  <c r="AY536" i="5"/>
  <c r="AX536" i="5"/>
  <c r="AX266" i="5"/>
  <c r="AY266" i="5"/>
  <c r="AX462" i="5"/>
  <c r="AY462" i="5"/>
  <c r="AY422" i="5"/>
  <c r="AX422" i="5"/>
  <c r="AY467" i="5"/>
  <c r="AX467" i="5"/>
  <c r="AY507" i="5"/>
  <c r="AX507" i="5"/>
  <c r="AY552" i="5"/>
  <c r="AX552" i="5"/>
  <c r="AY519" i="5"/>
  <c r="BC519" i="5"/>
  <c r="AX519" i="5"/>
  <c r="AY300" i="5"/>
  <c r="AX300" i="5"/>
  <c r="AY556" i="5"/>
  <c r="AX556" i="5"/>
  <c r="AX508" i="5"/>
  <c r="AY508" i="5"/>
  <c r="BC508" i="5"/>
  <c r="AX401" i="5"/>
  <c r="AY401" i="5"/>
  <c r="AX390" i="5"/>
  <c r="AY390" i="5"/>
  <c r="AY309" i="5"/>
  <c r="AX309" i="5"/>
  <c r="AX181" i="5"/>
  <c r="AY181" i="5"/>
  <c r="AX179" i="5"/>
  <c r="AY179" i="5"/>
  <c r="AX106" i="5"/>
  <c r="AY106" i="5"/>
  <c r="BC106" i="5"/>
  <c r="AY28" i="5"/>
  <c r="AX28" i="5"/>
  <c r="AX319" i="5"/>
  <c r="AY319" i="5"/>
  <c r="AY248" i="5"/>
  <c r="AX248" i="5"/>
  <c r="AX235" i="5"/>
  <c r="AY235" i="5"/>
  <c r="AY80" i="5"/>
  <c r="AX80" i="5"/>
  <c r="AY93" i="5"/>
  <c r="AX93" i="5"/>
  <c r="AY23" i="5"/>
  <c r="AX23" i="5"/>
  <c r="AX258" i="5"/>
  <c r="AY258" i="5"/>
  <c r="AY227" i="5"/>
  <c r="AX227" i="5"/>
  <c r="AY207" i="5"/>
  <c r="AX207" i="5"/>
  <c r="BC207" i="5"/>
  <c r="AY246" i="5"/>
  <c r="AX246" i="5"/>
  <c r="BC231" i="5"/>
  <c r="BE231" i="5" s="1"/>
  <c r="BC27" i="5"/>
  <c r="BD27" i="5" s="1"/>
  <c r="BC66" i="5"/>
  <c r="BE66" i="5" s="1"/>
  <c r="BC34" i="5"/>
  <c r="BD34" i="5" s="1"/>
  <c r="BC214" i="5"/>
  <c r="BE214" i="5" s="1"/>
  <c r="BC103" i="5"/>
  <c r="BD103" i="5" s="1"/>
  <c r="AY261" i="5"/>
  <c r="AX261" i="5"/>
  <c r="AX491" i="5"/>
  <c r="AY491" i="5"/>
  <c r="AY424" i="5"/>
  <c r="AX424" i="5"/>
  <c r="AY559" i="5"/>
  <c r="AX559" i="5"/>
  <c r="AY503" i="5"/>
  <c r="AX503" i="5"/>
  <c r="AX397" i="5"/>
  <c r="AY397" i="5"/>
  <c r="AX546" i="5"/>
  <c r="AY546" i="5"/>
  <c r="AX375" i="5"/>
  <c r="AY375" i="5"/>
  <c r="BC375" i="5"/>
  <c r="AX430" i="5"/>
  <c r="AY430" i="5"/>
  <c r="BC430" i="5"/>
  <c r="AX19" i="5"/>
  <c r="AY19" i="5"/>
  <c r="AX526" i="5"/>
  <c r="AY526" i="5"/>
  <c r="BC526" i="5"/>
  <c r="AX373" i="5"/>
  <c r="AY373" i="5"/>
  <c r="AY388" i="5"/>
  <c r="AX388" i="5"/>
  <c r="AY525" i="5"/>
  <c r="AX525" i="5"/>
  <c r="AX541" i="5"/>
  <c r="AY541" i="5"/>
  <c r="BC541" i="5"/>
  <c r="AY459" i="5"/>
  <c r="AX459" i="5"/>
  <c r="BC459" i="5"/>
  <c r="AY534" i="5"/>
  <c r="AX534" i="5"/>
  <c r="AY448" i="5"/>
  <c r="AX448" i="5"/>
  <c r="BC448" i="5"/>
  <c r="AY351" i="5"/>
  <c r="AX351" i="5"/>
  <c r="AY489" i="5"/>
  <c r="AX489" i="5"/>
  <c r="AY436" i="5"/>
  <c r="AX436" i="5"/>
  <c r="AY492" i="5"/>
  <c r="AX492" i="5"/>
  <c r="BC492" i="5"/>
  <c r="AY429" i="5"/>
  <c r="AX429" i="5"/>
  <c r="BC429" i="5"/>
  <c r="AY382" i="5"/>
  <c r="AX382" i="5"/>
  <c r="BC382" i="5"/>
  <c r="AX398" i="5"/>
  <c r="AY398" i="5"/>
  <c r="AX439" i="5"/>
  <c r="AY439" i="5"/>
  <c r="AX515" i="5"/>
  <c r="AY515" i="5"/>
  <c r="AY539" i="5"/>
  <c r="AX539" i="5"/>
  <c r="BC452" i="5"/>
  <c r="AX452" i="5"/>
  <c r="AY452" i="5"/>
  <c r="AX533" i="5"/>
  <c r="AY533" i="5"/>
  <c r="AX445" i="5"/>
  <c r="AY445" i="5"/>
  <c r="AX339" i="5"/>
  <c r="AY339" i="5"/>
  <c r="BC488" i="5"/>
  <c r="AX488" i="5"/>
  <c r="AY488" i="5"/>
  <c r="AX431" i="5"/>
  <c r="AY431" i="5"/>
  <c r="BC484" i="5"/>
  <c r="AX484" i="5"/>
  <c r="AY484" i="5"/>
  <c r="AY428" i="5"/>
  <c r="AX428" i="5"/>
  <c r="AY381" i="5"/>
  <c r="AX381" i="5"/>
  <c r="BC381" i="5"/>
  <c r="AX395" i="5"/>
  <c r="AY395" i="5"/>
  <c r="AX432" i="5"/>
  <c r="AY432" i="5"/>
  <c r="AX504" i="5"/>
  <c r="AY504" i="5"/>
  <c r="AX535" i="5"/>
  <c r="AY535" i="5"/>
  <c r="AX423" i="5"/>
  <c r="AY423" i="5"/>
  <c r="BC423" i="5"/>
  <c r="AX527" i="5"/>
  <c r="AY527" i="5"/>
  <c r="AX442" i="5"/>
  <c r="AY442" i="5"/>
  <c r="AX335" i="5"/>
  <c r="AY335" i="5"/>
  <c r="AX487" i="5"/>
  <c r="AY487" i="5"/>
  <c r="AY418" i="5"/>
  <c r="AX418" i="5"/>
  <c r="AX482" i="5"/>
  <c r="AY482" i="5"/>
  <c r="AX385" i="5"/>
  <c r="AY385" i="5"/>
  <c r="AX376" i="5"/>
  <c r="AY376" i="5"/>
  <c r="AX394" i="5"/>
  <c r="AY394" i="5"/>
  <c r="BC394" i="5"/>
  <c r="AX426" i="5"/>
  <c r="AY426" i="5"/>
  <c r="BC426" i="5"/>
  <c r="AX365" i="5"/>
  <c r="AY365" i="5"/>
  <c r="BC365" i="5"/>
  <c r="AX212" i="5"/>
  <c r="AY212" i="5"/>
  <c r="AY292" i="5"/>
  <c r="AX292" i="5"/>
  <c r="AY190" i="5"/>
  <c r="AX190" i="5"/>
  <c r="AX275" i="5"/>
  <c r="AY275" i="5"/>
  <c r="AX326" i="5"/>
  <c r="AY326" i="5"/>
  <c r="AY247" i="5"/>
  <c r="AX247" i="5"/>
  <c r="AY209" i="5"/>
  <c r="AX209" i="5"/>
  <c r="AY215" i="5"/>
  <c r="AX215" i="5"/>
  <c r="BC215" i="5"/>
  <c r="AY210" i="5"/>
  <c r="AX210" i="5"/>
  <c r="AX184" i="5"/>
  <c r="AY184" i="5"/>
  <c r="AX174" i="5"/>
  <c r="AY174" i="5"/>
  <c r="AY129" i="5"/>
  <c r="AX129" i="5"/>
  <c r="AY136" i="5"/>
  <c r="AX136" i="5"/>
  <c r="AX128" i="5"/>
  <c r="AY128" i="5"/>
  <c r="BC128" i="5"/>
  <c r="AX92" i="5"/>
  <c r="AY92" i="5"/>
  <c r="AX67" i="5"/>
  <c r="AY67" i="5"/>
  <c r="BC67" i="5"/>
  <c r="AY62" i="5"/>
  <c r="AX62" i="5"/>
  <c r="BC62" i="5"/>
  <c r="AX69" i="5"/>
  <c r="AY69" i="5"/>
  <c r="AX30" i="5"/>
  <c r="AY30" i="5"/>
  <c r="AY419" i="5"/>
  <c r="AX419" i="5"/>
  <c r="AY363" i="5"/>
  <c r="AX363" i="5"/>
  <c r="AY355" i="5"/>
  <c r="AX355" i="5"/>
  <c r="BC355" i="5"/>
  <c r="AX289" i="5"/>
  <c r="AY289" i="5"/>
  <c r="AY332" i="5"/>
  <c r="AX332" i="5"/>
  <c r="AX268" i="5"/>
  <c r="AY268" i="5"/>
  <c r="AX321" i="5"/>
  <c r="AY321" i="5"/>
  <c r="AY243" i="5"/>
  <c r="AX243" i="5"/>
  <c r="AY206" i="5"/>
  <c r="AX206" i="5"/>
  <c r="AY202" i="5"/>
  <c r="AX202" i="5"/>
  <c r="AY204" i="5"/>
  <c r="AX204" i="5"/>
  <c r="BC204" i="5"/>
  <c r="AX182" i="5"/>
  <c r="AY182" i="5"/>
  <c r="AY168" i="5"/>
  <c r="AX168" i="5"/>
  <c r="AY123" i="5"/>
  <c r="AX123" i="5"/>
  <c r="AY134" i="5"/>
  <c r="AX134" i="5"/>
  <c r="AX126" i="5"/>
  <c r="AY126" i="5"/>
  <c r="AY90" i="5"/>
  <c r="AX90" i="5"/>
  <c r="AX91" i="5"/>
  <c r="AY91" i="5"/>
  <c r="AY57" i="5"/>
  <c r="AX57" i="5"/>
  <c r="BC57" i="5"/>
  <c r="AY63" i="5"/>
  <c r="AX63" i="5"/>
  <c r="AY29" i="5"/>
  <c r="AX29" i="5"/>
  <c r="AY416" i="5"/>
  <c r="AX416" i="5"/>
  <c r="BC416" i="5"/>
  <c r="AY359" i="5"/>
  <c r="AX359" i="5"/>
  <c r="AX353" i="5"/>
  <c r="AY353" i="5"/>
  <c r="BC353" i="5"/>
  <c r="AX286" i="5"/>
  <c r="AY286" i="5"/>
  <c r="AX324" i="5"/>
  <c r="AY324" i="5"/>
  <c r="AX265" i="5"/>
  <c r="AY265" i="5"/>
  <c r="AX317" i="5"/>
  <c r="AY317" i="5"/>
  <c r="AY236" i="5"/>
  <c r="AX236" i="5"/>
  <c r="AX201" i="5"/>
  <c r="AY201" i="5"/>
  <c r="AY199" i="5"/>
  <c r="AX199" i="5"/>
  <c r="AY203" i="5"/>
  <c r="AX203" i="5"/>
  <c r="BC203" i="5"/>
  <c r="AY171" i="5"/>
  <c r="AX171" i="5"/>
  <c r="AY166" i="5"/>
  <c r="AX166" i="5"/>
  <c r="AX121" i="5"/>
  <c r="AY121" i="5"/>
  <c r="AY132" i="5"/>
  <c r="AX132" i="5"/>
  <c r="AY125" i="5"/>
  <c r="AX125" i="5"/>
  <c r="AX89" i="5"/>
  <c r="AY89" i="5"/>
  <c r="AX88" i="5"/>
  <c r="AY88" i="5"/>
  <c r="AY56" i="5"/>
  <c r="AX56" i="5"/>
  <c r="AX52" i="5"/>
  <c r="AY52" i="5"/>
  <c r="AY20" i="5"/>
  <c r="AX20" i="5"/>
  <c r="BC341" i="5"/>
  <c r="AY341" i="5"/>
  <c r="AX341" i="5"/>
  <c r="AX392" i="5"/>
  <c r="AY392" i="5"/>
  <c r="AY345" i="5"/>
  <c r="BC345" i="5"/>
  <c r="AX345" i="5"/>
  <c r="AY328" i="5"/>
  <c r="AX328" i="5"/>
  <c r="AX270" i="5"/>
  <c r="AY270" i="5"/>
  <c r="AY312" i="5"/>
  <c r="AX312" i="5"/>
  <c r="AY251" i="5"/>
  <c r="AX251" i="5"/>
  <c r="AY294" i="5"/>
  <c r="AX294" i="5"/>
  <c r="AX241" i="5"/>
  <c r="AY241" i="5"/>
  <c r="BC187" i="5"/>
  <c r="AX187" i="5"/>
  <c r="AY187" i="5"/>
  <c r="AX240" i="5"/>
  <c r="AY240" i="5"/>
  <c r="AY148" i="5"/>
  <c r="AX148" i="5"/>
  <c r="AX183" i="5"/>
  <c r="AY183" i="5"/>
  <c r="AX155" i="5"/>
  <c r="AY155" i="5"/>
  <c r="AX102" i="5"/>
  <c r="AY102" i="5"/>
  <c r="BC102" i="5"/>
  <c r="AX115" i="5"/>
  <c r="AY115" i="5"/>
  <c r="AX111" i="5"/>
  <c r="AY111" i="5"/>
  <c r="AX99" i="5"/>
  <c r="AY99" i="5"/>
  <c r="AX58" i="5"/>
  <c r="AY58" i="5"/>
  <c r="AY36" i="5"/>
  <c r="AX36" i="5"/>
  <c r="AY32" i="5"/>
  <c r="AX32" i="5"/>
  <c r="AX26" i="5"/>
  <c r="AY26" i="5"/>
  <c r="BC503" i="5"/>
  <c r="BC220" i="5"/>
  <c r="BC177" i="5"/>
  <c r="BC256" i="5"/>
  <c r="AX323" i="5"/>
  <c r="AY323" i="5"/>
  <c r="AX472" i="5"/>
  <c r="AY472" i="5"/>
  <c r="AX348" i="5"/>
  <c r="AY348" i="5"/>
  <c r="BC348" i="5"/>
  <c r="AX400" i="5"/>
  <c r="AY400" i="5"/>
  <c r="AY352" i="5"/>
  <c r="AX352" i="5"/>
  <c r="AY457" i="5"/>
  <c r="AX457" i="5"/>
  <c r="BC457" i="5"/>
  <c r="AY490" i="5"/>
  <c r="AX490" i="5"/>
  <c r="BC490" i="5"/>
  <c r="AY455" i="5"/>
  <c r="AX455" i="5"/>
  <c r="BC455" i="5"/>
  <c r="AY405" i="5"/>
  <c r="AX405" i="5"/>
  <c r="BC405" i="5"/>
  <c r="AY358" i="5"/>
  <c r="AX358" i="5"/>
  <c r="AX369" i="5"/>
  <c r="AY369" i="5"/>
  <c r="AX485" i="5"/>
  <c r="AY485" i="5"/>
  <c r="AX509" i="5"/>
  <c r="AY509" i="5"/>
  <c r="AX465" i="5"/>
  <c r="AY465" i="5"/>
  <c r="AY354" i="5"/>
  <c r="AX354" i="5"/>
  <c r="AX383" i="5"/>
  <c r="AY383" i="5"/>
  <c r="AX483" i="5"/>
  <c r="AY483" i="5"/>
  <c r="BC483" i="5"/>
  <c r="AX451" i="5"/>
  <c r="AY451" i="5"/>
  <c r="BC451" i="5"/>
  <c r="AX461" i="5"/>
  <c r="AY461" i="5"/>
  <c r="BC461" i="5"/>
  <c r="AY349" i="5"/>
  <c r="AX349" i="5"/>
  <c r="BC349" i="5"/>
  <c r="AX325" i="5"/>
  <c r="AY325" i="5"/>
  <c r="AY249" i="5"/>
  <c r="AX249" i="5"/>
  <c r="AY290" i="5"/>
  <c r="AX290" i="5"/>
  <c r="AY238" i="5"/>
  <c r="AX238" i="5"/>
  <c r="AY154" i="5"/>
  <c r="AX154" i="5"/>
  <c r="AX87" i="5"/>
  <c r="AY87" i="5"/>
  <c r="AX77" i="5"/>
  <c r="AY77" i="5"/>
  <c r="BC77" i="5"/>
  <c r="AY25" i="5"/>
  <c r="AX25" i="5"/>
  <c r="BC25" i="5"/>
  <c r="AY337" i="5"/>
  <c r="AX337" i="5"/>
  <c r="AX306" i="5"/>
  <c r="AY306" i="5"/>
  <c r="AY229" i="5"/>
  <c r="AX229" i="5"/>
  <c r="AY124" i="5"/>
  <c r="AX124" i="5"/>
  <c r="AX178" i="5"/>
  <c r="AY178" i="5"/>
  <c r="AY161" i="5"/>
  <c r="AX161" i="5"/>
  <c r="AY76" i="5"/>
  <c r="AX76" i="5"/>
  <c r="AY24" i="5"/>
  <c r="AX24" i="5"/>
  <c r="AY327" i="5"/>
  <c r="AX327" i="5"/>
  <c r="BC327" i="5"/>
  <c r="AX301" i="5"/>
  <c r="AY301" i="5"/>
  <c r="BC301" i="5"/>
  <c r="AY278" i="5"/>
  <c r="AX278" i="5"/>
  <c r="AY228" i="5"/>
  <c r="AX228" i="5"/>
  <c r="BC228" i="5"/>
  <c r="AY150" i="5"/>
  <c r="AX150" i="5"/>
  <c r="AY158" i="5"/>
  <c r="AX158" i="5"/>
  <c r="AY85" i="5"/>
  <c r="AX85" i="5"/>
  <c r="AX213" i="5"/>
  <c r="AY213" i="5"/>
  <c r="BC352" i="5"/>
  <c r="BE352" i="5" s="1"/>
  <c r="BC300" i="5"/>
  <c r="BE300" i="5" s="1"/>
  <c r="BC230" i="5"/>
  <c r="BD230" i="5" s="1"/>
  <c r="BC188" i="5"/>
  <c r="BE188" i="5" s="1"/>
  <c r="BC246" i="5"/>
  <c r="BD246" i="5" s="1"/>
  <c r="BC344" i="5"/>
  <c r="BE344" i="5" s="1"/>
  <c r="BC65" i="5"/>
  <c r="BD65" i="5" s="1"/>
  <c r="BC280" i="5"/>
  <c r="BC509" i="5"/>
  <c r="BC510" i="5"/>
  <c r="BC135" i="5"/>
  <c r="AX468" i="5"/>
  <c r="AY468" i="5"/>
  <c r="BC468" i="5"/>
  <c r="AY463" i="5"/>
  <c r="AX463" i="5"/>
  <c r="BC463" i="5"/>
  <c r="AX537" i="5"/>
  <c r="AY537" i="5"/>
  <c r="AY470" i="5"/>
  <c r="AX470" i="5"/>
  <c r="AY544" i="5"/>
  <c r="AX544" i="5"/>
  <c r="AY450" i="5"/>
  <c r="AX450" i="5"/>
  <c r="AX259" i="5"/>
  <c r="AY259" i="5"/>
  <c r="BC259" i="5"/>
  <c r="AX524" i="5"/>
  <c r="AY524" i="5"/>
  <c r="BC524" i="5"/>
  <c r="AY493" i="5"/>
  <c r="AX493" i="5"/>
  <c r="AX386" i="5"/>
  <c r="AY386" i="5"/>
  <c r="BC386" i="5"/>
  <c r="AY498" i="5"/>
  <c r="AX498" i="5"/>
  <c r="BC498" i="5"/>
  <c r="AY437" i="5"/>
  <c r="AX437" i="5"/>
  <c r="AX480" i="5"/>
  <c r="AY480" i="5"/>
  <c r="AY553" i="5"/>
  <c r="AX553" i="5"/>
  <c r="AX486" i="5"/>
  <c r="AY486" i="5"/>
  <c r="AY528" i="5"/>
  <c r="AX528" i="5"/>
  <c r="BC528" i="5"/>
  <c r="AY291" i="5"/>
  <c r="AX291" i="5"/>
  <c r="BC291" i="5"/>
  <c r="AX517" i="5"/>
  <c r="AY517" i="5"/>
  <c r="BC517" i="5"/>
  <c r="AX435" i="5"/>
  <c r="AY435" i="5"/>
  <c r="AX521" i="5"/>
  <c r="AY521" i="5"/>
  <c r="AY473" i="5"/>
  <c r="AX473" i="5"/>
  <c r="BC473" i="5"/>
  <c r="AX367" i="5"/>
  <c r="AY367" i="5"/>
  <c r="AX479" i="5"/>
  <c r="AY479" i="5"/>
  <c r="BC479" i="5"/>
  <c r="AY338" i="5"/>
  <c r="AX338" i="5"/>
  <c r="AX368" i="5"/>
  <c r="AY368" i="5"/>
  <c r="AX378" i="5"/>
  <c r="AY378" i="5"/>
  <c r="BC378" i="5"/>
  <c r="AY545" i="5"/>
  <c r="AX545" i="5"/>
  <c r="AY478" i="5"/>
  <c r="AX478" i="5"/>
  <c r="AX522" i="5"/>
  <c r="AY522" i="5"/>
  <c r="BC522" i="5"/>
  <c r="AX285" i="5"/>
  <c r="AY285" i="5"/>
  <c r="AY501" i="5"/>
  <c r="AX501" i="5"/>
  <c r="AY433" i="5"/>
  <c r="AX433" i="5"/>
  <c r="BC433" i="5"/>
  <c r="AY520" i="5"/>
  <c r="AX520" i="5"/>
  <c r="AY469" i="5"/>
  <c r="AX469" i="5"/>
  <c r="AX361" i="5"/>
  <c r="AY361" i="5"/>
  <c r="BC361" i="5"/>
  <c r="AY477" i="5"/>
  <c r="AX477" i="5"/>
  <c r="AY410" i="5"/>
  <c r="BC410" i="5"/>
  <c r="AX410" i="5"/>
  <c r="AY362" i="5"/>
  <c r="AX362" i="5"/>
  <c r="AX374" i="5"/>
  <c r="BC374" i="5"/>
  <c r="AY374" i="5"/>
  <c r="AY543" i="5"/>
  <c r="AX543" i="5"/>
  <c r="AY475" i="5"/>
  <c r="AX475" i="5"/>
  <c r="BC475" i="5"/>
  <c r="AX516" i="5"/>
  <c r="AY516" i="5"/>
  <c r="AY279" i="5"/>
  <c r="AX279" i="5"/>
  <c r="AY496" i="5"/>
  <c r="AX496" i="5"/>
  <c r="BC496" i="5"/>
  <c r="AX425" i="5"/>
  <c r="AY425" i="5"/>
  <c r="BC425" i="5"/>
  <c r="AY518" i="5"/>
  <c r="AX518" i="5"/>
  <c r="BC518" i="5"/>
  <c r="AX466" i="5"/>
  <c r="AY466" i="5"/>
  <c r="AY288" i="5"/>
  <c r="AX288" i="5"/>
  <c r="AX476" i="5"/>
  <c r="AY476" i="5"/>
  <c r="AX409" i="5"/>
  <c r="AY409" i="5"/>
  <c r="BC409" i="5"/>
  <c r="AY343" i="5"/>
  <c r="AX343" i="5"/>
  <c r="BC343" i="5"/>
  <c r="AX366" i="5"/>
  <c r="AY366" i="5"/>
  <c r="BC366" i="5"/>
  <c r="AX412" i="5"/>
  <c r="AY412" i="5"/>
  <c r="AX356" i="5"/>
  <c r="AY356" i="5"/>
  <c r="AX340" i="5"/>
  <c r="AY340" i="5"/>
  <c r="AX277" i="5"/>
  <c r="AY277" i="5"/>
  <c r="AY320" i="5"/>
  <c r="AX320" i="5"/>
  <c r="AY257" i="5"/>
  <c r="AX257" i="5"/>
  <c r="BC257" i="5"/>
  <c r="AY305" i="5"/>
  <c r="AX305" i="5"/>
  <c r="AX211" i="5"/>
  <c r="AY211" i="5"/>
  <c r="AX193" i="5"/>
  <c r="AY193" i="5"/>
  <c r="AX167" i="5"/>
  <c r="AY167" i="5"/>
  <c r="AX194" i="5"/>
  <c r="AY194" i="5"/>
  <c r="AX165" i="5"/>
  <c r="AY165" i="5"/>
  <c r="BC165" i="5"/>
  <c r="AX159" i="5"/>
  <c r="AY159" i="5"/>
  <c r="AX110" i="5"/>
  <c r="AY110" i="5"/>
  <c r="AX127" i="5"/>
  <c r="AY127" i="5"/>
  <c r="AX118" i="5"/>
  <c r="AY118" i="5"/>
  <c r="AX109" i="5"/>
  <c r="AY109" i="5"/>
  <c r="AX74" i="5"/>
  <c r="AY74" i="5"/>
  <c r="AX50" i="5"/>
  <c r="AY50" i="5"/>
  <c r="AX42" i="5"/>
  <c r="AY42" i="5"/>
  <c r="AX43" i="5"/>
  <c r="AY43" i="5"/>
  <c r="AX408" i="5"/>
  <c r="AY408" i="5"/>
  <c r="BC408" i="5"/>
  <c r="AX350" i="5"/>
  <c r="AY350" i="5"/>
  <c r="BC350" i="5"/>
  <c r="AY334" i="5"/>
  <c r="AX334" i="5"/>
  <c r="BC334" i="5"/>
  <c r="AY276" i="5"/>
  <c r="AX276" i="5"/>
  <c r="AX315" i="5"/>
  <c r="AY315" i="5"/>
  <c r="AY255" i="5"/>
  <c r="AX255" i="5"/>
  <c r="AX302" i="5"/>
  <c r="AY302" i="5"/>
  <c r="AX208" i="5"/>
  <c r="AY208" i="5"/>
  <c r="AX192" i="5"/>
  <c r="AY192" i="5"/>
  <c r="BC192" i="5"/>
  <c r="AX244" i="5"/>
  <c r="AY244" i="5"/>
  <c r="BC244" i="5"/>
  <c r="AX162" i="5"/>
  <c r="AY162" i="5"/>
  <c r="BC162" i="5"/>
  <c r="AY137" i="5"/>
  <c r="AX137" i="5"/>
  <c r="AX139" i="5"/>
  <c r="AY139" i="5"/>
  <c r="AX108" i="5"/>
  <c r="AY108" i="5"/>
  <c r="AY122" i="5"/>
  <c r="AX122" i="5"/>
  <c r="AY117" i="5"/>
  <c r="AX117" i="5"/>
  <c r="AY104" i="5"/>
  <c r="AX104" i="5"/>
  <c r="AY73" i="5"/>
  <c r="AX73" i="5"/>
  <c r="AY49" i="5"/>
  <c r="AX49" i="5"/>
  <c r="AY39" i="5"/>
  <c r="AX39" i="5"/>
  <c r="AX37" i="5"/>
  <c r="AY37" i="5"/>
  <c r="AX399" i="5"/>
  <c r="AY399" i="5"/>
  <c r="BC399" i="5"/>
  <c r="AX346" i="5"/>
  <c r="AY346" i="5"/>
  <c r="AX333" i="5"/>
  <c r="AY333" i="5"/>
  <c r="BC333" i="5"/>
  <c r="AY273" i="5"/>
  <c r="AX273" i="5"/>
  <c r="AY314" i="5"/>
  <c r="AX314" i="5"/>
  <c r="AX254" i="5"/>
  <c r="AY254" i="5"/>
  <c r="BC254" i="5"/>
  <c r="AY298" i="5"/>
  <c r="AX298" i="5"/>
  <c r="AY163" i="5"/>
  <c r="AX163" i="5"/>
  <c r="AX189" i="5"/>
  <c r="AY189" i="5"/>
  <c r="AX242" i="5"/>
  <c r="AY242" i="5"/>
  <c r="AY160" i="5"/>
  <c r="AX160" i="5"/>
  <c r="AY119" i="5"/>
  <c r="AX119" i="5"/>
  <c r="AX113" i="5"/>
  <c r="AY113" i="5"/>
  <c r="AY105" i="5"/>
  <c r="AX105" i="5"/>
  <c r="AX116" i="5"/>
  <c r="AY116" i="5"/>
  <c r="AX112" i="5"/>
  <c r="AY112" i="5"/>
  <c r="AY101" i="5"/>
  <c r="AX101" i="5"/>
  <c r="AY68" i="5"/>
  <c r="AX68" i="5"/>
  <c r="AX47" i="5"/>
  <c r="AY47" i="5"/>
  <c r="AX35" i="5"/>
  <c r="AY35" i="5"/>
  <c r="AX31" i="5"/>
  <c r="AY31" i="5"/>
  <c r="AX271" i="5"/>
  <c r="AY271" i="5"/>
  <c r="AX380" i="5"/>
  <c r="AY380" i="5"/>
  <c r="BC380" i="5"/>
  <c r="AX313" i="5"/>
  <c r="AY313" i="5"/>
  <c r="AY311" i="5"/>
  <c r="AX311" i="5"/>
  <c r="AY252" i="5"/>
  <c r="AX252" i="5"/>
  <c r="BC252" i="5"/>
  <c r="AY295" i="5"/>
  <c r="AX295" i="5"/>
  <c r="AX225" i="5"/>
  <c r="AY225" i="5"/>
  <c r="AX272" i="5"/>
  <c r="AY272" i="5"/>
  <c r="AY224" i="5"/>
  <c r="AX224" i="5"/>
  <c r="AX169" i="5"/>
  <c r="AY169" i="5"/>
  <c r="AX226" i="5"/>
  <c r="AY226" i="5"/>
  <c r="AY205" i="5"/>
  <c r="AX205" i="5"/>
  <c r="BC205" i="5"/>
  <c r="AX156" i="5"/>
  <c r="AY156" i="5"/>
  <c r="AY147" i="5"/>
  <c r="AX147" i="5"/>
  <c r="AY157" i="5"/>
  <c r="AX157" i="5"/>
  <c r="AX152" i="5"/>
  <c r="AY152" i="5"/>
  <c r="AY107" i="5"/>
  <c r="AX107" i="5"/>
  <c r="AY81" i="5"/>
  <c r="AX81" i="5"/>
  <c r="AY40" i="5"/>
  <c r="AX40" i="5"/>
  <c r="AY59" i="5"/>
  <c r="AX59" i="5"/>
  <c r="BC46" i="5"/>
  <c r="AY46" i="5"/>
  <c r="AX46" i="5"/>
  <c r="BC372" i="5"/>
  <c r="BC200" i="5"/>
  <c r="BC50" i="5"/>
  <c r="BC107" i="5"/>
  <c r="BC303" i="5"/>
  <c r="BC123" i="5"/>
  <c r="BC322" i="5"/>
  <c r="AL165" i="5"/>
  <c r="AL153" i="5"/>
  <c r="AK156" i="5"/>
  <c r="BE48" i="5"/>
  <c r="AU12" i="5"/>
  <c r="AV12" i="5"/>
  <c r="BC12" i="5"/>
  <c r="AK49" i="5"/>
  <c r="AK28" i="5"/>
  <c r="BE55" i="5"/>
  <c r="BD35" i="5"/>
  <c r="BE198" i="5"/>
  <c r="BE237" i="5"/>
  <c r="AY12" i="5"/>
  <c r="AX12" i="5"/>
  <c r="AK13" i="5"/>
  <c r="AL13" i="5"/>
  <c r="BE195" i="5"/>
  <c r="BE127" i="5"/>
  <c r="BE82" i="5"/>
  <c r="BD100" i="5"/>
  <c r="BE114" i="5"/>
  <c r="BD86" i="5"/>
  <c r="BE133" i="5"/>
  <c r="U12" i="5"/>
  <c r="V12" i="5"/>
  <c r="BD287" i="5"/>
  <c r="BE53" i="5"/>
  <c r="BD59" i="5"/>
  <c r="BA12" i="5"/>
  <c r="BB12" i="5"/>
  <c r="AL516" i="5"/>
  <c r="AK516" i="5"/>
  <c r="AL290" i="5"/>
  <c r="AK290" i="5"/>
  <c r="AL243" i="5"/>
  <c r="AK243" i="5"/>
  <c r="AL374" i="5"/>
  <c r="AK374" i="5"/>
  <c r="AK151" i="5"/>
  <c r="AL151" i="5"/>
  <c r="AL152" i="5"/>
  <c r="AK152" i="5"/>
  <c r="AK65" i="5"/>
  <c r="AL65" i="5"/>
  <c r="AK489" i="5"/>
  <c r="AL489" i="5"/>
  <c r="AK515" i="5"/>
  <c r="AL515" i="5"/>
  <c r="AL377" i="5"/>
  <c r="AK377" i="5"/>
  <c r="AL134" i="5"/>
  <c r="AK134" i="5"/>
  <c r="AL342" i="5"/>
  <c r="AK342" i="5"/>
  <c r="AK463" i="5"/>
  <c r="AL463" i="5"/>
  <c r="AL323" i="5"/>
  <c r="AK323" i="5"/>
  <c r="AK281" i="5"/>
  <c r="AL281" i="5"/>
  <c r="AK163" i="5"/>
  <c r="AL163" i="5"/>
  <c r="AL175" i="5"/>
  <c r="AK175" i="5"/>
  <c r="AL474" i="5"/>
  <c r="AK474" i="5"/>
  <c r="AL466" i="5"/>
  <c r="AK466" i="5"/>
  <c r="AK400" i="5"/>
  <c r="AL400" i="5"/>
  <c r="AK453" i="5"/>
  <c r="AL453" i="5"/>
  <c r="AL546" i="5"/>
  <c r="AK546" i="5"/>
  <c r="AL413" i="5"/>
  <c r="AK413" i="5"/>
  <c r="AK491" i="5"/>
  <c r="AL491" i="5"/>
  <c r="AK258" i="5"/>
  <c r="AL258" i="5"/>
  <c r="AL300" i="5"/>
  <c r="AK300" i="5"/>
  <c r="AK196" i="5"/>
  <c r="AL196" i="5"/>
  <c r="AK359" i="5"/>
  <c r="AL359" i="5"/>
  <c r="AK206" i="5"/>
  <c r="AL206" i="5"/>
  <c r="AK207" i="5"/>
  <c r="AL207" i="5"/>
  <c r="AL467" i="5"/>
  <c r="AK467" i="5"/>
  <c r="AK385" i="5"/>
  <c r="AL385" i="5"/>
  <c r="AK462" i="5"/>
  <c r="AL462" i="5"/>
  <c r="AL244" i="5"/>
  <c r="AK244" i="5"/>
  <c r="AL160" i="5"/>
  <c r="AK160" i="5"/>
  <c r="AL495" i="5"/>
  <c r="AK495" i="5"/>
  <c r="AK501" i="5"/>
  <c r="AL501" i="5"/>
  <c r="AK267" i="5"/>
  <c r="AL267" i="5"/>
  <c r="AL217" i="5"/>
  <c r="AK217" i="5"/>
  <c r="AK63" i="5"/>
  <c r="AL63" i="5"/>
  <c r="AK465" i="5"/>
  <c r="AL465" i="5"/>
  <c r="AK531" i="5"/>
  <c r="AL531" i="5"/>
  <c r="AL337" i="5"/>
  <c r="AK337" i="5"/>
  <c r="AK21" i="5"/>
  <c r="AL21" i="5"/>
  <c r="AL114" i="5"/>
  <c r="AK114" i="5"/>
  <c r="AL420" i="5"/>
  <c r="AK420" i="5"/>
  <c r="AK481" i="5"/>
  <c r="AL481" i="5"/>
  <c r="AK279" i="5"/>
  <c r="AL279" i="5"/>
  <c r="AK37" i="5"/>
  <c r="AL37" i="5"/>
  <c r="AL430" i="5"/>
  <c r="AK430" i="5"/>
  <c r="AK346" i="5"/>
  <c r="AL346" i="5"/>
  <c r="AK423" i="5"/>
  <c r="AL423" i="5"/>
  <c r="AL177" i="5"/>
  <c r="AK177" i="5"/>
  <c r="AK92" i="5"/>
  <c r="AL92" i="5"/>
  <c r="AL102" i="5"/>
  <c r="AK102" i="5"/>
  <c r="AL140" i="5"/>
  <c r="AK140" i="5"/>
  <c r="AL112" i="5"/>
  <c r="AK112" i="5"/>
  <c r="AL484" i="5"/>
  <c r="AK484" i="5"/>
  <c r="AK556" i="5"/>
  <c r="AL556" i="5"/>
  <c r="AL412" i="5"/>
  <c r="AK412" i="5"/>
  <c r="AK558" i="5"/>
  <c r="AL558" i="5"/>
  <c r="AK370" i="5"/>
  <c r="AL370" i="5"/>
  <c r="AK553" i="5"/>
  <c r="AL553" i="5"/>
  <c r="AL476" i="5"/>
  <c r="AK476" i="5"/>
  <c r="AL552" i="5"/>
  <c r="AK552" i="5"/>
  <c r="AL443" i="5"/>
  <c r="AK443" i="5"/>
  <c r="AK425" i="5"/>
  <c r="AL425" i="5"/>
  <c r="AL245" i="5"/>
  <c r="AK245" i="5"/>
  <c r="AL313" i="5"/>
  <c r="AK313" i="5"/>
  <c r="AK224" i="5"/>
  <c r="AL224" i="5"/>
  <c r="AK25" i="5"/>
  <c r="AL25" i="5"/>
  <c r="AL171" i="5"/>
  <c r="AK171" i="5"/>
  <c r="AK159" i="5"/>
  <c r="AL159" i="5"/>
  <c r="AL120" i="5"/>
  <c r="AK120" i="5"/>
  <c r="AK201" i="5"/>
  <c r="AL201" i="5"/>
  <c r="AL455" i="5"/>
  <c r="AK455" i="5"/>
  <c r="AK452" i="5"/>
  <c r="AL452" i="5"/>
  <c r="AK410" i="5"/>
  <c r="AL410" i="5"/>
  <c r="AK422" i="5"/>
  <c r="AL422" i="5"/>
  <c r="AK503" i="5"/>
  <c r="AL503" i="5"/>
  <c r="AK352" i="5"/>
  <c r="AL352" i="5"/>
  <c r="AL470" i="5"/>
  <c r="AK470" i="5"/>
  <c r="AK257" i="5"/>
  <c r="AL257" i="5"/>
  <c r="AL322" i="5"/>
  <c r="AK322" i="5"/>
  <c r="AK363" i="5"/>
  <c r="AL363" i="5"/>
  <c r="AK142" i="5"/>
  <c r="AL142" i="5"/>
  <c r="AL211" i="5"/>
  <c r="AK211" i="5"/>
  <c r="AK32" i="5"/>
  <c r="AL32" i="5"/>
  <c r="AK110" i="5"/>
  <c r="AL110" i="5"/>
  <c r="AL85" i="5"/>
  <c r="AK85" i="5"/>
  <c r="AK86" i="5"/>
  <c r="AL86" i="5"/>
  <c r="AK554" i="5"/>
  <c r="AL554" i="5"/>
  <c r="AK111" i="5"/>
  <c r="AL111" i="5"/>
  <c r="AL428" i="5"/>
  <c r="AK428" i="5"/>
  <c r="AL436" i="5"/>
  <c r="AK436" i="5"/>
  <c r="AK402" i="5"/>
  <c r="AL402" i="5"/>
  <c r="AK406" i="5"/>
  <c r="AL406" i="5"/>
  <c r="AK490" i="5"/>
  <c r="AL490" i="5"/>
  <c r="AK327" i="5"/>
  <c r="AL327" i="5"/>
  <c r="AL456" i="5"/>
  <c r="AK456" i="5"/>
  <c r="AK135" i="5"/>
  <c r="AL135" i="5"/>
  <c r="AK310" i="5"/>
  <c r="AL310" i="5"/>
  <c r="AK347" i="5"/>
  <c r="AL347" i="5"/>
  <c r="AL39" i="5"/>
  <c r="AK39" i="5"/>
  <c r="AK197" i="5"/>
  <c r="AL197" i="5"/>
  <c r="AK368" i="5"/>
  <c r="AL368" i="5"/>
  <c r="AK538" i="5"/>
  <c r="AL538" i="5"/>
  <c r="AK477" i="5"/>
  <c r="AL477" i="5"/>
  <c r="AK415" i="5"/>
  <c r="AL415" i="5"/>
  <c r="AL266" i="5"/>
  <c r="AK266" i="5"/>
  <c r="AK395" i="5"/>
  <c r="AL395" i="5"/>
  <c r="AK331" i="5"/>
  <c r="AL331" i="5"/>
  <c r="AK213" i="5"/>
  <c r="AL213" i="5"/>
  <c r="AL527" i="5"/>
  <c r="AK527" i="5"/>
  <c r="AL475" i="5"/>
  <c r="AK475" i="5"/>
  <c r="AK367" i="5"/>
  <c r="AL367" i="5"/>
  <c r="AK287" i="5"/>
  <c r="AL287" i="5"/>
  <c r="AL305" i="5"/>
  <c r="AK305" i="5"/>
  <c r="AL250" i="5"/>
  <c r="AK250" i="5"/>
  <c r="AL178" i="5"/>
  <c r="AK178" i="5"/>
  <c r="AK214" i="5"/>
  <c r="AL214" i="5"/>
  <c r="AK99" i="5"/>
  <c r="AL99" i="5"/>
  <c r="AL284" i="5"/>
  <c r="AK284" i="5"/>
  <c r="AL215" i="5"/>
  <c r="AK215" i="5"/>
  <c r="AL170" i="5"/>
  <c r="AK170" i="5"/>
  <c r="AK50" i="5"/>
  <c r="AL50" i="5"/>
  <c r="AL306" i="5"/>
  <c r="AK306" i="5"/>
  <c r="AK23" i="5"/>
  <c r="AL23" i="5"/>
  <c r="AL511" i="5"/>
  <c r="AK511" i="5"/>
  <c r="AK398" i="5"/>
  <c r="AL398" i="5"/>
  <c r="AK343" i="5"/>
  <c r="AL343" i="5"/>
  <c r="AL227" i="5"/>
  <c r="AK227" i="5"/>
  <c r="AL278" i="5"/>
  <c r="AK278" i="5"/>
  <c r="AL234" i="5"/>
  <c r="AK234" i="5"/>
  <c r="AK30" i="5"/>
  <c r="AL30" i="5"/>
  <c r="AK190" i="5"/>
  <c r="AL190" i="5"/>
  <c r="AL326" i="5"/>
  <c r="AK326" i="5"/>
  <c r="AK259" i="5"/>
  <c r="AL259" i="5"/>
  <c r="AK189" i="5"/>
  <c r="AL189" i="5"/>
  <c r="AK133" i="5"/>
  <c r="AL133" i="5"/>
  <c r="AK157" i="5"/>
  <c r="AL157" i="5"/>
  <c r="AK209" i="5"/>
  <c r="AL209" i="5"/>
  <c r="AK514" i="5"/>
  <c r="AL514" i="5"/>
  <c r="AL451" i="5"/>
  <c r="AK451" i="5"/>
  <c r="AL389" i="5"/>
  <c r="AK389" i="5"/>
  <c r="AL433" i="5"/>
  <c r="AK433" i="5"/>
  <c r="AL365" i="5"/>
  <c r="AK365" i="5"/>
  <c r="AL301" i="5"/>
  <c r="AK301" i="5"/>
  <c r="AL559" i="5"/>
  <c r="AK559" i="5"/>
  <c r="AK509" i="5"/>
  <c r="AL509" i="5"/>
  <c r="AK396" i="5"/>
  <c r="AL396" i="5"/>
  <c r="AK339" i="5"/>
  <c r="AL339" i="5"/>
  <c r="AK194" i="5"/>
  <c r="AL194" i="5"/>
  <c r="AL276" i="5"/>
  <c r="AK276" i="5"/>
  <c r="AL231" i="5"/>
  <c r="AK231" i="5"/>
  <c r="AK20" i="5"/>
  <c r="AL20" i="5"/>
  <c r="AK186" i="5"/>
  <c r="AL186" i="5"/>
  <c r="AK319" i="5"/>
  <c r="AL319" i="5"/>
  <c r="AK255" i="5"/>
  <c r="AL255" i="5"/>
  <c r="AK185" i="5"/>
  <c r="AL185" i="5"/>
  <c r="AK129" i="5"/>
  <c r="AL129" i="5"/>
  <c r="AK141" i="5"/>
  <c r="AL141" i="5"/>
  <c r="AL38" i="5"/>
  <c r="AK38" i="5"/>
  <c r="AK358" i="5"/>
  <c r="AL358" i="5"/>
  <c r="AL448" i="5"/>
  <c r="AK448" i="5"/>
  <c r="AL69" i="5"/>
  <c r="AK69" i="5"/>
  <c r="AK103" i="5"/>
  <c r="AL103" i="5"/>
  <c r="AK505" i="5"/>
  <c r="AL505" i="5"/>
  <c r="AL26" i="5"/>
  <c r="AK26" i="5"/>
  <c r="AK122" i="5"/>
  <c r="AL122" i="5"/>
  <c r="AL460" i="5"/>
  <c r="AK460" i="5"/>
  <c r="AL440" i="5"/>
  <c r="AK440" i="5"/>
  <c r="AL472" i="5"/>
  <c r="AK472" i="5"/>
  <c r="AK328" i="5"/>
  <c r="AL328" i="5"/>
  <c r="AK226" i="5"/>
  <c r="AL226" i="5"/>
  <c r="AL81" i="5"/>
  <c r="AK81" i="5"/>
  <c r="AK285" i="5"/>
  <c r="AL285" i="5"/>
  <c r="AL479" i="5"/>
  <c r="AK479" i="5"/>
  <c r="AL502" i="5"/>
  <c r="AK502" i="5"/>
  <c r="AL469" i="5"/>
  <c r="AK469" i="5"/>
  <c r="AK53" i="5"/>
  <c r="AL53" i="5"/>
  <c r="AK488" i="5"/>
  <c r="AL488" i="5"/>
  <c r="AK341" i="5"/>
  <c r="AL341" i="5"/>
  <c r="AK265" i="5"/>
  <c r="AL265" i="5"/>
  <c r="AL493" i="5"/>
  <c r="AK493" i="5"/>
  <c r="AK298" i="5"/>
  <c r="AL298" i="5"/>
  <c r="AL249" i="5"/>
  <c r="AK249" i="5"/>
  <c r="AL379" i="5"/>
  <c r="AK379" i="5"/>
  <c r="AK320" i="5"/>
  <c r="AL320" i="5"/>
  <c r="AL229" i="5"/>
  <c r="AK229" i="5"/>
  <c r="AK228" i="5"/>
  <c r="AL228" i="5"/>
  <c r="AK82" i="5"/>
  <c r="AL82" i="5"/>
  <c r="AL464" i="5"/>
  <c r="AK464" i="5"/>
  <c r="AL294" i="5"/>
  <c r="AK294" i="5"/>
  <c r="AK76" i="5"/>
  <c r="AL76" i="5"/>
  <c r="AL275" i="5"/>
  <c r="AK275" i="5"/>
  <c r="AK34" i="5"/>
  <c r="AL34" i="5"/>
  <c r="AL530" i="5"/>
  <c r="AK530" i="5"/>
  <c r="AK253" i="5"/>
  <c r="AL253" i="5"/>
  <c r="AK127" i="5"/>
  <c r="AL127" i="5"/>
  <c r="AL355" i="5"/>
  <c r="AK355" i="5"/>
  <c r="AK292" i="5"/>
  <c r="AL292" i="5"/>
  <c r="AL202" i="5"/>
  <c r="AK202" i="5"/>
  <c r="AK270" i="5"/>
  <c r="AL270" i="5"/>
  <c r="AK29" i="5"/>
  <c r="AL29" i="5"/>
  <c r="AL68" i="5"/>
  <c r="AK68" i="5"/>
  <c r="AL369" i="5"/>
  <c r="AK369" i="5"/>
  <c r="AK155" i="5"/>
  <c r="AL155" i="5"/>
  <c r="AL48" i="5"/>
  <c r="AK48" i="5"/>
  <c r="AL391" i="5"/>
  <c r="AK391" i="5"/>
  <c r="AK94" i="5"/>
  <c r="AL94" i="5"/>
  <c r="AK557" i="5"/>
  <c r="AL557" i="5"/>
  <c r="AK384" i="5"/>
  <c r="AL384" i="5"/>
  <c r="AK390" i="5"/>
  <c r="AL390" i="5"/>
  <c r="AL96" i="5"/>
  <c r="AK96" i="5"/>
  <c r="AK47" i="5"/>
  <c r="AL47" i="5"/>
  <c r="AK382" i="5"/>
  <c r="AL382" i="5"/>
  <c r="AK295" i="5"/>
  <c r="AL295" i="5"/>
  <c r="AL330" i="5"/>
  <c r="AK330" i="5"/>
  <c r="AK118" i="5"/>
  <c r="AL118" i="5"/>
  <c r="AK522" i="5"/>
  <c r="AL522" i="5"/>
  <c r="AK537" i="5"/>
  <c r="AL537" i="5"/>
  <c r="AK405" i="5"/>
  <c r="AL405" i="5"/>
  <c r="AK113" i="5"/>
  <c r="AL113" i="5"/>
  <c r="AK35" i="5"/>
  <c r="AL35" i="5"/>
  <c r="AK126" i="5"/>
  <c r="AL126" i="5"/>
  <c r="AL8" i="5"/>
  <c r="AK8" i="5"/>
  <c r="AL54" i="5"/>
  <c r="AK54" i="5"/>
  <c r="AK414" i="5"/>
  <c r="AL414" i="5"/>
  <c r="AK518" i="5"/>
  <c r="AL518" i="5"/>
  <c r="AK364" i="5"/>
  <c r="AL364" i="5"/>
  <c r="AK482" i="5"/>
  <c r="AL482" i="5"/>
  <c r="AK338" i="5"/>
  <c r="AL338" i="5"/>
  <c r="AK521" i="5"/>
  <c r="AL521" i="5"/>
  <c r="AK445" i="5"/>
  <c r="AL445" i="5"/>
  <c r="AK536" i="5"/>
  <c r="AL536" i="5"/>
  <c r="AK411" i="5"/>
  <c r="AL411" i="5"/>
  <c r="AK392" i="5"/>
  <c r="AL392" i="5"/>
  <c r="AL535" i="5"/>
  <c r="AK535" i="5"/>
  <c r="AL316" i="5"/>
  <c r="AK316" i="5"/>
  <c r="AL123" i="5"/>
  <c r="AK123" i="5"/>
  <c r="AL80" i="5"/>
  <c r="AK80" i="5"/>
  <c r="AK106" i="5"/>
  <c r="AL106" i="5"/>
  <c r="AL70" i="5"/>
  <c r="AK70" i="5"/>
  <c r="AK457" i="5"/>
  <c r="AL457" i="5"/>
  <c r="AK534" i="5"/>
  <c r="AL534" i="5"/>
  <c r="AK404" i="5"/>
  <c r="AL404" i="5"/>
  <c r="AL545" i="5"/>
  <c r="AK545" i="5"/>
  <c r="AL362" i="5"/>
  <c r="AK362" i="5"/>
  <c r="AK549" i="5"/>
  <c r="AL549" i="5"/>
  <c r="AL471" i="5"/>
  <c r="AK471" i="5"/>
  <c r="AK550" i="5"/>
  <c r="AL550" i="5"/>
  <c r="AL439" i="5"/>
  <c r="AK439" i="5"/>
  <c r="AL421" i="5"/>
  <c r="AK421" i="5"/>
  <c r="AK205" i="5"/>
  <c r="AL205" i="5"/>
  <c r="AK282" i="5"/>
  <c r="AL282" i="5"/>
  <c r="AK210" i="5"/>
  <c r="AL210" i="5"/>
  <c r="AL168" i="5"/>
  <c r="AK168" i="5"/>
  <c r="AK79" i="5"/>
  <c r="AL79" i="5"/>
  <c r="AK191" i="5"/>
  <c r="AL191" i="5"/>
  <c r="AL124" i="5"/>
  <c r="AK124" i="5"/>
  <c r="AK31" i="5"/>
  <c r="AL31" i="5"/>
  <c r="AK444" i="5"/>
  <c r="AL444" i="5"/>
  <c r="AL526" i="5"/>
  <c r="AK526" i="5"/>
  <c r="AL380" i="5"/>
  <c r="AK380" i="5"/>
  <c r="AK528" i="5"/>
  <c r="AL528" i="5"/>
  <c r="AL354" i="5"/>
  <c r="AK354" i="5"/>
  <c r="AL541" i="5"/>
  <c r="AK541" i="5"/>
  <c r="AL458" i="5"/>
  <c r="AK458" i="5"/>
  <c r="AK544" i="5"/>
  <c r="AL544" i="5"/>
  <c r="AK427" i="5"/>
  <c r="AL427" i="5"/>
  <c r="AL409" i="5"/>
  <c r="AK409" i="5"/>
  <c r="AK60" i="5"/>
  <c r="AL60" i="5"/>
  <c r="AK237" i="5"/>
  <c r="AL237" i="5"/>
  <c r="AK192" i="5"/>
  <c r="AL192" i="5"/>
  <c r="AL150" i="5"/>
  <c r="AK150" i="5"/>
  <c r="AL336" i="5"/>
  <c r="AK336" i="5"/>
  <c r="AK524" i="5"/>
  <c r="AL524" i="5"/>
  <c r="AL461" i="5"/>
  <c r="AK461" i="5"/>
  <c r="AL399" i="5"/>
  <c r="AK399" i="5"/>
  <c r="AK232" i="5"/>
  <c r="AL232" i="5"/>
  <c r="AK381" i="5"/>
  <c r="AL381" i="5"/>
  <c r="AL314" i="5"/>
  <c r="AK314" i="5"/>
  <c r="AL95" i="5"/>
  <c r="AK95" i="5"/>
  <c r="AL517" i="5"/>
  <c r="AK517" i="5"/>
  <c r="AL459" i="5"/>
  <c r="AK459" i="5"/>
  <c r="AL351" i="5"/>
  <c r="AK351" i="5"/>
  <c r="AK247" i="5"/>
  <c r="AL247" i="5"/>
  <c r="AL289" i="5"/>
  <c r="AK289" i="5"/>
  <c r="AK241" i="5"/>
  <c r="AL241" i="5"/>
  <c r="AK57" i="5"/>
  <c r="AL57" i="5"/>
  <c r="AL198" i="5"/>
  <c r="AK198" i="5"/>
  <c r="AL46" i="5"/>
  <c r="AK46" i="5"/>
  <c r="AL268" i="5"/>
  <c r="AK268" i="5"/>
  <c r="AL199" i="5"/>
  <c r="AK199" i="5"/>
  <c r="AL154" i="5"/>
  <c r="AK154" i="5"/>
  <c r="AK173" i="5"/>
  <c r="AL173" i="5"/>
  <c r="AK274" i="5"/>
  <c r="AL274" i="5"/>
  <c r="AK547" i="5"/>
  <c r="AL547" i="5"/>
  <c r="AK496" i="5"/>
  <c r="AL496" i="5"/>
  <c r="AK388" i="5"/>
  <c r="AL388" i="5"/>
  <c r="AK325" i="5"/>
  <c r="AL325" i="5"/>
  <c r="AK119" i="5"/>
  <c r="AL119" i="5"/>
  <c r="AL262" i="5"/>
  <c r="AK262" i="5"/>
  <c r="AK216" i="5"/>
  <c r="AL216" i="5"/>
  <c r="AK238" i="5"/>
  <c r="AL238" i="5"/>
  <c r="AL148" i="5"/>
  <c r="AK148" i="5"/>
  <c r="AL307" i="5"/>
  <c r="AK307" i="5"/>
  <c r="AK239" i="5"/>
  <c r="AL239" i="5"/>
  <c r="AK89" i="5"/>
  <c r="AL89" i="5"/>
  <c r="AK101" i="5"/>
  <c r="AL101" i="5"/>
  <c r="AK59" i="5"/>
  <c r="AL59" i="5"/>
  <c r="AK548" i="5"/>
  <c r="AL548" i="5"/>
  <c r="AK499" i="5"/>
  <c r="AL499" i="5"/>
  <c r="AL435" i="5"/>
  <c r="AK435" i="5"/>
  <c r="AK303" i="5"/>
  <c r="AL303" i="5"/>
  <c r="AL417" i="5"/>
  <c r="AK417" i="5"/>
  <c r="AK349" i="5"/>
  <c r="AL349" i="5"/>
  <c r="AL269" i="5"/>
  <c r="AK269" i="5"/>
  <c r="AK543" i="5"/>
  <c r="AL543" i="5"/>
  <c r="AK494" i="5"/>
  <c r="AL494" i="5"/>
  <c r="AL383" i="5"/>
  <c r="AK383" i="5"/>
  <c r="AK321" i="5"/>
  <c r="AL321" i="5"/>
  <c r="AK324" i="5"/>
  <c r="AL324" i="5"/>
  <c r="AK260" i="5"/>
  <c r="AL260" i="5"/>
  <c r="AL212" i="5"/>
  <c r="AK212" i="5"/>
  <c r="AK235" i="5"/>
  <c r="AL235" i="5"/>
  <c r="AL139" i="5"/>
  <c r="AK139" i="5"/>
  <c r="AK302" i="5"/>
  <c r="AL302" i="5"/>
  <c r="AL233" i="5"/>
  <c r="AK233" i="5"/>
  <c r="AL62" i="5"/>
  <c r="AK62" i="5"/>
  <c r="AK97" i="5"/>
  <c r="AL97" i="5"/>
  <c r="AK33" i="5"/>
  <c r="AL33" i="5"/>
  <c r="AL432" i="5"/>
  <c r="AK432" i="5"/>
  <c r="AK88" i="5"/>
  <c r="AL88" i="5"/>
  <c r="AK280" i="5"/>
  <c r="AL280" i="5"/>
  <c r="AK19" i="5"/>
  <c r="AL19" i="5"/>
  <c r="AK137" i="5"/>
  <c r="AL137" i="5"/>
  <c r="AK542" i="5"/>
  <c r="AL542" i="5"/>
  <c r="AK74" i="5"/>
  <c r="AL74" i="5"/>
  <c r="AK149" i="5"/>
  <c r="AL149" i="5"/>
  <c r="AK272" i="5"/>
  <c r="AL272" i="5"/>
  <c r="AK418" i="5"/>
  <c r="AL418" i="5"/>
  <c r="AK360" i="5"/>
  <c r="AL360" i="5"/>
  <c r="AK261" i="5"/>
  <c r="AL261" i="5"/>
  <c r="AK204" i="5"/>
  <c r="AL204" i="5"/>
  <c r="AK116" i="5"/>
  <c r="AL116" i="5"/>
  <c r="AK487" i="5"/>
  <c r="AL487" i="5"/>
  <c r="AL438" i="5"/>
  <c r="AK438" i="5"/>
  <c r="AL416" i="5"/>
  <c r="AK416" i="5"/>
  <c r="AK353" i="5"/>
  <c r="AL353" i="5"/>
  <c r="AK248" i="5"/>
  <c r="AL248" i="5"/>
  <c r="AK42" i="5"/>
  <c r="AL42" i="5"/>
  <c r="AK22" i="5"/>
  <c r="AL22" i="5"/>
  <c r="AL334" i="5"/>
  <c r="AK334" i="5"/>
  <c r="AL78" i="5"/>
  <c r="AK78" i="5"/>
  <c r="AL434" i="5"/>
  <c r="AK434" i="5"/>
  <c r="AL560" i="5"/>
  <c r="AK560" i="5"/>
  <c r="AL293" i="5"/>
  <c r="AK293" i="5"/>
  <c r="AL236" i="5"/>
  <c r="AK236" i="5"/>
  <c r="AK408" i="5"/>
  <c r="AL408" i="5"/>
  <c r="AL431" i="5"/>
  <c r="AK431" i="5"/>
  <c r="AK345" i="5"/>
  <c r="AL345" i="5"/>
  <c r="AK539" i="5"/>
  <c r="AL539" i="5"/>
  <c r="AK317" i="5"/>
  <c r="AL317" i="5"/>
  <c r="AL208" i="5"/>
  <c r="AK208" i="5"/>
  <c r="AL131" i="5"/>
  <c r="AK131" i="5"/>
  <c r="AL52" i="5"/>
  <c r="AK52" i="5"/>
  <c r="AK523" i="5"/>
  <c r="AL523" i="5"/>
  <c r="AK277" i="5"/>
  <c r="AL277" i="5"/>
  <c r="AL246" i="5"/>
  <c r="AK246" i="5"/>
  <c r="AL73" i="5"/>
  <c r="AK73" i="5"/>
  <c r="AL162" i="5"/>
  <c r="AK162" i="5"/>
  <c r="AL344" i="5"/>
  <c r="AK344" i="5"/>
  <c r="AL403" i="5"/>
  <c r="AK403" i="5"/>
  <c r="AL318" i="5"/>
  <c r="AK318" i="5"/>
  <c r="AK519" i="5"/>
  <c r="AL519" i="5"/>
  <c r="AL264" i="5"/>
  <c r="AK264" i="5"/>
  <c r="AL67" i="5"/>
  <c r="AK67" i="5"/>
  <c r="AL55" i="5"/>
  <c r="AK55" i="5"/>
  <c r="AK203" i="5"/>
  <c r="AL203" i="5"/>
  <c r="AL497" i="5"/>
  <c r="AK497" i="5"/>
  <c r="AK340" i="5"/>
  <c r="AL340" i="5"/>
  <c r="AL446" i="5"/>
  <c r="AK446" i="5"/>
  <c r="AK183" i="5"/>
  <c r="AL183" i="5"/>
  <c r="AK311" i="5"/>
  <c r="AL311" i="5"/>
  <c r="AL145" i="5"/>
  <c r="AK145" i="5"/>
  <c r="AK426" i="5"/>
  <c r="AL426" i="5"/>
  <c r="AL486" i="5"/>
  <c r="AK486" i="5"/>
  <c r="AK220" i="5"/>
  <c r="AL220" i="5"/>
  <c r="AK58" i="5"/>
  <c r="AL58" i="5"/>
  <c r="AK498" i="5"/>
  <c r="AL498" i="5"/>
  <c r="AK386" i="5"/>
  <c r="AL386" i="5"/>
  <c r="AL454" i="5"/>
  <c r="AK454" i="5"/>
  <c r="AK240" i="5"/>
  <c r="AL240" i="5"/>
  <c r="AL167" i="5"/>
  <c r="AK167" i="5"/>
  <c r="AL372" i="5"/>
  <c r="AK372" i="5"/>
  <c r="AK449" i="5"/>
  <c r="AL449" i="5"/>
  <c r="AL551" i="5"/>
  <c r="AK551" i="5"/>
  <c r="AK72" i="5"/>
  <c r="AL72" i="5"/>
  <c r="AK51" i="5"/>
  <c r="AL51" i="5"/>
  <c r="AK90" i="5"/>
  <c r="AL90" i="5"/>
  <c r="AK108" i="5"/>
  <c r="AL108" i="5"/>
  <c r="AL128" i="5"/>
  <c r="AK128" i="5"/>
  <c r="AK350" i="5"/>
  <c r="AL350" i="5"/>
  <c r="AL492" i="5"/>
  <c r="AK492" i="5"/>
  <c r="AK304" i="5"/>
  <c r="AL304" i="5"/>
  <c r="AK442" i="5"/>
  <c r="AL442" i="5"/>
  <c r="AK41" i="5"/>
  <c r="AL41" i="5"/>
  <c r="AK473" i="5"/>
  <c r="AL473" i="5"/>
  <c r="AL424" i="5"/>
  <c r="AK424" i="5"/>
  <c r="AL504" i="5"/>
  <c r="AK504" i="5"/>
  <c r="AL332" i="5"/>
  <c r="AK332" i="5"/>
  <c r="AL357" i="5"/>
  <c r="AK357" i="5"/>
  <c r="AK485" i="5"/>
  <c r="AL485" i="5"/>
  <c r="AL256" i="5"/>
  <c r="AK256" i="5"/>
  <c r="AL297" i="5"/>
  <c r="AK297" i="5"/>
  <c r="AK98" i="5"/>
  <c r="AL98" i="5"/>
  <c r="AL104" i="5"/>
  <c r="AK104" i="5"/>
  <c r="AL187" i="5"/>
  <c r="AK187" i="5"/>
  <c r="AK397" i="5"/>
  <c r="AL397" i="5"/>
  <c r="AL510" i="5"/>
  <c r="AK510" i="5"/>
  <c r="AK356" i="5"/>
  <c r="AL356" i="5"/>
  <c r="AL468" i="5"/>
  <c r="AK468" i="5"/>
  <c r="AL329" i="5"/>
  <c r="AK329" i="5"/>
  <c r="AK512" i="5"/>
  <c r="AL512" i="5"/>
  <c r="AK441" i="5"/>
  <c r="AL441" i="5"/>
  <c r="AL532" i="5"/>
  <c r="AK532" i="5"/>
  <c r="AK407" i="5"/>
  <c r="AL407" i="5"/>
  <c r="AK387" i="5"/>
  <c r="AL387" i="5"/>
  <c r="AK525" i="5"/>
  <c r="AL525" i="5"/>
  <c r="AL299" i="5"/>
  <c r="AK299" i="5"/>
  <c r="AK83" i="5"/>
  <c r="AL83" i="5"/>
  <c r="AK45" i="5"/>
  <c r="AL45" i="5"/>
  <c r="AL100" i="5"/>
  <c r="AK100" i="5"/>
  <c r="AL130" i="5"/>
  <c r="AK130" i="5"/>
  <c r="AK132" i="5"/>
  <c r="AL132" i="5"/>
  <c r="AK136" i="5"/>
  <c r="AL136" i="5"/>
  <c r="AK366" i="5"/>
  <c r="AL366" i="5"/>
  <c r="AK506" i="5"/>
  <c r="AL506" i="5"/>
  <c r="AK348" i="5"/>
  <c r="AL348" i="5"/>
  <c r="AK450" i="5"/>
  <c r="AL450" i="5"/>
  <c r="AK263" i="5"/>
  <c r="AL263" i="5"/>
  <c r="AL500" i="5"/>
  <c r="AK500" i="5"/>
  <c r="AK437" i="5"/>
  <c r="AL437" i="5"/>
  <c r="AL520" i="5"/>
  <c r="AK520" i="5"/>
  <c r="AL393" i="5"/>
  <c r="AK393" i="5"/>
  <c r="AL373" i="5"/>
  <c r="AK373" i="5"/>
  <c r="AK513" i="5"/>
  <c r="AL513" i="5"/>
  <c r="AL283" i="5"/>
  <c r="AK283" i="5"/>
  <c r="AK36" i="5"/>
  <c r="AL36" i="5"/>
  <c r="AK161" i="5"/>
  <c r="AL161" i="5"/>
  <c r="AL144" i="5"/>
  <c r="AK144" i="5"/>
  <c r="AL508" i="5"/>
  <c r="AK508" i="5"/>
  <c r="AK447" i="5"/>
  <c r="AL447" i="5"/>
  <c r="AK378" i="5"/>
  <c r="AL378" i="5"/>
  <c r="AK429" i="5"/>
  <c r="AL429" i="5"/>
  <c r="AL361" i="5"/>
  <c r="AK361" i="5"/>
  <c r="AK288" i="5"/>
  <c r="AL288" i="5"/>
  <c r="AL555" i="5"/>
  <c r="AK555" i="5"/>
  <c r="AK507" i="5"/>
  <c r="AL507" i="5"/>
  <c r="AK394" i="5"/>
  <c r="AL394" i="5"/>
  <c r="AK335" i="5"/>
  <c r="AL335" i="5"/>
  <c r="AK179" i="5"/>
  <c r="AL179" i="5"/>
  <c r="AK273" i="5"/>
  <c r="AL273" i="5"/>
  <c r="AK225" i="5"/>
  <c r="AL225" i="5"/>
  <c r="AK242" i="5"/>
  <c r="AL242" i="5"/>
  <c r="AK182" i="5"/>
  <c r="AL182" i="5"/>
  <c r="AL315" i="5"/>
  <c r="AK315" i="5"/>
  <c r="AK251" i="5"/>
  <c r="AL251" i="5"/>
  <c r="AK181" i="5"/>
  <c r="AL181" i="5"/>
  <c r="AK117" i="5"/>
  <c r="AL117" i="5"/>
  <c r="AK91" i="5"/>
  <c r="AL91" i="5"/>
  <c r="AK230" i="5"/>
  <c r="AL230" i="5"/>
  <c r="AK533" i="5"/>
  <c r="AL533" i="5"/>
  <c r="AL480" i="5"/>
  <c r="AK480" i="5"/>
  <c r="AL375" i="5"/>
  <c r="AK375" i="5"/>
  <c r="AL309" i="5"/>
  <c r="AK309" i="5"/>
  <c r="AL312" i="5"/>
  <c r="AK312" i="5"/>
  <c r="AL254" i="5"/>
  <c r="AK254" i="5"/>
  <c r="AK200" i="5"/>
  <c r="AL200" i="5"/>
  <c r="AK222" i="5"/>
  <c r="AL222" i="5"/>
  <c r="AK115" i="5"/>
  <c r="AL115" i="5"/>
  <c r="AK291" i="5"/>
  <c r="AL291" i="5"/>
  <c r="AL223" i="5"/>
  <c r="AK223" i="5"/>
  <c r="AK180" i="5"/>
  <c r="AL180" i="5"/>
  <c r="AK66" i="5"/>
  <c r="AL66" i="5"/>
  <c r="AL376" i="5"/>
  <c r="AK376" i="5"/>
  <c r="AL540" i="5"/>
  <c r="AK540" i="5"/>
  <c r="AL483" i="5"/>
  <c r="AK483" i="5"/>
  <c r="AK419" i="5"/>
  <c r="AL419" i="5"/>
  <c r="AL271" i="5"/>
  <c r="AK271" i="5"/>
  <c r="AK401" i="5"/>
  <c r="AL401" i="5"/>
  <c r="AL333" i="5"/>
  <c r="AK333" i="5"/>
  <c r="AK221" i="5"/>
  <c r="AL221" i="5"/>
  <c r="AK529" i="5"/>
  <c r="AL529" i="5"/>
  <c r="AL478" i="5"/>
  <c r="AK478" i="5"/>
  <c r="AK371" i="5"/>
  <c r="AL371" i="5"/>
  <c r="AK296" i="5"/>
  <c r="AL296" i="5"/>
  <c r="AL308" i="5"/>
  <c r="AK308" i="5"/>
  <c r="AL252" i="5"/>
  <c r="AK252" i="5"/>
  <c r="AK193" i="5"/>
  <c r="AL193" i="5"/>
  <c r="AK218" i="5"/>
  <c r="AL218" i="5"/>
  <c r="AK107" i="5"/>
  <c r="AL107" i="5"/>
  <c r="AL286" i="5"/>
  <c r="AK286" i="5"/>
  <c r="AL219" i="5"/>
  <c r="AK219" i="5"/>
  <c r="AL176" i="5"/>
  <c r="AK176" i="5"/>
  <c r="AL64" i="5"/>
  <c r="AK64" i="5"/>
  <c r="B47" i="2"/>
  <c r="H20" i="1"/>
  <c r="G21" i="1"/>
  <c r="I23" i="1"/>
  <c r="I22" i="1"/>
  <c r="K25" i="2"/>
  <c r="BE7" i="5"/>
  <c r="BD78" i="5" l="1"/>
  <c r="BD222" i="5"/>
  <c r="BE462" i="5"/>
  <c r="BD214" i="5"/>
  <c r="BD264" i="5"/>
  <c r="BD560" i="5"/>
  <c r="BE22" i="5"/>
  <c r="BE144" i="5"/>
  <c r="BE219" i="5"/>
  <c r="BE45" i="5"/>
  <c r="BE316" i="5"/>
  <c r="BE83" i="5"/>
  <c r="BD269" i="5"/>
  <c r="BD180" i="5"/>
  <c r="BE38" i="5"/>
  <c r="BE51" i="5"/>
  <c r="BE537" i="5"/>
  <c r="BD130" i="5"/>
  <c r="BD164" i="5"/>
  <c r="BD315" i="5"/>
  <c r="BD305" i="5"/>
  <c r="BD262" i="5"/>
  <c r="BE299" i="5"/>
  <c r="BE27" i="5"/>
  <c r="BD64" i="5"/>
  <c r="BE44" i="5"/>
  <c r="BE283" i="5"/>
  <c r="BD112" i="5"/>
  <c r="BD223" i="5"/>
  <c r="BE41" i="5"/>
  <c r="BD191" i="5"/>
  <c r="BE296" i="5"/>
  <c r="BE8" i="5"/>
  <c r="BD352" i="5"/>
  <c r="BE230" i="5"/>
  <c r="BE156" i="5"/>
  <c r="BD156" i="5"/>
  <c r="BE208" i="5"/>
  <c r="BD208" i="5"/>
  <c r="BE103" i="5"/>
  <c r="BE246" i="5"/>
  <c r="BE533" i="5"/>
  <c r="BD263" i="5"/>
  <c r="BE68" i="5"/>
  <c r="BD68" i="5"/>
  <c r="BE476" i="5"/>
  <c r="BD476" i="5"/>
  <c r="BE81" i="5"/>
  <c r="BD81" i="5"/>
  <c r="BE31" i="5"/>
  <c r="BD31" i="5"/>
  <c r="BE290" i="5"/>
  <c r="BD290" i="5"/>
  <c r="BD295" i="5"/>
  <c r="BE295" i="5"/>
  <c r="BD346" i="5"/>
  <c r="BE346" i="5"/>
  <c r="BE235" i="5"/>
  <c r="BD235" i="5"/>
  <c r="BD284" i="5"/>
  <c r="BE284" i="5"/>
  <c r="BE559" i="5"/>
  <c r="BD559" i="5"/>
  <c r="BD183" i="5"/>
  <c r="BE183" i="5"/>
  <c r="BD159" i="5"/>
  <c r="BE159" i="5"/>
  <c r="BE119" i="5"/>
  <c r="BD158" i="5"/>
  <c r="BE453" i="5"/>
  <c r="BD66" i="5"/>
  <c r="BD369" i="5"/>
  <c r="BE306" i="5"/>
  <c r="BE236" i="5"/>
  <c r="BD470" i="5"/>
  <c r="BD387" i="5"/>
  <c r="BE387" i="5"/>
  <c r="BD487" i="5"/>
  <c r="BE487" i="5"/>
  <c r="BD209" i="5"/>
  <c r="BE209" i="5"/>
  <c r="BE298" i="5"/>
  <c r="BD298" i="5"/>
  <c r="BD437" i="5"/>
  <c r="BE437" i="5"/>
  <c r="BD213" i="5"/>
  <c r="BE213" i="5"/>
  <c r="BD206" i="5"/>
  <c r="BE206" i="5"/>
  <c r="BE211" i="5"/>
  <c r="BD211" i="5"/>
  <c r="BD152" i="5"/>
  <c r="BE152" i="5"/>
  <c r="BE225" i="5"/>
  <c r="BD225" i="5"/>
  <c r="BD101" i="5"/>
  <c r="BE101" i="5"/>
  <c r="BE273" i="5"/>
  <c r="BD273" i="5"/>
  <c r="BD360" i="5"/>
  <c r="BE360" i="5"/>
  <c r="BE92" i="5"/>
  <c r="BD92" i="5"/>
  <c r="BE52" i="5"/>
  <c r="BD52" i="5"/>
  <c r="BE189" i="5"/>
  <c r="BD189" i="5"/>
  <c r="BE30" i="5"/>
  <c r="BD30" i="5"/>
  <c r="BD24" i="5"/>
  <c r="BE24" i="5"/>
  <c r="BD39" i="5"/>
  <c r="BE39" i="5"/>
  <c r="BE268" i="5"/>
  <c r="BD268" i="5"/>
  <c r="BD60" i="5"/>
  <c r="BE60" i="5"/>
  <c r="BE241" i="5"/>
  <c r="BD241" i="5"/>
  <c r="BD169" i="5"/>
  <c r="BE169" i="5"/>
  <c r="BE131" i="5"/>
  <c r="BD131" i="5"/>
  <c r="BD238" i="5"/>
  <c r="BE238" i="5"/>
  <c r="BD116" i="5"/>
  <c r="BE116" i="5"/>
  <c r="BE227" i="5"/>
  <c r="BD227" i="5"/>
  <c r="BE313" i="5"/>
  <c r="BD313" i="5"/>
  <c r="BD172" i="5"/>
  <c r="BE172" i="5"/>
  <c r="BE324" i="5"/>
  <c r="BD324" i="5"/>
  <c r="BD148" i="5"/>
  <c r="BE148" i="5"/>
  <c r="BD178" i="5"/>
  <c r="BE178" i="5"/>
  <c r="BE29" i="5"/>
  <c r="BD29" i="5"/>
  <c r="BD109" i="5"/>
  <c r="BE109" i="5"/>
  <c r="BE240" i="5"/>
  <c r="BD240" i="5"/>
  <c r="BD26" i="5"/>
  <c r="BE26" i="5"/>
  <c r="BE351" i="5"/>
  <c r="BD351" i="5"/>
  <c r="BD132" i="5"/>
  <c r="BE132" i="5"/>
  <c r="BE150" i="5"/>
  <c r="BD150" i="5"/>
  <c r="BD424" i="5"/>
  <c r="BE424" i="5"/>
  <c r="BD147" i="5"/>
  <c r="BE147" i="5"/>
  <c r="BE117" i="5"/>
  <c r="BD117" i="5"/>
  <c r="BD139" i="5"/>
  <c r="BE139" i="5"/>
  <c r="BE401" i="5"/>
  <c r="BD401" i="5"/>
  <c r="BE190" i="5"/>
  <c r="BD190" i="5"/>
  <c r="BD363" i="5"/>
  <c r="BE363" i="5"/>
  <c r="BE255" i="5"/>
  <c r="BD255" i="5"/>
  <c r="BE332" i="5"/>
  <c r="BD332" i="5"/>
  <c r="BD19" i="5"/>
  <c r="BE19" i="5"/>
  <c r="BD276" i="5"/>
  <c r="BE276" i="5"/>
  <c r="BD546" i="5"/>
  <c r="BE546" i="5"/>
  <c r="BE73" i="5"/>
  <c r="BD73" i="5"/>
  <c r="BD251" i="5"/>
  <c r="BE251" i="5"/>
  <c r="BD450" i="5"/>
  <c r="BE450" i="5"/>
  <c r="BD553" i="5"/>
  <c r="BE553" i="5"/>
  <c r="BE309" i="5"/>
  <c r="BD309" i="5"/>
  <c r="BE545" i="5"/>
  <c r="BD545" i="5"/>
  <c r="BE465" i="5"/>
  <c r="BD465" i="5"/>
  <c r="BD288" i="5"/>
  <c r="BE288" i="5"/>
  <c r="BE232" i="5"/>
  <c r="BD232" i="5"/>
  <c r="BD137" i="5"/>
  <c r="BE137" i="5"/>
  <c r="BE76" i="5"/>
  <c r="BD76" i="5"/>
  <c r="BD274" i="5"/>
  <c r="BE274" i="5"/>
  <c r="BD105" i="5"/>
  <c r="BE105" i="5"/>
  <c r="BE326" i="5"/>
  <c r="BD326" i="5"/>
  <c r="BE121" i="5"/>
  <c r="BD121" i="5"/>
  <c r="BE201" i="5"/>
  <c r="BD201" i="5"/>
  <c r="BD111" i="5"/>
  <c r="BE111" i="5"/>
  <c r="BE110" i="5"/>
  <c r="BD110" i="5"/>
  <c r="BE184" i="5"/>
  <c r="BD184" i="5"/>
  <c r="BE157" i="5"/>
  <c r="BD157" i="5"/>
  <c r="BE202" i="5"/>
  <c r="BD202" i="5"/>
  <c r="BE199" i="5"/>
  <c r="BD199" i="5"/>
  <c r="BD154" i="5"/>
  <c r="BE154" i="5"/>
  <c r="BE243" i="5"/>
  <c r="BD243" i="5"/>
  <c r="BE317" i="5"/>
  <c r="BD317" i="5"/>
  <c r="BD126" i="5"/>
  <c r="BE126" i="5"/>
  <c r="BD412" i="5"/>
  <c r="BE412" i="5"/>
  <c r="BD289" i="5"/>
  <c r="BE289" i="5"/>
  <c r="BD136" i="5"/>
  <c r="BE136" i="5"/>
  <c r="BE411" i="5"/>
  <c r="BD411" i="5"/>
  <c r="BD160" i="5"/>
  <c r="BE160" i="5"/>
  <c r="BD279" i="5"/>
  <c r="BE279" i="5"/>
  <c r="BE194" i="5"/>
  <c r="BD194" i="5"/>
  <c r="BD212" i="5"/>
  <c r="BE212" i="5"/>
  <c r="BE91" i="5"/>
  <c r="BD91" i="5"/>
  <c r="BD414" i="5"/>
  <c r="BE414" i="5"/>
  <c r="BD501" i="5"/>
  <c r="BE501" i="5"/>
  <c r="BD477" i="5"/>
  <c r="BE477" i="5"/>
  <c r="BD432" i="5"/>
  <c r="BE432" i="5"/>
  <c r="BD108" i="5"/>
  <c r="BE108" i="5"/>
  <c r="BD89" i="5"/>
  <c r="BE89" i="5"/>
  <c r="BE314" i="5"/>
  <c r="BD314" i="5"/>
  <c r="BE74" i="5"/>
  <c r="BD74" i="5"/>
  <c r="BE323" i="5"/>
  <c r="BD323" i="5"/>
  <c r="BD32" i="5"/>
  <c r="BE32" i="5"/>
  <c r="BE134" i="5"/>
  <c r="BD134" i="5"/>
  <c r="BE261" i="5"/>
  <c r="BD261" i="5"/>
  <c r="BD532" i="5"/>
  <c r="BE532" i="5"/>
  <c r="BE478" i="5"/>
  <c r="BD478" i="5"/>
  <c r="BD392" i="5"/>
  <c r="BE392" i="5"/>
  <c r="BD242" i="5"/>
  <c r="BE242" i="5"/>
  <c r="BD226" i="5"/>
  <c r="BE226" i="5"/>
  <c r="BD285" i="5"/>
  <c r="BE285" i="5"/>
  <c r="BD491" i="5"/>
  <c r="BE491" i="5"/>
  <c r="BD249" i="5"/>
  <c r="BE249" i="5"/>
  <c r="BD69" i="5"/>
  <c r="BE69" i="5"/>
  <c r="BE174" i="5"/>
  <c r="BD174" i="5"/>
  <c r="BE171" i="5"/>
  <c r="BD171" i="5"/>
  <c r="BE125" i="5"/>
  <c r="BD125" i="5"/>
  <c r="BD118" i="5"/>
  <c r="BE118" i="5"/>
  <c r="BD88" i="5"/>
  <c r="BE88" i="5"/>
  <c r="BD40" i="5"/>
  <c r="BE40" i="5"/>
  <c r="BD247" i="5"/>
  <c r="BE247" i="5"/>
  <c r="BD56" i="5"/>
  <c r="BE56" i="5"/>
  <c r="BD47" i="5"/>
  <c r="BE47" i="5"/>
  <c r="BD85" i="5"/>
  <c r="BE85" i="5"/>
  <c r="BE302" i="5"/>
  <c r="BD302" i="5"/>
  <c r="BE265" i="5"/>
  <c r="BD265" i="5"/>
  <c r="BD161" i="5"/>
  <c r="BE161" i="5"/>
  <c r="BD185" i="5"/>
  <c r="BE185" i="5"/>
  <c r="BD221" i="5"/>
  <c r="BE163" i="5"/>
  <c r="BE234" i="5"/>
  <c r="BD115" i="5"/>
  <c r="BE122" i="5"/>
  <c r="BD166" i="5"/>
  <c r="BD84" i="5"/>
  <c r="BD23" i="5"/>
  <c r="BE536" i="5"/>
  <c r="BD543" i="5"/>
  <c r="BE469" i="5"/>
  <c r="BE481" i="5"/>
  <c r="BD329" i="5"/>
  <c r="BD138" i="5"/>
  <c r="BE138" i="5"/>
  <c r="BD140" i="5"/>
  <c r="BE140" i="5"/>
  <c r="BE245" i="5"/>
  <c r="BD145" i="5"/>
  <c r="BE145" i="5"/>
  <c r="BE149" i="5"/>
  <c r="BD149" i="5"/>
  <c r="BE75" i="5"/>
  <c r="BD97" i="5"/>
  <c r="BE43" i="5"/>
  <c r="BD71" i="5"/>
  <c r="BE338" i="5"/>
  <c r="BE168" i="5"/>
  <c r="BD210" i="5"/>
  <c r="BD72" i="5"/>
  <c r="BE72" i="5"/>
  <c r="BE393" i="5"/>
  <c r="BE113" i="5"/>
  <c r="BE65" i="5"/>
  <c r="BE356" i="5"/>
  <c r="BE521" i="5"/>
  <c r="BD555" i="5"/>
  <c r="BD80" i="5"/>
  <c r="BE80" i="5"/>
  <c r="BE197" i="5"/>
  <c r="BD197" i="5"/>
  <c r="BD495" i="5"/>
  <c r="BD175" i="5"/>
  <c r="BE141" i="5"/>
  <c r="BE278" i="5"/>
  <c r="BE34" i="5"/>
  <c r="BE337" i="5"/>
  <c r="BD549" i="5"/>
  <c r="BE70" i="5"/>
  <c r="BD21" i="5"/>
  <c r="BE379" i="5"/>
  <c r="BD379" i="5"/>
  <c r="BE61" i="5"/>
  <c r="BD344" i="5"/>
  <c r="BE286" i="5"/>
  <c r="BD286" i="5"/>
  <c r="BD300" i="5"/>
  <c r="BE90" i="5"/>
  <c r="BD90" i="5"/>
  <c r="BE440" i="5"/>
  <c r="BD440" i="5"/>
  <c r="BD231" i="5"/>
  <c r="BD188" i="5"/>
  <c r="BE303" i="5"/>
  <c r="BD303" i="5"/>
  <c r="BE244" i="5"/>
  <c r="BD244" i="5"/>
  <c r="BE193" i="5"/>
  <c r="BD193" i="5"/>
  <c r="BD229" i="5"/>
  <c r="BE229" i="5"/>
  <c r="BD405" i="5"/>
  <c r="BE405" i="5"/>
  <c r="BD275" i="5"/>
  <c r="BE275" i="5"/>
  <c r="BE294" i="5"/>
  <c r="BD294" i="5"/>
  <c r="BE182" i="5"/>
  <c r="BD182" i="5"/>
  <c r="BE365" i="5"/>
  <c r="BD365" i="5"/>
  <c r="BE445" i="5"/>
  <c r="BD445" i="5"/>
  <c r="BE515" i="5"/>
  <c r="BD515" i="5"/>
  <c r="BE448" i="5"/>
  <c r="BD448" i="5"/>
  <c r="BD106" i="5"/>
  <c r="BE106" i="5"/>
  <c r="BD282" i="5"/>
  <c r="BE282" i="5"/>
  <c r="BD239" i="5"/>
  <c r="BE239" i="5"/>
  <c r="BE505" i="5"/>
  <c r="BD505" i="5"/>
  <c r="BD396" i="5"/>
  <c r="BE396" i="5"/>
  <c r="BE407" i="5"/>
  <c r="BD407" i="5"/>
  <c r="BD547" i="5"/>
  <c r="BE547" i="5"/>
  <c r="BE94" i="5"/>
  <c r="BD46" i="5"/>
  <c r="BE46" i="5"/>
  <c r="BE162" i="5"/>
  <c r="BD162" i="5"/>
  <c r="BD167" i="5"/>
  <c r="BE167" i="5"/>
  <c r="BE277" i="5"/>
  <c r="BD277" i="5"/>
  <c r="BD340" i="5"/>
  <c r="BE340" i="5"/>
  <c r="BD409" i="5"/>
  <c r="BE409" i="5"/>
  <c r="BD496" i="5"/>
  <c r="BE496" i="5"/>
  <c r="BE475" i="5"/>
  <c r="BD475" i="5"/>
  <c r="BD362" i="5"/>
  <c r="BE362" i="5"/>
  <c r="BE410" i="5"/>
  <c r="BD410" i="5"/>
  <c r="BE361" i="5"/>
  <c r="BD361" i="5"/>
  <c r="BE433" i="5"/>
  <c r="BD433" i="5"/>
  <c r="BD473" i="5"/>
  <c r="BE473" i="5"/>
  <c r="BD517" i="5"/>
  <c r="BE517" i="5"/>
  <c r="BD493" i="5"/>
  <c r="BE493" i="5"/>
  <c r="BD339" i="5"/>
  <c r="BE339" i="5"/>
  <c r="BD280" i="5"/>
  <c r="BE280" i="5"/>
  <c r="BD124" i="5"/>
  <c r="BE124" i="5"/>
  <c r="BE461" i="5"/>
  <c r="BD461" i="5"/>
  <c r="BE358" i="5"/>
  <c r="BD358" i="5"/>
  <c r="BD457" i="5"/>
  <c r="BE457" i="5"/>
  <c r="BD348" i="5"/>
  <c r="BE348" i="5"/>
  <c r="BD256" i="5"/>
  <c r="BE256" i="5"/>
  <c r="BE503" i="5"/>
  <c r="BD503" i="5"/>
  <c r="BE58" i="5"/>
  <c r="BD58" i="5"/>
  <c r="BD187" i="5"/>
  <c r="BE187" i="5"/>
  <c r="BD20" i="5"/>
  <c r="BE20" i="5"/>
  <c r="BD416" i="5"/>
  <c r="BE416" i="5"/>
  <c r="BD57" i="5"/>
  <c r="BE57" i="5"/>
  <c r="BD355" i="5"/>
  <c r="BE355" i="5"/>
  <c r="BE62" i="5"/>
  <c r="BD62" i="5"/>
  <c r="BD128" i="5"/>
  <c r="BE128" i="5"/>
  <c r="BE376" i="5"/>
  <c r="BD376" i="5"/>
  <c r="BD527" i="5"/>
  <c r="BE527" i="5"/>
  <c r="BD431" i="5"/>
  <c r="BE431" i="5"/>
  <c r="BD439" i="5"/>
  <c r="BE439" i="5"/>
  <c r="BE492" i="5"/>
  <c r="BD492" i="5"/>
  <c r="BE541" i="5"/>
  <c r="BD541" i="5"/>
  <c r="BD447" i="5"/>
  <c r="BE447" i="5"/>
  <c r="BE28" i="5"/>
  <c r="BD28" i="5"/>
  <c r="BE181" i="5"/>
  <c r="BD181" i="5"/>
  <c r="BD95" i="5"/>
  <c r="BE95" i="5"/>
  <c r="BD120" i="5"/>
  <c r="BE120" i="5"/>
  <c r="BE413" i="5"/>
  <c r="BD413" i="5"/>
  <c r="V13" i="5"/>
  <c r="U13" i="5"/>
  <c r="BE96" i="5"/>
  <c r="BD96" i="5"/>
  <c r="BE331" i="5"/>
  <c r="BD331" i="5"/>
  <c r="BE377" i="5"/>
  <c r="BD377" i="5"/>
  <c r="BD186" i="5"/>
  <c r="BE186" i="5"/>
  <c r="BE293" i="5"/>
  <c r="BD293" i="5"/>
  <c r="BE406" i="5"/>
  <c r="BD406" i="5"/>
  <c r="BD415" i="5"/>
  <c r="BE415" i="5"/>
  <c r="BE402" i="5"/>
  <c r="BD402" i="5"/>
  <c r="BD420" i="5"/>
  <c r="BE420" i="5"/>
  <c r="BE449" i="5"/>
  <c r="BD449" i="5"/>
  <c r="BD464" i="5"/>
  <c r="BE464" i="5"/>
  <c r="BD531" i="5"/>
  <c r="BE531" i="5"/>
  <c r="BE529" i="5"/>
  <c r="BD529" i="5"/>
  <c r="BD176" i="5"/>
  <c r="BE176" i="5"/>
  <c r="BE253" i="5"/>
  <c r="BD253" i="5"/>
  <c r="BE370" i="5"/>
  <c r="BD370" i="5"/>
  <c r="BE389" i="5"/>
  <c r="BD389" i="5"/>
  <c r="BE417" i="5"/>
  <c r="BD417" i="5"/>
  <c r="BE514" i="5"/>
  <c r="BD514" i="5"/>
  <c r="BD530" i="5"/>
  <c r="BE530" i="5"/>
  <c r="BE364" i="5"/>
  <c r="BD364" i="5"/>
  <c r="BE107" i="5"/>
  <c r="BD107" i="5"/>
  <c r="BD271" i="5"/>
  <c r="BE271" i="5"/>
  <c r="BE104" i="5"/>
  <c r="BD104" i="5"/>
  <c r="BE165" i="5"/>
  <c r="BD165" i="5"/>
  <c r="BE291" i="5"/>
  <c r="BD291" i="5"/>
  <c r="BD544" i="5"/>
  <c r="BE544" i="5"/>
  <c r="BE451" i="5"/>
  <c r="BD451" i="5"/>
  <c r="BE472" i="5"/>
  <c r="BD472" i="5"/>
  <c r="BD155" i="5"/>
  <c r="BE155" i="5"/>
  <c r="BE67" i="5"/>
  <c r="BD67" i="5"/>
  <c r="BE423" i="5"/>
  <c r="BD423" i="5"/>
  <c r="BD539" i="5"/>
  <c r="BE539" i="5"/>
  <c r="BD436" i="5"/>
  <c r="BE436" i="5"/>
  <c r="BE397" i="5"/>
  <c r="BD397" i="5"/>
  <c r="BE467" i="5"/>
  <c r="BD467" i="5"/>
  <c r="BE347" i="5"/>
  <c r="BD347" i="5"/>
  <c r="BE330" i="5"/>
  <c r="BD330" i="5"/>
  <c r="BD304" i="5"/>
  <c r="BE304" i="5"/>
  <c r="BE153" i="5"/>
  <c r="BD153" i="5"/>
  <c r="BD500" i="5"/>
  <c r="BE500" i="5"/>
  <c r="BE391" i="5"/>
  <c r="BD391" i="5"/>
  <c r="BD554" i="5"/>
  <c r="BE554" i="5"/>
  <c r="BD502" i="5"/>
  <c r="BE502" i="5"/>
  <c r="BD33" i="5"/>
  <c r="BE33" i="5"/>
  <c r="BE403" i="5"/>
  <c r="BD403" i="5"/>
  <c r="BD318" i="5"/>
  <c r="BE318" i="5"/>
  <c r="BE372" i="5"/>
  <c r="BD372" i="5"/>
  <c r="BD322" i="5"/>
  <c r="BE322" i="5"/>
  <c r="BE129" i="5"/>
  <c r="BD129" i="5"/>
  <c r="BE312" i="5"/>
  <c r="BD312" i="5"/>
  <c r="BD480" i="5"/>
  <c r="BE480" i="5"/>
  <c r="BD205" i="5"/>
  <c r="BE205" i="5"/>
  <c r="BE224" i="5"/>
  <c r="BD224" i="5"/>
  <c r="BD333" i="5"/>
  <c r="BE333" i="5"/>
  <c r="BD37" i="5"/>
  <c r="BE37" i="5"/>
  <c r="BD408" i="5"/>
  <c r="BE408" i="5"/>
  <c r="BD320" i="5"/>
  <c r="BE320" i="5"/>
  <c r="BE343" i="5"/>
  <c r="BD343" i="5"/>
  <c r="BD425" i="5"/>
  <c r="BE425" i="5"/>
  <c r="BD516" i="5"/>
  <c r="BE516" i="5"/>
  <c r="BD520" i="5"/>
  <c r="BE520" i="5"/>
  <c r="BD368" i="5"/>
  <c r="BE368" i="5"/>
  <c r="BD367" i="5"/>
  <c r="BE367" i="5"/>
  <c r="BE435" i="5"/>
  <c r="BD435" i="5"/>
  <c r="BD486" i="5"/>
  <c r="BE486" i="5"/>
  <c r="BE386" i="5"/>
  <c r="BD386" i="5"/>
  <c r="BE468" i="5"/>
  <c r="BD468" i="5"/>
  <c r="BD135" i="5"/>
  <c r="BE135" i="5"/>
  <c r="BD525" i="5"/>
  <c r="BE525" i="5"/>
  <c r="BE228" i="5"/>
  <c r="BD228" i="5"/>
  <c r="BE327" i="5"/>
  <c r="BD327" i="5"/>
  <c r="BD77" i="5"/>
  <c r="BE77" i="5"/>
  <c r="BE349" i="5"/>
  <c r="BD349" i="5"/>
  <c r="BD383" i="5"/>
  <c r="BE383" i="5"/>
  <c r="BD354" i="5"/>
  <c r="BE354" i="5"/>
  <c r="BE490" i="5"/>
  <c r="BD490" i="5"/>
  <c r="BE400" i="5"/>
  <c r="BD400" i="5"/>
  <c r="BD373" i="5"/>
  <c r="BE373" i="5"/>
  <c r="BE99" i="5"/>
  <c r="BD99" i="5"/>
  <c r="BE328" i="5"/>
  <c r="BD328" i="5"/>
  <c r="BE345" i="5"/>
  <c r="BD345" i="5"/>
  <c r="BD203" i="5"/>
  <c r="BE203" i="5"/>
  <c r="BD359" i="5"/>
  <c r="BE359" i="5"/>
  <c r="BD63" i="5"/>
  <c r="BE63" i="5"/>
  <c r="BE419" i="5"/>
  <c r="BD419" i="5"/>
  <c r="BD215" i="5"/>
  <c r="BE215" i="5"/>
  <c r="BD394" i="5"/>
  <c r="BE394" i="5"/>
  <c r="BD418" i="5"/>
  <c r="BE418" i="5"/>
  <c r="BD442" i="5"/>
  <c r="BE442" i="5"/>
  <c r="BE504" i="5"/>
  <c r="BD504" i="5"/>
  <c r="BD381" i="5"/>
  <c r="BE381" i="5"/>
  <c r="BD428" i="5"/>
  <c r="BE428" i="5"/>
  <c r="BE484" i="5"/>
  <c r="BD484" i="5"/>
  <c r="BD452" i="5"/>
  <c r="BE452" i="5"/>
  <c r="BE429" i="5"/>
  <c r="BD429" i="5"/>
  <c r="BE459" i="5"/>
  <c r="BD459" i="5"/>
  <c r="BE388" i="5"/>
  <c r="BD388" i="5"/>
  <c r="BD266" i="5"/>
  <c r="BE266" i="5"/>
  <c r="BD207" i="5"/>
  <c r="BE207" i="5"/>
  <c r="BE319" i="5"/>
  <c r="BD319" i="5"/>
  <c r="BE390" i="5"/>
  <c r="BD390" i="5"/>
  <c r="BD556" i="5"/>
  <c r="BE556" i="5"/>
  <c r="BD218" i="5"/>
  <c r="BE218" i="5"/>
  <c r="AX13" i="5"/>
  <c r="AY13" i="5"/>
  <c r="BE143" i="5"/>
  <c r="BD143" i="5"/>
  <c r="BE146" i="5"/>
  <c r="BD146" i="5"/>
  <c r="BE307" i="5"/>
  <c r="BD307" i="5"/>
  <c r="BD494" i="5"/>
  <c r="BE494" i="5"/>
  <c r="BD538" i="5"/>
  <c r="BE538" i="5"/>
  <c r="BE444" i="5"/>
  <c r="BD444" i="5"/>
  <c r="BE499" i="5"/>
  <c r="BD499" i="5"/>
  <c r="BE342" i="5"/>
  <c r="BD342" i="5"/>
  <c r="BD506" i="5"/>
  <c r="BE506" i="5"/>
  <c r="BD548" i="5"/>
  <c r="BE548" i="5"/>
  <c r="BE456" i="5"/>
  <c r="BD456" i="5"/>
  <c r="BD471" i="5"/>
  <c r="BE471" i="5"/>
  <c r="BD421" i="5"/>
  <c r="BE421" i="5"/>
  <c r="BE297" i="5"/>
  <c r="BD297" i="5"/>
  <c r="BD260" i="5"/>
  <c r="BE260" i="5"/>
  <c r="BE142" i="5"/>
  <c r="BD142" i="5"/>
  <c r="BD512" i="5"/>
  <c r="BE512" i="5"/>
  <c r="BD558" i="5"/>
  <c r="BE558" i="5"/>
  <c r="BE511" i="5"/>
  <c r="BD511" i="5"/>
  <c r="BD200" i="5"/>
  <c r="BE200" i="5"/>
  <c r="BD334" i="5"/>
  <c r="BE334" i="5"/>
  <c r="BD466" i="5"/>
  <c r="BE466" i="5"/>
  <c r="BD522" i="5"/>
  <c r="BE522" i="5"/>
  <c r="BE524" i="5"/>
  <c r="BD524" i="5"/>
  <c r="BD509" i="5"/>
  <c r="BE509" i="5"/>
  <c r="BE485" i="5"/>
  <c r="BD485" i="5"/>
  <c r="BE220" i="5"/>
  <c r="BD220" i="5"/>
  <c r="BD341" i="5"/>
  <c r="BE341" i="5"/>
  <c r="BD321" i="5"/>
  <c r="BE321" i="5"/>
  <c r="BD385" i="5"/>
  <c r="BE385" i="5"/>
  <c r="BD488" i="5"/>
  <c r="BE488" i="5"/>
  <c r="BD398" i="5"/>
  <c r="BE398" i="5"/>
  <c r="BD430" i="5"/>
  <c r="BE430" i="5"/>
  <c r="BD93" i="5"/>
  <c r="BE93" i="5"/>
  <c r="BD519" i="5"/>
  <c r="BE519" i="5"/>
  <c r="BE474" i="5"/>
  <c r="BD474" i="5"/>
  <c r="BE310" i="5"/>
  <c r="BD310" i="5"/>
  <c r="BE357" i="5"/>
  <c r="BD357" i="5"/>
  <c r="AU13" i="5"/>
  <c r="AV13" i="5"/>
  <c r="BC13" i="5"/>
  <c r="BE434" i="5"/>
  <c r="BD434" i="5"/>
  <c r="BE250" i="5"/>
  <c r="BD250" i="5"/>
  <c r="BD336" i="5"/>
  <c r="BE336" i="5"/>
  <c r="BD460" i="5"/>
  <c r="BE460" i="5"/>
  <c r="BE557" i="5"/>
  <c r="BD557" i="5"/>
  <c r="BD542" i="5"/>
  <c r="BE542" i="5"/>
  <c r="BD384" i="5"/>
  <c r="BE384" i="5"/>
  <c r="BE267" i="5"/>
  <c r="BD267" i="5"/>
  <c r="BD179" i="5"/>
  <c r="BE179" i="5"/>
  <c r="BE272" i="5"/>
  <c r="BD272" i="5"/>
  <c r="BE123" i="5"/>
  <c r="BD123" i="5"/>
  <c r="BD87" i="5"/>
  <c r="BE87" i="5"/>
  <c r="BD50" i="5"/>
  <c r="BE50" i="5"/>
  <c r="BE252" i="5"/>
  <c r="BD252" i="5"/>
  <c r="BE311" i="5"/>
  <c r="BD311" i="5"/>
  <c r="BE380" i="5"/>
  <c r="BD380" i="5"/>
  <c r="BD254" i="5"/>
  <c r="BE254" i="5"/>
  <c r="BE399" i="5"/>
  <c r="BD399" i="5"/>
  <c r="BD49" i="5"/>
  <c r="BE49" i="5"/>
  <c r="BE192" i="5"/>
  <c r="BD192" i="5"/>
  <c r="BE350" i="5"/>
  <c r="BD350" i="5"/>
  <c r="BE42" i="5"/>
  <c r="BD42" i="5"/>
  <c r="BE257" i="5"/>
  <c r="BD257" i="5"/>
  <c r="BE366" i="5"/>
  <c r="BD366" i="5"/>
  <c r="BD518" i="5"/>
  <c r="BE518" i="5"/>
  <c r="BE374" i="5"/>
  <c r="BD374" i="5"/>
  <c r="BE378" i="5"/>
  <c r="BD378" i="5"/>
  <c r="BD479" i="5"/>
  <c r="BE479" i="5"/>
  <c r="BE528" i="5"/>
  <c r="BD528" i="5"/>
  <c r="BE498" i="5"/>
  <c r="BD498" i="5"/>
  <c r="BD259" i="5"/>
  <c r="BE259" i="5"/>
  <c r="BE463" i="5"/>
  <c r="BD463" i="5"/>
  <c r="BE510" i="5"/>
  <c r="BD510" i="5"/>
  <c r="BD301" i="5"/>
  <c r="BE301" i="5"/>
  <c r="BE25" i="5"/>
  <c r="BD25" i="5"/>
  <c r="BD325" i="5"/>
  <c r="BE325" i="5"/>
  <c r="BE483" i="5"/>
  <c r="BD483" i="5"/>
  <c r="BE455" i="5"/>
  <c r="BD455" i="5"/>
  <c r="BD196" i="5"/>
  <c r="BE196" i="5"/>
  <c r="BE177" i="5"/>
  <c r="BD177" i="5"/>
  <c r="BE36" i="5"/>
  <c r="BD36" i="5"/>
  <c r="BE102" i="5"/>
  <c r="BD102" i="5"/>
  <c r="BD270" i="5"/>
  <c r="BE270" i="5"/>
  <c r="BD353" i="5"/>
  <c r="BE353" i="5"/>
  <c r="BD204" i="5"/>
  <c r="BE204" i="5"/>
  <c r="BE292" i="5"/>
  <c r="BD292" i="5"/>
  <c r="BD426" i="5"/>
  <c r="BE426" i="5"/>
  <c r="BE482" i="5"/>
  <c r="BD482" i="5"/>
  <c r="BD335" i="5"/>
  <c r="BE335" i="5"/>
  <c r="BD535" i="5"/>
  <c r="BE535" i="5"/>
  <c r="BD395" i="5"/>
  <c r="BE395" i="5"/>
  <c r="BE382" i="5"/>
  <c r="BD382" i="5"/>
  <c r="BE489" i="5"/>
  <c r="BD489" i="5"/>
  <c r="BD534" i="5"/>
  <c r="BE534" i="5"/>
  <c r="BD526" i="5"/>
  <c r="BE526" i="5"/>
  <c r="BD375" i="5"/>
  <c r="BE375" i="5"/>
  <c r="BE173" i="5"/>
  <c r="BD173" i="5"/>
  <c r="BD258" i="5"/>
  <c r="BE258" i="5"/>
  <c r="BE248" i="5"/>
  <c r="BD248" i="5"/>
  <c r="BE508" i="5"/>
  <c r="BD508" i="5"/>
  <c r="BD552" i="5"/>
  <c r="BE552" i="5"/>
  <c r="BD507" i="5"/>
  <c r="BE507" i="5"/>
  <c r="BD422" i="5"/>
  <c r="BE422" i="5"/>
  <c r="BD513" i="5"/>
  <c r="BE513" i="5"/>
  <c r="BE281" i="5"/>
  <c r="BD281" i="5"/>
  <c r="BE54" i="5"/>
  <c r="BD54" i="5"/>
  <c r="BD170" i="5"/>
  <c r="BE170" i="5"/>
  <c r="BD233" i="5"/>
  <c r="BE233" i="5"/>
  <c r="BA13" i="5"/>
  <c r="BB13" i="5"/>
  <c r="BD217" i="5"/>
  <c r="BE217" i="5"/>
  <c r="BD371" i="5"/>
  <c r="BE371" i="5"/>
  <c r="BD79" i="5"/>
  <c r="BE79" i="5"/>
  <c r="BE308" i="5"/>
  <c r="BD308" i="5"/>
  <c r="BE441" i="5"/>
  <c r="BD441" i="5"/>
  <c r="BE458" i="5"/>
  <c r="BD458" i="5"/>
  <c r="BD551" i="5"/>
  <c r="BE551" i="5"/>
  <c r="BD443" i="5"/>
  <c r="BE443" i="5"/>
  <c r="BE540" i="5"/>
  <c r="BD540" i="5"/>
  <c r="BD446" i="5"/>
  <c r="BE446" i="5"/>
  <c r="BD550" i="5"/>
  <c r="BE550" i="5"/>
  <c r="BD404" i="5"/>
  <c r="BE404" i="5"/>
  <c r="BD523" i="5"/>
  <c r="BE523" i="5"/>
  <c r="BE427" i="5"/>
  <c r="BD427" i="5"/>
  <c r="BD216" i="5"/>
  <c r="BE216" i="5"/>
  <c r="BE151" i="5"/>
  <c r="BD151" i="5"/>
  <c r="BD497" i="5"/>
  <c r="BE497" i="5"/>
  <c r="BD454" i="5"/>
  <c r="BE454" i="5"/>
  <c r="BD438" i="5"/>
  <c r="BE438" i="5"/>
  <c r="BE12" i="5"/>
  <c r="BD12" i="5"/>
  <c r="B49" i="5"/>
  <c r="B52" i="5" s="1"/>
  <c r="B35" i="5"/>
  <c r="B155" i="2"/>
  <c r="B174" i="2"/>
  <c r="B177" i="2" s="1"/>
  <c r="Z7" i="5" s="1"/>
  <c r="B71" i="5"/>
  <c r="B93" i="2"/>
  <c r="O15" i="4"/>
  <c r="B23" i="5"/>
  <c r="B154" i="2"/>
  <c r="B34" i="5"/>
  <c r="J50" i="5"/>
  <c r="B195" i="2"/>
  <c r="BD13" i="5" l="1"/>
  <c r="BE13" i="5"/>
  <c r="Z350" i="5"/>
  <c r="Z375" i="5"/>
  <c r="Z252" i="5"/>
  <c r="Z353" i="5"/>
  <c r="Z459" i="5"/>
  <c r="Z80" i="5"/>
  <c r="Z308" i="5"/>
  <c r="Z452" i="5"/>
  <c r="Z528" i="5"/>
  <c r="Z246" i="5"/>
  <c r="Z455" i="5"/>
  <c r="Z343" i="5"/>
  <c r="Z211" i="5"/>
  <c r="Z337" i="5"/>
  <c r="Z203" i="5"/>
  <c r="Z406" i="5"/>
  <c r="Z379" i="5"/>
  <c r="Z378" i="5"/>
  <c r="Z511" i="5"/>
  <c r="Z512" i="5"/>
  <c r="Z417" i="5"/>
  <c r="Z34" i="5"/>
  <c r="Z148" i="5"/>
  <c r="Z539" i="5"/>
  <c r="Z554" i="5"/>
  <c r="Z107" i="5"/>
  <c r="Z525" i="5"/>
  <c r="Z170" i="5"/>
  <c r="Z233" i="5"/>
  <c r="Z288" i="5"/>
  <c r="Z199" i="5"/>
  <c r="Z260" i="5"/>
  <c r="Z509" i="5"/>
  <c r="Z510" i="5"/>
  <c r="Z206" i="5"/>
  <c r="Z244" i="5"/>
  <c r="Z376" i="5"/>
  <c r="Z348" i="5"/>
  <c r="Z393" i="5"/>
  <c r="Z31" i="5"/>
  <c r="Z78" i="5"/>
  <c r="Z98" i="5"/>
  <c r="Z467" i="5"/>
  <c r="Z501" i="5"/>
  <c r="Z181" i="5"/>
  <c r="Z435" i="5"/>
  <c r="Z33" i="5"/>
  <c r="Z175" i="5"/>
  <c r="Z259" i="5"/>
  <c r="Z182" i="5"/>
  <c r="Z122" i="5"/>
  <c r="Z405" i="5"/>
  <c r="Z57" i="5"/>
  <c r="Z202" i="5"/>
  <c r="Z87" i="5"/>
  <c r="Z91" i="5"/>
  <c r="Z62" i="5"/>
  <c r="Z543" i="5"/>
  <c r="Z39" i="5"/>
  <c r="Z529" i="5"/>
  <c r="Z490" i="5"/>
  <c r="Z542" i="5"/>
  <c r="Z139" i="5"/>
  <c r="Z401" i="5"/>
  <c r="Z432" i="5"/>
  <c r="Z196" i="5"/>
  <c r="Z515" i="5"/>
  <c r="Z45" i="5"/>
  <c r="Z530" i="5"/>
  <c r="Z431" i="5"/>
  <c r="Z347" i="5"/>
  <c r="Z149" i="5"/>
  <c r="Z278" i="5"/>
  <c r="Z352" i="5"/>
  <c r="Z446" i="5"/>
  <c r="Z264" i="5"/>
  <c r="Z342" i="5"/>
  <c r="Z119" i="5"/>
  <c r="Z229" i="5"/>
  <c r="Z410" i="5"/>
  <c r="Z223" i="5"/>
  <c r="Z13" i="5"/>
  <c r="Z324" i="5"/>
  <c r="Z274" i="5"/>
  <c r="Z88" i="5"/>
  <c r="Z409" i="5"/>
  <c r="Z269" i="5"/>
  <c r="Z460" i="5"/>
  <c r="Z363" i="5"/>
  <c r="Z63" i="5"/>
  <c r="Z422" i="5"/>
  <c r="Z82" i="5"/>
  <c r="Z346" i="5"/>
  <c r="Z414" i="5"/>
  <c r="Z50" i="5"/>
  <c r="Z239" i="5"/>
  <c r="Z486" i="5"/>
  <c r="Z449" i="5"/>
  <c r="Z141" i="5"/>
  <c r="Z257" i="5"/>
  <c r="Z192" i="5"/>
  <c r="Z65" i="5"/>
  <c r="Z332" i="5"/>
  <c r="Z20" i="5"/>
  <c r="Z447" i="5"/>
  <c r="Z222" i="5"/>
  <c r="Z368" i="5"/>
  <c r="Z71" i="5"/>
  <c r="Z549" i="5"/>
  <c r="Z450" i="5"/>
  <c r="Z262" i="5"/>
  <c r="Z232" i="5"/>
  <c r="Z335" i="5"/>
  <c r="Z408" i="5"/>
  <c r="Z152" i="5"/>
  <c r="Z197" i="5"/>
  <c r="Z402" i="5"/>
  <c r="Z169" i="5"/>
  <c r="Z412" i="5"/>
  <c r="Z492" i="5"/>
  <c r="Z299" i="5"/>
  <c r="Z84" i="5"/>
  <c r="Z306" i="5"/>
  <c r="Z331" i="5"/>
  <c r="Z205" i="5"/>
  <c r="Z320" i="5"/>
  <c r="Z275" i="5"/>
  <c r="Z51" i="5"/>
  <c r="Z488" i="5"/>
  <c r="Z317" i="5"/>
  <c r="Z399" i="5"/>
  <c r="Z377" i="5"/>
  <c r="Z241" i="5"/>
  <c r="Z483" i="5"/>
  <c r="Z482" i="5"/>
  <c r="Z436" i="5"/>
  <c r="Z100" i="5"/>
  <c r="Z159" i="5"/>
  <c r="Z386" i="5"/>
  <c r="Z191" i="5"/>
  <c r="Z81" i="5"/>
  <c r="Z8" i="5"/>
  <c r="Z313" i="5"/>
  <c r="Z500" i="5"/>
  <c r="Z312" i="5"/>
  <c r="Z106" i="5"/>
  <c r="Z533" i="5"/>
  <c r="Z68" i="5"/>
  <c r="Z361" i="5"/>
  <c r="Z234" i="5"/>
  <c r="Z296" i="5"/>
  <c r="Z461" i="5"/>
  <c r="Z129" i="5"/>
  <c r="Z24" i="5"/>
  <c r="Z198" i="5"/>
  <c r="Z514" i="5"/>
  <c r="Z218" i="5"/>
  <c r="Z137" i="5"/>
  <c r="Z493" i="5"/>
  <c r="Z283" i="5"/>
  <c r="Z138" i="5"/>
  <c r="Z190" i="5"/>
  <c r="Z280" i="5"/>
  <c r="Z135" i="5"/>
  <c r="Z327" i="5"/>
  <c r="Z184" i="5"/>
  <c r="Z85" i="5"/>
  <c r="Z44" i="5"/>
  <c r="Z322" i="5"/>
  <c r="Z503" i="5"/>
  <c r="Z349" i="5"/>
  <c r="Z89" i="5"/>
  <c r="Z439" i="5"/>
  <c r="Z165" i="5"/>
  <c r="Z64" i="5"/>
  <c r="Z76" i="5"/>
  <c r="Z131" i="5"/>
  <c r="Z522" i="5"/>
  <c r="Z498" i="5"/>
  <c r="Z245" i="5"/>
  <c r="Z163" i="5"/>
  <c r="Z124" i="5"/>
  <c r="Z110" i="5"/>
  <c r="Z95" i="5"/>
  <c r="Z356" i="5"/>
  <c r="Z516" i="5"/>
  <c r="Z25" i="5"/>
  <c r="Z183" i="5"/>
  <c r="Z43" i="5"/>
  <c r="Z161" i="5"/>
  <c r="Z171" i="5"/>
  <c r="Z430" i="5"/>
  <c r="Z484" i="5"/>
  <c r="Z146" i="5"/>
  <c r="Z59" i="5"/>
  <c r="Z237" i="5"/>
  <c r="Z433" i="5"/>
  <c r="Z26" i="5"/>
  <c r="Z415" i="5"/>
  <c r="Z319" i="5"/>
  <c r="Z200" i="5"/>
  <c r="Z336" i="5"/>
  <c r="Z265" i="5"/>
  <c r="Z96" i="5"/>
  <c r="Z365" i="5"/>
  <c r="Z507" i="5"/>
  <c r="Z407" i="5"/>
  <c r="Z448" i="5"/>
  <c r="Z429" i="5"/>
  <c r="Z116" i="5"/>
  <c r="Z315" i="5"/>
  <c r="Z546" i="5"/>
  <c r="Z362" i="5"/>
  <c r="Z187" i="5"/>
  <c r="Z143" i="5"/>
  <c r="Z555" i="5"/>
  <c r="Z473" i="5"/>
  <c r="Z242" i="5"/>
  <c r="Z55" i="5"/>
  <c r="Z35" i="5"/>
  <c r="Z354" i="5"/>
  <c r="Z230" i="5"/>
  <c r="Z506" i="5"/>
  <c r="Z72" i="5"/>
  <c r="Z177" i="5"/>
  <c r="Z77" i="5"/>
  <c r="Z236" i="5"/>
  <c r="Z69" i="5"/>
  <c r="Z487" i="5"/>
  <c r="Z207" i="5"/>
  <c r="Z38" i="5"/>
  <c r="Z193" i="5"/>
  <c r="Z300" i="5"/>
  <c r="Z465" i="5"/>
  <c r="Z445" i="5"/>
  <c r="Z338" i="5"/>
  <c r="Z134" i="5"/>
  <c r="Z395" i="5"/>
  <c r="Z311" i="5"/>
  <c r="Z240" i="5"/>
  <c r="Z537" i="5"/>
  <c r="Z302" i="5"/>
  <c r="Z180" i="5"/>
  <c r="Z79" i="5"/>
  <c r="Z367" i="5"/>
  <c r="Z208" i="5"/>
  <c r="Z373" i="5"/>
  <c r="Z66" i="5"/>
  <c r="Z112" i="5"/>
  <c r="Z22" i="5"/>
  <c r="Z513" i="5"/>
  <c r="Z144" i="5"/>
  <c r="Z505" i="5"/>
  <c r="Z442" i="5"/>
  <c r="Z387" i="5"/>
  <c r="Z470" i="5"/>
  <c r="Z456" i="5"/>
  <c r="Z279" i="5"/>
  <c r="Z351" i="5"/>
  <c r="Z221" i="5"/>
  <c r="Z285" i="5"/>
  <c r="Z127" i="5"/>
  <c r="Z428" i="5"/>
  <c r="Z19" i="5"/>
  <c r="Z215" i="5"/>
  <c r="Z400" i="5"/>
  <c r="Z270" i="5"/>
  <c r="Z518" i="5"/>
  <c r="Z114" i="5"/>
  <c r="Z28" i="5"/>
  <c r="Z287" i="5"/>
  <c r="Z426" i="5"/>
  <c r="Z47" i="5"/>
  <c r="Z325" i="5"/>
  <c r="Z195" i="5"/>
  <c r="Z440" i="5"/>
  <c r="Z130" i="5"/>
  <c r="Z256" i="5"/>
  <c r="Z266" i="5"/>
  <c r="Z204" i="5"/>
  <c r="Z90" i="5"/>
  <c r="Z310" i="5"/>
  <c r="Z118" i="5"/>
  <c r="Z475" i="5"/>
  <c r="Z552" i="5"/>
  <c r="Z380" i="5"/>
  <c r="Z272" i="5"/>
  <c r="Z27" i="5"/>
  <c r="Z186" i="5"/>
  <c r="Z46" i="5"/>
  <c r="Z61" i="5"/>
  <c r="Z471" i="5"/>
  <c r="Z115" i="5"/>
  <c r="Z75" i="5"/>
  <c r="Z369" i="5"/>
  <c r="Z464" i="5"/>
  <c r="Z499" i="5"/>
  <c r="Z247" i="5"/>
  <c r="Z103" i="5"/>
  <c r="Z494" i="5"/>
  <c r="Z23" i="5"/>
  <c r="Z254" i="5"/>
  <c r="Z126" i="5"/>
  <c r="Z480" i="5"/>
  <c r="Z527" i="5"/>
  <c r="Z458" i="5"/>
  <c r="Z168" i="5"/>
  <c r="Z166" i="5"/>
  <c r="Z502" i="5"/>
  <c r="Z521" i="5"/>
  <c r="Z421" i="5"/>
  <c r="Z282" i="5"/>
  <c r="Z496" i="5"/>
  <c r="Z30" i="5"/>
  <c r="Z251" i="5"/>
  <c r="Z179" i="5"/>
  <c r="Z12" i="5"/>
  <c r="Z228" i="5"/>
  <c r="Z290" i="5"/>
  <c r="Z318" i="5"/>
  <c r="Z485" i="5"/>
  <c r="Z476" i="5"/>
  <c r="Z147" i="5"/>
  <c r="Z226" i="5"/>
  <c r="Z142" i="5"/>
  <c r="Z474" i="5"/>
  <c r="Z37" i="5"/>
  <c r="Z457" i="5"/>
  <c r="Z216" i="5"/>
  <c r="Z212" i="5"/>
  <c r="Z227" i="5"/>
  <c r="Z276" i="5"/>
  <c r="Z273" i="5"/>
  <c r="Z321" i="5"/>
  <c r="Z123" i="5"/>
  <c r="Z330" i="5"/>
  <c r="Z172" i="5"/>
  <c r="Z156" i="5"/>
  <c r="Z391" i="5"/>
  <c r="Z94" i="5"/>
  <c r="Z366" i="5"/>
  <c r="Z36" i="5"/>
  <c r="Z292" i="5"/>
  <c r="Z263" i="5"/>
  <c r="Z418" i="5"/>
  <c r="Z547" i="5"/>
  <c r="Z189" i="5"/>
  <c r="Z178" i="5"/>
  <c r="Z536" i="5"/>
  <c r="Z48" i="5"/>
  <c r="Z472" i="5"/>
  <c r="Z504" i="5"/>
  <c r="Z128" i="5"/>
  <c r="Z534" i="5"/>
  <c r="Z86" i="5"/>
  <c r="Z524" i="5"/>
  <c r="Z411" i="5"/>
  <c r="Z413" i="5"/>
  <c r="Z56" i="5"/>
  <c r="Z443" i="5"/>
  <c r="Z531" i="5"/>
  <c r="Z301" i="5"/>
  <c r="Z155" i="5"/>
  <c r="Z104" i="5"/>
  <c r="Z145" i="5"/>
  <c r="Z466" i="5"/>
  <c r="Z167" i="5"/>
  <c r="Z481" i="5"/>
  <c r="Z194" i="5"/>
  <c r="Z517" i="5"/>
  <c r="Z550" i="5"/>
  <c r="Z120" i="5"/>
  <c r="Z111" i="5"/>
  <c r="Z508" i="5"/>
  <c r="Z478" i="5"/>
  <c r="Z303" i="5"/>
  <c r="Z495" i="5"/>
  <c r="Z258" i="5"/>
  <c r="Z437" i="5"/>
  <c r="Z355" i="5"/>
  <c r="Z54" i="5"/>
  <c r="Z339" i="5"/>
  <c r="Z220" i="5"/>
  <c r="Z372" i="5"/>
  <c r="Z390" i="5"/>
  <c r="Z73" i="5"/>
  <c r="Z519" i="5"/>
  <c r="Z374" i="5"/>
  <c r="Z389" i="5"/>
  <c r="Z213" i="5"/>
  <c r="Z117" i="5"/>
  <c r="Z497" i="5"/>
  <c r="Z469" i="5"/>
  <c r="Z326" i="5"/>
  <c r="Z340" i="5"/>
  <c r="Z314" i="5"/>
  <c r="Z333" i="5"/>
  <c r="Z140" i="5"/>
  <c r="Z160" i="5"/>
  <c r="Z97" i="5"/>
  <c r="Z462" i="5"/>
  <c r="Z214" i="5"/>
  <c r="Z551" i="5"/>
  <c r="Z558" i="5"/>
  <c r="Z60" i="5"/>
  <c r="Z523" i="5"/>
  <c r="Z489" i="5"/>
  <c r="Z305" i="5"/>
  <c r="Z491" i="5"/>
  <c r="Z384" i="5"/>
  <c r="Z250" i="5"/>
  <c r="Z291" i="5"/>
  <c r="Z416" i="5"/>
  <c r="Z231" i="5"/>
  <c r="Z158" i="5"/>
  <c r="Z559" i="5"/>
  <c r="Z271" i="5"/>
  <c r="Z370" i="5"/>
  <c r="Z392" i="5"/>
  <c r="Z209" i="5"/>
  <c r="Z438" i="5"/>
  <c r="Z74" i="5"/>
  <c r="Z286" i="5"/>
  <c r="Z267" i="5"/>
  <c r="Z382" i="5"/>
  <c r="Z298" i="5"/>
  <c r="Z268" i="5"/>
  <c r="Z133" i="5"/>
  <c r="Z255" i="5"/>
  <c r="Z540" i="5"/>
  <c r="Z42" i="5"/>
  <c r="Z544" i="5"/>
  <c r="Z92" i="5"/>
  <c r="Z538" i="5"/>
  <c r="Z284" i="5"/>
  <c r="Z553" i="5"/>
  <c r="Z297" i="5"/>
  <c r="Z381" i="5"/>
  <c r="Z70" i="5"/>
  <c r="Z217" i="5"/>
  <c r="Z403" i="5"/>
  <c r="Z328" i="5"/>
  <c r="Z294" i="5"/>
  <c r="Z309" i="5"/>
  <c r="Z53" i="5"/>
  <c r="Z235" i="5"/>
  <c r="Z423" i="5"/>
  <c r="Z125" i="5"/>
  <c r="Z93" i="5"/>
  <c r="Z261" i="5"/>
  <c r="Z541" i="5"/>
  <c r="Z40" i="5"/>
  <c r="Z434" i="5"/>
  <c r="Z151" i="5"/>
  <c r="Z396" i="5"/>
  <c r="Z238" i="5"/>
  <c r="Z424" i="5"/>
  <c r="Z477" i="5"/>
  <c r="Z32" i="5"/>
  <c r="Z548" i="5"/>
  <c r="Z52" i="5"/>
  <c r="Z83" i="5"/>
  <c r="Z113" i="5"/>
  <c r="Z468" i="5"/>
  <c r="Z535" i="5"/>
  <c r="Z295" i="5"/>
  <c r="Z307" i="5"/>
  <c r="Z121" i="5"/>
  <c r="Z526" i="5"/>
  <c r="Z532" i="5"/>
  <c r="Z108" i="5"/>
  <c r="Z316" i="5"/>
  <c r="Z277" i="5"/>
  <c r="Z29" i="5"/>
  <c r="Z173" i="5"/>
  <c r="Z364" i="5"/>
  <c r="Z334" i="5"/>
  <c r="Z58" i="5"/>
  <c r="Z176" i="5"/>
  <c r="Z358" i="5"/>
  <c r="Z359" i="5"/>
  <c r="Z360" i="5"/>
  <c r="Z394" i="5"/>
  <c r="Z109" i="5"/>
  <c r="Z132" i="5"/>
  <c r="Z174" i="5"/>
  <c r="Z224" i="5"/>
  <c r="Z463" i="5"/>
  <c r="Z154" i="5"/>
  <c r="Z545" i="5"/>
  <c r="Z479" i="5"/>
  <c r="Z397" i="5"/>
  <c r="Z404" i="5"/>
  <c r="Z425" i="5"/>
  <c r="Z153" i="5"/>
  <c r="Z560" i="5"/>
  <c r="Z329" i="5"/>
  <c r="Z105" i="5"/>
  <c r="Z383" i="5"/>
  <c r="Z253" i="5"/>
  <c r="Z21" i="5"/>
  <c r="Z398" i="5"/>
  <c r="Z201" i="5"/>
  <c r="Z102" i="5"/>
  <c r="Z427" i="5"/>
  <c r="Z185" i="5"/>
  <c r="Z49" i="5"/>
  <c r="Z188" i="5"/>
  <c r="Z341" i="5"/>
  <c r="Z293" i="5"/>
  <c r="Z210" i="5"/>
  <c r="Z225" i="5"/>
  <c r="Z219" i="5"/>
  <c r="Z101" i="5"/>
  <c r="Z157" i="5"/>
  <c r="Z289" i="5"/>
  <c r="Z249" i="5"/>
  <c r="Z150" i="5"/>
  <c r="Z136" i="5"/>
  <c r="Z557" i="5"/>
  <c r="Z419" i="5"/>
  <c r="Z164" i="5"/>
  <c r="Z99" i="5"/>
  <c r="Z162" i="5"/>
  <c r="Z453" i="5"/>
  <c r="Z371" i="5"/>
  <c r="Z323" i="5"/>
  <c r="Z520" i="5"/>
  <c r="Z248" i="5"/>
  <c r="Z344" i="5"/>
  <c r="Z385" i="5"/>
  <c r="Z345" i="5"/>
  <c r="Z281" i="5"/>
  <c r="Z67" i="5"/>
  <c r="Z444" i="5"/>
  <c r="Z388" i="5"/>
  <c r="Z454" i="5"/>
  <c r="Z441" i="5"/>
  <c r="Z451" i="5"/>
  <c r="Z420" i="5"/>
  <c r="Z304" i="5"/>
  <c r="Z556" i="5"/>
  <c r="Z243" i="5"/>
  <c r="Z41" i="5"/>
  <c r="Z357" i="5"/>
  <c r="AB7" i="5"/>
  <c r="AA7" i="5"/>
  <c r="AB357" i="5" l="1"/>
  <c r="AA357" i="5"/>
  <c r="AA304" i="5"/>
  <c r="AB304" i="5"/>
  <c r="AB454" i="5"/>
  <c r="AA454" i="5"/>
  <c r="AA281" i="5"/>
  <c r="AB281" i="5"/>
  <c r="AB248" i="5"/>
  <c r="AA248" i="5"/>
  <c r="AB453" i="5"/>
  <c r="AA453" i="5"/>
  <c r="AB419" i="5"/>
  <c r="AA419" i="5"/>
  <c r="AB249" i="5"/>
  <c r="AA249" i="5"/>
  <c r="AB219" i="5"/>
  <c r="AA219" i="5"/>
  <c r="AB341" i="5"/>
  <c r="AA341" i="5"/>
  <c r="AB427" i="5"/>
  <c r="AA427" i="5"/>
  <c r="AA21" i="5"/>
  <c r="AB21" i="5"/>
  <c r="AA329" i="5"/>
  <c r="AB329" i="5"/>
  <c r="AB404" i="5"/>
  <c r="AA404" i="5"/>
  <c r="AB154" i="5"/>
  <c r="AA154" i="5"/>
  <c r="AB132" i="5"/>
  <c r="AA132" i="5"/>
  <c r="AB359" i="5"/>
  <c r="AA359" i="5"/>
  <c r="AB334" i="5"/>
  <c r="AA334" i="5"/>
  <c r="AA277" i="5"/>
  <c r="AB277" i="5"/>
  <c r="AA526" i="5"/>
  <c r="AB526" i="5"/>
  <c r="AB535" i="5"/>
  <c r="AA535" i="5"/>
  <c r="AB52" i="5"/>
  <c r="AA52" i="5"/>
  <c r="AB424" i="5"/>
  <c r="AA424" i="5"/>
  <c r="AA434" i="5"/>
  <c r="AB434" i="5"/>
  <c r="AB93" i="5"/>
  <c r="AA93" i="5"/>
  <c r="AB53" i="5"/>
  <c r="AA53" i="5"/>
  <c r="AA403" i="5"/>
  <c r="AB403" i="5"/>
  <c r="AA297" i="5"/>
  <c r="AB297" i="5"/>
  <c r="AA92" i="5"/>
  <c r="AB92" i="5"/>
  <c r="AA255" i="5"/>
  <c r="AB255" i="5"/>
  <c r="AA382" i="5"/>
  <c r="AB382" i="5"/>
  <c r="AA438" i="5"/>
  <c r="AB438" i="5"/>
  <c r="AA271" i="5"/>
  <c r="AB271" i="5"/>
  <c r="AA416" i="5"/>
  <c r="AB416" i="5"/>
  <c r="AA491" i="5"/>
  <c r="AB491" i="5"/>
  <c r="AB60" i="5"/>
  <c r="AA60" i="5"/>
  <c r="AA462" i="5"/>
  <c r="AB462" i="5"/>
  <c r="AA333" i="5"/>
  <c r="AB333" i="5"/>
  <c r="AB469" i="5"/>
  <c r="AA469" i="5"/>
  <c r="AA389" i="5"/>
  <c r="AB389" i="5"/>
  <c r="AA390" i="5"/>
  <c r="AB390" i="5"/>
  <c r="AA54" i="5"/>
  <c r="AB54" i="5"/>
  <c r="AA495" i="5"/>
  <c r="AB495" i="5"/>
  <c r="AB111" i="5"/>
  <c r="AA111" i="5"/>
  <c r="AB194" i="5"/>
  <c r="AA194" i="5"/>
  <c r="AB145" i="5"/>
  <c r="AA145" i="5"/>
  <c r="AA531" i="5"/>
  <c r="AB531" i="5"/>
  <c r="AA411" i="5"/>
  <c r="AB411" i="5"/>
  <c r="AB128" i="5"/>
  <c r="AA128" i="5"/>
  <c r="AB536" i="5"/>
  <c r="AA536" i="5"/>
  <c r="AB418" i="5"/>
  <c r="AA418" i="5"/>
  <c r="AB366" i="5"/>
  <c r="AA366" i="5"/>
  <c r="AA172" i="5"/>
  <c r="AB172" i="5"/>
  <c r="AA273" i="5"/>
  <c r="AB273" i="5"/>
  <c r="AA216" i="5"/>
  <c r="AB216" i="5"/>
  <c r="AB142" i="5"/>
  <c r="AA142" i="5"/>
  <c r="AA485" i="5"/>
  <c r="AB485" i="5"/>
  <c r="AB12" i="5"/>
  <c r="AA12" i="5"/>
  <c r="AB496" i="5"/>
  <c r="AA496" i="5"/>
  <c r="AA502" i="5"/>
  <c r="AB502" i="5"/>
  <c r="AA527" i="5"/>
  <c r="AB527" i="5"/>
  <c r="AA23" i="5"/>
  <c r="AB23" i="5"/>
  <c r="AB499" i="5"/>
  <c r="AA499" i="5"/>
  <c r="AA115" i="5"/>
  <c r="AB115" i="5"/>
  <c r="AA186" i="5"/>
  <c r="AB186" i="5"/>
  <c r="AB552" i="5"/>
  <c r="AA552" i="5"/>
  <c r="AA90" i="5"/>
  <c r="AB90" i="5"/>
  <c r="AB130" i="5"/>
  <c r="AA130" i="5"/>
  <c r="AA47" i="5"/>
  <c r="AB47" i="5"/>
  <c r="AA114" i="5"/>
  <c r="AB114" i="5"/>
  <c r="AA215" i="5"/>
  <c r="AB215" i="5"/>
  <c r="AA285" i="5"/>
  <c r="AB285" i="5"/>
  <c r="AA456" i="5"/>
  <c r="AB456" i="5"/>
  <c r="AA505" i="5"/>
  <c r="AB505" i="5"/>
  <c r="AB112" i="5"/>
  <c r="AA112" i="5"/>
  <c r="AB367" i="5"/>
  <c r="AA367" i="5"/>
  <c r="AA537" i="5"/>
  <c r="AB537" i="5"/>
  <c r="AA134" i="5"/>
  <c r="AB134" i="5"/>
  <c r="AB300" i="5"/>
  <c r="AA300" i="5"/>
  <c r="AB487" i="5"/>
  <c r="AA487" i="5"/>
  <c r="AB77" i="5"/>
  <c r="AA77" i="5"/>
  <c r="AA230" i="5"/>
  <c r="AB230" i="5"/>
  <c r="AB242" i="5"/>
  <c r="AA242" i="5"/>
  <c r="AA187" i="5"/>
  <c r="AB187" i="5"/>
  <c r="AA116" i="5"/>
  <c r="AB116" i="5"/>
  <c r="AA507" i="5"/>
  <c r="AB507" i="5"/>
  <c r="AB336" i="5"/>
  <c r="AA336" i="5"/>
  <c r="AA26" i="5"/>
  <c r="AB26" i="5"/>
  <c r="AA146" i="5"/>
  <c r="AB146" i="5"/>
  <c r="AB161" i="5"/>
  <c r="AA161" i="5"/>
  <c r="AA516" i="5"/>
  <c r="AB516" i="5"/>
  <c r="AA124" i="5"/>
  <c r="AB124" i="5"/>
  <c r="AA522" i="5"/>
  <c r="AB522" i="5"/>
  <c r="AB165" i="5"/>
  <c r="AA165" i="5"/>
  <c r="AB503" i="5"/>
  <c r="AA503" i="5"/>
  <c r="AA184" i="5"/>
  <c r="AB184" i="5"/>
  <c r="AB190" i="5"/>
  <c r="AA190" i="5"/>
  <c r="AA137" i="5"/>
  <c r="AB137" i="5"/>
  <c r="AA24" i="5"/>
  <c r="AB24" i="5"/>
  <c r="AB234" i="5"/>
  <c r="AA234" i="5"/>
  <c r="AA106" i="5"/>
  <c r="AB106" i="5"/>
  <c r="AB8" i="5"/>
  <c r="AA8" i="5"/>
  <c r="AB159" i="5"/>
  <c r="AA159" i="5"/>
  <c r="AB483" i="5"/>
  <c r="AA483" i="5"/>
  <c r="AA317" i="5"/>
  <c r="AB317" i="5"/>
  <c r="AB320" i="5"/>
  <c r="AA320" i="5"/>
  <c r="AB84" i="5"/>
  <c r="AA84" i="5"/>
  <c r="AA169" i="5"/>
  <c r="AB169" i="5"/>
  <c r="AA408" i="5"/>
  <c r="AB408" i="5"/>
  <c r="AA450" i="5"/>
  <c r="AB450" i="5"/>
  <c r="AA222" i="5"/>
  <c r="AB222" i="5"/>
  <c r="AB65" i="5"/>
  <c r="AA65" i="5"/>
  <c r="AA449" i="5"/>
  <c r="AB449" i="5"/>
  <c r="AA414" i="5"/>
  <c r="AB414" i="5"/>
  <c r="AB63" i="5"/>
  <c r="AA63" i="5"/>
  <c r="AB409" i="5"/>
  <c r="AA409" i="5"/>
  <c r="AA13" i="5"/>
  <c r="AB13" i="5"/>
  <c r="AA119" i="5"/>
  <c r="AB119" i="5"/>
  <c r="AB352" i="5"/>
  <c r="AA352" i="5"/>
  <c r="AA431" i="5"/>
  <c r="AB431" i="5"/>
  <c r="AB196" i="5"/>
  <c r="AA196" i="5"/>
  <c r="AB542" i="5"/>
  <c r="AA542" i="5"/>
  <c r="AB543" i="5"/>
  <c r="AA543" i="5"/>
  <c r="AA202" i="5"/>
  <c r="AB202" i="5"/>
  <c r="AB182" i="5"/>
  <c r="AA182" i="5"/>
  <c r="AA435" i="5"/>
  <c r="AB435" i="5"/>
  <c r="AA98" i="5"/>
  <c r="AB98" i="5"/>
  <c r="AB348" i="5"/>
  <c r="AA348" i="5"/>
  <c r="AB510" i="5"/>
  <c r="AA510" i="5"/>
  <c r="AA288" i="5"/>
  <c r="AB288" i="5"/>
  <c r="AB107" i="5"/>
  <c r="AA107" i="5"/>
  <c r="AA34" i="5"/>
  <c r="AB34" i="5"/>
  <c r="AA378" i="5"/>
  <c r="AB378" i="5"/>
  <c r="AA337" i="5"/>
  <c r="AB337" i="5"/>
  <c r="AA246" i="5"/>
  <c r="AB246" i="5"/>
  <c r="AA80" i="5"/>
  <c r="AB80" i="5"/>
  <c r="AB375" i="5"/>
  <c r="AA375" i="5"/>
  <c r="AA41" i="5"/>
  <c r="AB41" i="5"/>
  <c r="AB420" i="5"/>
  <c r="AA420" i="5"/>
  <c r="AB388" i="5"/>
  <c r="AA388" i="5"/>
  <c r="AB345" i="5"/>
  <c r="AA345" i="5"/>
  <c r="AA520" i="5"/>
  <c r="AB520" i="5"/>
  <c r="AA162" i="5"/>
  <c r="AB162" i="5"/>
  <c r="AA557" i="5"/>
  <c r="AB557" i="5"/>
  <c r="AB289" i="5"/>
  <c r="AA289" i="5"/>
  <c r="AB225" i="5"/>
  <c r="AA225" i="5"/>
  <c r="AB188" i="5"/>
  <c r="AA188" i="5"/>
  <c r="AA102" i="5"/>
  <c r="AB102" i="5"/>
  <c r="AB253" i="5"/>
  <c r="AA253" i="5"/>
  <c r="AB560" i="5"/>
  <c r="AA560" i="5"/>
  <c r="AA397" i="5"/>
  <c r="AB397" i="5"/>
  <c r="AB463" i="5"/>
  <c r="AA463" i="5"/>
  <c r="AB109" i="5"/>
  <c r="AA109" i="5"/>
  <c r="AB358" i="5"/>
  <c r="AA358" i="5"/>
  <c r="AA364" i="5"/>
  <c r="AB364" i="5"/>
  <c r="AA316" i="5"/>
  <c r="AB316" i="5"/>
  <c r="AA121" i="5"/>
  <c r="AB121" i="5"/>
  <c r="AA468" i="5"/>
  <c r="AB468" i="5"/>
  <c r="AB548" i="5"/>
  <c r="AA548" i="5"/>
  <c r="AB238" i="5"/>
  <c r="AA238" i="5"/>
  <c r="AB40" i="5"/>
  <c r="AA40" i="5"/>
  <c r="AA125" i="5"/>
  <c r="AB125" i="5"/>
  <c r="AB309" i="5"/>
  <c r="AA309" i="5"/>
  <c r="AB217" i="5"/>
  <c r="AA217" i="5"/>
  <c r="AA553" i="5"/>
  <c r="AB553" i="5"/>
  <c r="AB544" i="5"/>
  <c r="AA544" i="5"/>
  <c r="AA133" i="5"/>
  <c r="AB133" i="5"/>
  <c r="AA267" i="5"/>
  <c r="AB267" i="5"/>
  <c r="AB209" i="5"/>
  <c r="AA209" i="5"/>
  <c r="AA559" i="5"/>
  <c r="AB559" i="5"/>
  <c r="AB291" i="5"/>
  <c r="AA291" i="5"/>
  <c r="AA305" i="5"/>
  <c r="AB305" i="5"/>
  <c r="AB558" i="5"/>
  <c r="AA558" i="5"/>
  <c r="AB97" i="5"/>
  <c r="AA97" i="5"/>
  <c r="AA314" i="5"/>
  <c r="AB314" i="5"/>
  <c r="AB497" i="5"/>
  <c r="AA497" i="5"/>
  <c r="AB374" i="5"/>
  <c r="AA374" i="5"/>
  <c r="AB372" i="5"/>
  <c r="AA372" i="5"/>
  <c r="AA355" i="5"/>
  <c r="AB355" i="5"/>
  <c r="AB303" i="5"/>
  <c r="AA303" i="5"/>
  <c r="AA120" i="5"/>
  <c r="AB120" i="5"/>
  <c r="AB481" i="5"/>
  <c r="AA481" i="5"/>
  <c r="AA104" i="5"/>
  <c r="AB104" i="5"/>
  <c r="AB443" i="5"/>
  <c r="AA443" i="5"/>
  <c r="AA524" i="5"/>
  <c r="AB524" i="5"/>
  <c r="AB504" i="5"/>
  <c r="AA504" i="5"/>
  <c r="AA178" i="5"/>
  <c r="AB178" i="5"/>
  <c r="AB263" i="5"/>
  <c r="AA263" i="5"/>
  <c r="AA94" i="5"/>
  <c r="AB94" i="5"/>
  <c r="AA330" i="5"/>
  <c r="AB330" i="5"/>
  <c r="AB276" i="5"/>
  <c r="AA276" i="5"/>
  <c r="AB457" i="5"/>
  <c r="AA457" i="5"/>
  <c r="AB226" i="5"/>
  <c r="AA226" i="5"/>
  <c r="AA318" i="5"/>
  <c r="AB318" i="5"/>
  <c r="AB179" i="5"/>
  <c r="AA179" i="5"/>
  <c r="AA282" i="5"/>
  <c r="AB282" i="5"/>
  <c r="AB166" i="5"/>
  <c r="AA166" i="5"/>
  <c r="AA480" i="5"/>
  <c r="AB480" i="5"/>
  <c r="AB494" i="5"/>
  <c r="AA494" i="5"/>
  <c r="AA464" i="5"/>
  <c r="AB464" i="5"/>
  <c r="AA471" i="5"/>
  <c r="AB471" i="5"/>
  <c r="AA27" i="5"/>
  <c r="AB27" i="5"/>
  <c r="AB475" i="5"/>
  <c r="AA475" i="5"/>
  <c r="AB204" i="5"/>
  <c r="AA204" i="5"/>
  <c r="AA440" i="5"/>
  <c r="AB440" i="5"/>
  <c r="AB426" i="5"/>
  <c r="AA426" i="5"/>
  <c r="AA518" i="5"/>
  <c r="AB518" i="5"/>
  <c r="AA19" i="5"/>
  <c r="AB19" i="5"/>
  <c r="AB221" i="5"/>
  <c r="AA221" i="5"/>
  <c r="AA470" i="5"/>
  <c r="AB470" i="5"/>
  <c r="AA144" i="5"/>
  <c r="AB144" i="5"/>
  <c r="AA66" i="5"/>
  <c r="AB66" i="5"/>
  <c r="AA79" i="5"/>
  <c r="AB79" i="5"/>
  <c r="AB240" i="5"/>
  <c r="AA240" i="5"/>
  <c r="AB338" i="5"/>
  <c r="AA338" i="5"/>
  <c r="AB193" i="5"/>
  <c r="AA193" i="5"/>
  <c r="AA177" i="5"/>
  <c r="AB177" i="5"/>
  <c r="AA354" i="5"/>
  <c r="AB354" i="5"/>
  <c r="AB473" i="5"/>
  <c r="AA473" i="5"/>
  <c r="AB362" i="5"/>
  <c r="AA362" i="5"/>
  <c r="AA429" i="5"/>
  <c r="AB429" i="5"/>
  <c r="AB365" i="5"/>
  <c r="AA365" i="5"/>
  <c r="AB200" i="5"/>
  <c r="AA200" i="5"/>
  <c r="AB433" i="5"/>
  <c r="AA433" i="5"/>
  <c r="AB484" i="5"/>
  <c r="AA484" i="5"/>
  <c r="AB43" i="5"/>
  <c r="AA43" i="5"/>
  <c r="AA356" i="5"/>
  <c r="AB356" i="5"/>
  <c r="AA163" i="5"/>
  <c r="AB163" i="5"/>
  <c r="AA131" i="5"/>
  <c r="AB131" i="5"/>
  <c r="AA439" i="5"/>
  <c r="AB439" i="5"/>
  <c r="AA322" i="5"/>
  <c r="AB322" i="5"/>
  <c r="AA327" i="5"/>
  <c r="AB327" i="5"/>
  <c r="AA138" i="5"/>
  <c r="AB138" i="5"/>
  <c r="AB218" i="5"/>
  <c r="AA218" i="5"/>
  <c r="AB129" i="5"/>
  <c r="AA129" i="5"/>
  <c r="AA361" i="5"/>
  <c r="AB361" i="5"/>
  <c r="AA312" i="5"/>
  <c r="AB312" i="5"/>
  <c r="AA81" i="5"/>
  <c r="AB81" i="5"/>
  <c r="AA100" i="5"/>
  <c r="AB100" i="5"/>
  <c r="AA241" i="5"/>
  <c r="AB241" i="5"/>
  <c r="AB488" i="5"/>
  <c r="AA488" i="5"/>
  <c r="AB205" i="5"/>
  <c r="AA205" i="5"/>
  <c r="AB299" i="5"/>
  <c r="AA299" i="5"/>
  <c r="AB402" i="5"/>
  <c r="AA402" i="5"/>
  <c r="AA335" i="5"/>
  <c r="AB335" i="5"/>
  <c r="AB549" i="5"/>
  <c r="AA549" i="5"/>
  <c r="AB447" i="5"/>
  <c r="AA447" i="5"/>
  <c r="AA192" i="5"/>
  <c r="AB192" i="5"/>
  <c r="AB486" i="5"/>
  <c r="AA486" i="5"/>
  <c r="AA346" i="5"/>
  <c r="AB346" i="5"/>
  <c r="AA363" i="5"/>
  <c r="AB363" i="5"/>
  <c r="AB88" i="5"/>
  <c r="AA88" i="5"/>
  <c r="AB223" i="5"/>
  <c r="AA223" i="5"/>
  <c r="AA342" i="5"/>
  <c r="AB342" i="5"/>
  <c r="AB278" i="5"/>
  <c r="AA278" i="5"/>
  <c r="AA530" i="5"/>
  <c r="AB530" i="5"/>
  <c r="AB432" i="5"/>
  <c r="AA432" i="5"/>
  <c r="AA490" i="5"/>
  <c r="AB490" i="5"/>
  <c r="AB62" i="5"/>
  <c r="AA62" i="5"/>
  <c r="AA57" i="5"/>
  <c r="AB57" i="5"/>
  <c r="AB259" i="5"/>
  <c r="AA259" i="5"/>
  <c r="AA181" i="5"/>
  <c r="AB181" i="5"/>
  <c r="AA78" i="5"/>
  <c r="AB78" i="5"/>
  <c r="AA376" i="5"/>
  <c r="AB376" i="5"/>
  <c r="AA509" i="5"/>
  <c r="AB509" i="5"/>
  <c r="AA233" i="5"/>
  <c r="AB233" i="5"/>
  <c r="AA554" i="5"/>
  <c r="AB554" i="5"/>
  <c r="AA417" i="5"/>
  <c r="AB417" i="5"/>
  <c r="AB379" i="5"/>
  <c r="AA379" i="5"/>
  <c r="AB211" i="5"/>
  <c r="AA211" i="5"/>
  <c r="AB528" i="5"/>
  <c r="AA528" i="5"/>
  <c r="AA459" i="5"/>
  <c r="AB459" i="5"/>
  <c r="AB350" i="5"/>
  <c r="AA350" i="5"/>
  <c r="AA243" i="5"/>
  <c r="AB243" i="5"/>
  <c r="AB451" i="5"/>
  <c r="AA451" i="5"/>
  <c r="AA444" i="5"/>
  <c r="AB444" i="5"/>
  <c r="AB385" i="5"/>
  <c r="AA385" i="5"/>
  <c r="AA323" i="5"/>
  <c r="AB323" i="5"/>
  <c r="AA99" i="5"/>
  <c r="AB99" i="5"/>
  <c r="AB136" i="5"/>
  <c r="AA136" i="5"/>
  <c r="AA157" i="5"/>
  <c r="AB157" i="5"/>
  <c r="AB210" i="5"/>
  <c r="AA210" i="5"/>
  <c r="AB49" i="5"/>
  <c r="AA49" i="5"/>
  <c r="AB201" i="5"/>
  <c r="AA201" i="5"/>
  <c r="AB383" i="5"/>
  <c r="AA383" i="5"/>
  <c r="AA153" i="5"/>
  <c r="AB153" i="5"/>
  <c r="AB479" i="5"/>
  <c r="AA479" i="5"/>
  <c r="AB224" i="5"/>
  <c r="AA224" i="5"/>
  <c r="AB394" i="5"/>
  <c r="AA394" i="5"/>
  <c r="AB176" i="5"/>
  <c r="AA176" i="5"/>
  <c r="AB173" i="5"/>
  <c r="AA173" i="5"/>
  <c r="AB108" i="5"/>
  <c r="AA108" i="5"/>
  <c r="AA307" i="5"/>
  <c r="AB307" i="5"/>
  <c r="AA113" i="5"/>
  <c r="AB113" i="5"/>
  <c r="AB32" i="5"/>
  <c r="AA32" i="5"/>
  <c r="AB396" i="5"/>
  <c r="AA396" i="5"/>
  <c r="AA541" i="5"/>
  <c r="AB541" i="5"/>
  <c r="AA423" i="5"/>
  <c r="AB423" i="5"/>
  <c r="AB294" i="5"/>
  <c r="AA294" i="5"/>
  <c r="AB70" i="5"/>
  <c r="AA70" i="5"/>
  <c r="AB284" i="5"/>
  <c r="AA284" i="5"/>
  <c r="AB42" i="5"/>
  <c r="AA42" i="5"/>
  <c r="AA268" i="5"/>
  <c r="AB268" i="5"/>
  <c r="AB286" i="5"/>
  <c r="AA286" i="5"/>
  <c r="AB392" i="5"/>
  <c r="AA392" i="5"/>
  <c r="AA158" i="5"/>
  <c r="AB158" i="5"/>
  <c r="AB250" i="5"/>
  <c r="AA250" i="5"/>
  <c r="AA489" i="5"/>
  <c r="AB489" i="5"/>
  <c r="AA551" i="5"/>
  <c r="AB551" i="5"/>
  <c r="AA160" i="5"/>
  <c r="AB160" i="5"/>
  <c r="AB340" i="5"/>
  <c r="AA340" i="5"/>
  <c r="AB117" i="5"/>
  <c r="AA117" i="5"/>
  <c r="AB519" i="5"/>
  <c r="AA519" i="5"/>
  <c r="AA220" i="5"/>
  <c r="AB220" i="5"/>
  <c r="AB437" i="5"/>
  <c r="AA437" i="5"/>
  <c r="AA478" i="5"/>
  <c r="AB478" i="5"/>
  <c r="AA550" i="5"/>
  <c r="AB550" i="5"/>
  <c r="AB167" i="5"/>
  <c r="AA167" i="5"/>
  <c r="AB155" i="5"/>
  <c r="AA155" i="5"/>
  <c r="AA56" i="5"/>
  <c r="AB56" i="5"/>
  <c r="AA86" i="5"/>
  <c r="AB86" i="5"/>
  <c r="AA472" i="5"/>
  <c r="AB472" i="5"/>
  <c r="AB189" i="5"/>
  <c r="AA189" i="5"/>
  <c r="AA292" i="5"/>
  <c r="AB292" i="5"/>
  <c r="AB391" i="5"/>
  <c r="AA391" i="5"/>
  <c r="AB123" i="5"/>
  <c r="AA123" i="5"/>
  <c r="AA227" i="5"/>
  <c r="AB227" i="5"/>
  <c r="AB37" i="5"/>
  <c r="AA37" i="5"/>
  <c r="AB147" i="5"/>
  <c r="AA147" i="5"/>
  <c r="AB290" i="5"/>
  <c r="AA290" i="5"/>
  <c r="AB251" i="5"/>
  <c r="AA251" i="5"/>
  <c r="AB421" i="5"/>
  <c r="AA421" i="5"/>
  <c r="AA168" i="5"/>
  <c r="AB168" i="5"/>
  <c r="AA126" i="5"/>
  <c r="AB126" i="5"/>
  <c r="AA103" i="5"/>
  <c r="AB103" i="5"/>
  <c r="AB369" i="5"/>
  <c r="AA369" i="5"/>
  <c r="AA61" i="5"/>
  <c r="AB61" i="5"/>
  <c r="AB272" i="5"/>
  <c r="AA272" i="5"/>
  <c r="AA118" i="5"/>
  <c r="AB118" i="5"/>
  <c r="AA266" i="5"/>
  <c r="AB266" i="5"/>
  <c r="AB195" i="5"/>
  <c r="AA195" i="5"/>
  <c r="AA287" i="5"/>
  <c r="AB287" i="5"/>
  <c r="AB270" i="5"/>
  <c r="AA270" i="5"/>
  <c r="AA428" i="5"/>
  <c r="AB428" i="5"/>
  <c r="AB351" i="5"/>
  <c r="AA351" i="5"/>
  <c r="AA387" i="5"/>
  <c r="AB387" i="5"/>
  <c r="AB513" i="5"/>
  <c r="AA513" i="5"/>
  <c r="AA373" i="5"/>
  <c r="AB373" i="5"/>
  <c r="AA180" i="5"/>
  <c r="AB180" i="5"/>
  <c r="AB311" i="5"/>
  <c r="AA311" i="5"/>
  <c r="AA445" i="5"/>
  <c r="AB445" i="5"/>
  <c r="AA38" i="5"/>
  <c r="AB38" i="5"/>
  <c r="AB69" i="5"/>
  <c r="AA69" i="5"/>
  <c r="AA72" i="5"/>
  <c r="AB72" i="5"/>
  <c r="AA35" i="5"/>
  <c r="AB35" i="5"/>
  <c r="AB555" i="5"/>
  <c r="AA555" i="5"/>
  <c r="AA546" i="5"/>
  <c r="AB546" i="5"/>
  <c r="AA448" i="5"/>
  <c r="AB448" i="5"/>
  <c r="AB96" i="5"/>
  <c r="AA96" i="5"/>
  <c r="AB319" i="5"/>
  <c r="AA319" i="5"/>
  <c r="AA237" i="5"/>
  <c r="AB237" i="5"/>
  <c r="AA430" i="5"/>
  <c r="AB430" i="5"/>
  <c r="AB183" i="5"/>
  <c r="AA183" i="5"/>
  <c r="AA95" i="5"/>
  <c r="AB95" i="5"/>
  <c r="AA245" i="5"/>
  <c r="AB245" i="5"/>
  <c r="AA76" i="5"/>
  <c r="AB76" i="5"/>
  <c r="AB89" i="5"/>
  <c r="AA89" i="5"/>
  <c r="AB44" i="5"/>
  <c r="AA44" i="5"/>
  <c r="AB135" i="5"/>
  <c r="AA135" i="5"/>
  <c r="AB283" i="5"/>
  <c r="AA283" i="5"/>
  <c r="AB514" i="5"/>
  <c r="AA514" i="5"/>
  <c r="AA461" i="5"/>
  <c r="AB461" i="5"/>
  <c r="AB68" i="5"/>
  <c r="AA68" i="5"/>
  <c r="AA500" i="5"/>
  <c r="AB500" i="5"/>
  <c r="AA191" i="5"/>
  <c r="AB191" i="5"/>
  <c r="AA436" i="5"/>
  <c r="AB436" i="5"/>
  <c r="AA377" i="5"/>
  <c r="AB377" i="5"/>
  <c r="AB51" i="5"/>
  <c r="AA51" i="5"/>
  <c r="AA331" i="5"/>
  <c r="AB331" i="5"/>
  <c r="AA492" i="5"/>
  <c r="AB492" i="5"/>
  <c r="AB197" i="5"/>
  <c r="AA197" i="5"/>
  <c r="AA232" i="5"/>
  <c r="AB232" i="5"/>
  <c r="AB71" i="5"/>
  <c r="AA71" i="5"/>
  <c r="AB20" i="5"/>
  <c r="AA20" i="5"/>
  <c r="AA257" i="5"/>
  <c r="AB257" i="5"/>
  <c r="AA239" i="5"/>
  <c r="AB239" i="5"/>
  <c r="AA82" i="5"/>
  <c r="AB82" i="5"/>
  <c r="AB460" i="5"/>
  <c r="AA460" i="5"/>
  <c r="AB274" i="5"/>
  <c r="AA274" i="5"/>
  <c r="AB410" i="5"/>
  <c r="AA410" i="5"/>
  <c r="AB264" i="5"/>
  <c r="AA264" i="5"/>
  <c r="AA149" i="5"/>
  <c r="AB149" i="5"/>
  <c r="AB45" i="5"/>
  <c r="AA45" i="5"/>
  <c r="AA401" i="5"/>
  <c r="AB401" i="5"/>
  <c r="AA529" i="5"/>
  <c r="AB529" i="5"/>
  <c r="AA91" i="5"/>
  <c r="AB91" i="5"/>
  <c r="AB405" i="5"/>
  <c r="AA405" i="5"/>
  <c r="AB175" i="5"/>
  <c r="AA175" i="5"/>
  <c r="AA501" i="5"/>
  <c r="AB501" i="5"/>
  <c r="AA31" i="5"/>
  <c r="AB31" i="5"/>
  <c r="AA244" i="5"/>
  <c r="AB244" i="5"/>
  <c r="AB260" i="5"/>
  <c r="AA260" i="5"/>
  <c r="AB170" i="5"/>
  <c r="AA170" i="5"/>
  <c r="AA539" i="5"/>
  <c r="AB539" i="5"/>
  <c r="AB512" i="5"/>
  <c r="AA512" i="5"/>
  <c r="AA406" i="5"/>
  <c r="AB406" i="5"/>
  <c r="AB343" i="5"/>
  <c r="AA343" i="5"/>
  <c r="AB452" i="5"/>
  <c r="AA452" i="5"/>
  <c r="AA353" i="5"/>
  <c r="AB353" i="5"/>
  <c r="AA556" i="5"/>
  <c r="AB556" i="5"/>
  <c r="AB441" i="5"/>
  <c r="AA441" i="5"/>
  <c r="AB67" i="5"/>
  <c r="AA67" i="5"/>
  <c r="AA344" i="5"/>
  <c r="AB344" i="5"/>
  <c r="AA371" i="5"/>
  <c r="AB371" i="5"/>
  <c r="AA164" i="5"/>
  <c r="AB164" i="5"/>
  <c r="AB150" i="5"/>
  <c r="AA150" i="5"/>
  <c r="AA101" i="5"/>
  <c r="AB101" i="5"/>
  <c r="AA293" i="5"/>
  <c r="AB293" i="5"/>
  <c r="AB185" i="5"/>
  <c r="AA185" i="5"/>
  <c r="AB398" i="5"/>
  <c r="AA398" i="5"/>
  <c r="AA105" i="5"/>
  <c r="AB105" i="5"/>
  <c r="AB425" i="5"/>
  <c r="AA425" i="5"/>
  <c r="AA545" i="5"/>
  <c r="AB545" i="5"/>
  <c r="AA174" i="5"/>
  <c r="AB174" i="5"/>
  <c r="AA360" i="5"/>
  <c r="AB360" i="5"/>
  <c r="AB58" i="5"/>
  <c r="AA58" i="5"/>
  <c r="AA29" i="5"/>
  <c r="AB29" i="5"/>
  <c r="AA532" i="5"/>
  <c r="AB532" i="5"/>
  <c r="AB295" i="5"/>
  <c r="AA295" i="5"/>
  <c r="AB83" i="5"/>
  <c r="AA83" i="5"/>
  <c r="AB477" i="5"/>
  <c r="AA477" i="5"/>
  <c r="AA151" i="5"/>
  <c r="AB151" i="5"/>
  <c r="AB261" i="5"/>
  <c r="AA261" i="5"/>
  <c r="AA235" i="5"/>
  <c r="AB235" i="5"/>
  <c r="AB328" i="5"/>
  <c r="AA328" i="5"/>
  <c r="AB381" i="5"/>
  <c r="AA381" i="5"/>
  <c r="AA538" i="5"/>
  <c r="AB538" i="5"/>
  <c r="AB540" i="5"/>
  <c r="AA540" i="5"/>
  <c r="AA298" i="5"/>
  <c r="AB298" i="5"/>
  <c r="AA74" i="5"/>
  <c r="AB74" i="5"/>
  <c r="AB370" i="5"/>
  <c r="AA370" i="5"/>
  <c r="AA231" i="5"/>
  <c r="AB231" i="5"/>
  <c r="AA384" i="5"/>
  <c r="AB384" i="5"/>
  <c r="AA523" i="5"/>
  <c r="AB523" i="5"/>
  <c r="AA214" i="5"/>
  <c r="AB214" i="5"/>
  <c r="AA140" i="5"/>
  <c r="AB140" i="5"/>
  <c r="AA326" i="5"/>
  <c r="AB326" i="5"/>
  <c r="AA213" i="5"/>
  <c r="AB213" i="5"/>
  <c r="AA73" i="5"/>
  <c r="AB73" i="5"/>
  <c r="AA339" i="5"/>
  <c r="AB339" i="5"/>
  <c r="AA258" i="5"/>
  <c r="AB258" i="5"/>
  <c r="AA508" i="5"/>
  <c r="AB508" i="5"/>
  <c r="AA517" i="5"/>
  <c r="AB517" i="5"/>
  <c r="AB466" i="5"/>
  <c r="AA466" i="5"/>
  <c r="AA301" i="5"/>
  <c r="AB301" i="5"/>
  <c r="AA413" i="5"/>
  <c r="AB413" i="5"/>
  <c r="AA534" i="5"/>
  <c r="AB534" i="5"/>
  <c r="AA48" i="5"/>
  <c r="AB48" i="5"/>
  <c r="AA547" i="5"/>
  <c r="AB547" i="5"/>
  <c r="AB36" i="5"/>
  <c r="AA36" i="5"/>
  <c r="AB156" i="5"/>
  <c r="AA156" i="5"/>
  <c r="AB321" i="5"/>
  <c r="AA321" i="5"/>
  <c r="AA212" i="5"/>
  <c r="AB212" i="5"/>
  <c r="AB474" i="5"/>
  <c r="AA474" i="5"/>
  <c r="AB476" i="5"/>
  <c r="AA476" i="5"/>
  <c r="AA228" i="5"/>
  <c r="AB228" i="5"/>
  <c r="AB30" i="5"/>
  <c r="AA30" i="5"/>
  <c r="AA521" i="5"/>
  <c r="AB521" i="5"/>
  <c r="AA458" i="5"/>
  <c r="AB458" i="5"/>
  <c r="AA254" i="5"/>
  <c r="AB254" i="5"/>
  <c r="AB247" i="5"/>
  <c r="AA247" i="5"/>
  <c r="AA75" i="5"/>
  <c r="AB75" i="5"/>
  <c r="AB46" i="5"/>
  <c r="AA46" i="5"/>
  <c r="AB380" i="5"/>
  <c r="AA380" i="5"/>
  <c r="AB310" i="5"/>
  <c r="AA310" i="5"/>
  <c r="AB256" i="5"/>
  <c r="AA256" i="5"/>
  <c r="AA325" i="5"/>
  <c r="AB325" i="5"/>
  <c r="AB28" i="5"/>
  <c r="AA28" i="5"/>
  <c r="AB400" i="5"/>
  <c r="AA400" i="5"/>
  <c r="AA127" i="5"/>
  <c r="AB127" i="5"/>
  <c r="AB279" i="5"/>
  <c r="AA279" i="5"/>
  <c r="AB442" i="5"/>
  <c r="AA442" i="5"/>
  <c r="AA22" i="5"/>
  <c r="AB22" i="5"/>
  <c r="AA208" i="5"/>
  <c r="AB208" i="5"/>
  <c r="AB302" i="5"/>
  <c r="AA302" i="5"/>
  <c r="AB395" i="5"/>
  <c r="AA395" i="5"/>
  <c r="AA465" i="5"/>
  <c r="AB465" i="5"/>
  <c r="AB207" i="5"/>
  <c r="AA207" i="5"/>
  <c r="AB236" i="5"/>
  <c r="AA236" i="5"/>
  <c r="AA506" i="5"/>
  <c r="AB506" i="5"/>
  <c r="AA55" i="5"/>
  <c r="AB55" i="5"/>
  <c r="AA143" i="5"/>
  <c r="AB143" i="5"/>
  <c r="AA315" i="5"/>
  <c r="AB315" i="5"/>
  <c r="AA407" i="5"/>
  <c r="AB407" i="5"/>
  <c r="AB265" i="5"/>
  <c r="AA265" i="5"/>
  <c r="AA415" i="5"/>
  <c r="AB415" i="5"/>
  <c r="AA59" i="5"/>
  <c r="AB59" i="5"/>
  <c r="AB171" i="5"/>
  <c r="AA171" i="5"/>
  <c r="AB25" i="5"/>
  <c r="AA25" i="5"/>
  <c r="AA110" i="5"/>
  <c r="AB110" i="5"/>
  <c r="AA498" i="5"/>
  <c r="AB498" i="5"/>
  <c r="AA64" i="5"/>
  <c r="AB64" i="5"/>
  <c r="AB349" i="5"/>
  <c r="AA349" i="5"/>
  <c r="AA85" i="5"/>
  <c r="AB85" i="5"/>
  <c r="AA280" i="5"/>
  <c r="AB280" i="5"/>
  <c r="AA493" i="5"/>
  <c r="AB493" i="5"/>
  <c r="AA198" i="5"/>
  <c r="AB198" i="5"/>
  <c r="AB296" i="5"/>
  <c r="AA296" i="5"/>
  <c r="AA533" i="5"/>
  <c r="AB533" i="5"/>
  <c r="AB313" i="5"/>
  <c r="AA313" i="5"/>
  <c r="AB386" i="5"/>
  <c r="AA386" i="5"/>
  <c r="AB482" i="5"/>
  <c r="AA482" i="5"/>
  <c r="AA399" i="5"/>
  <c r="AB399" i="5"/>
  <c r="AA275" i="5"/>
  <c r="AB275" i="5"/>
  <c r="AB306" i="5"/>
  <c r="AA306" i="5"/>
  <c r="AB412" i="5"/>
  <c r="AA412" i="5"/>
  <c r="AA152" i="5"/>
  <c r="AB152" i="5"/>
  <c r="AB262" i="5"/>
  <c r="AA262" i="5"/>
  <c r="AB368" i="5"/>
  <c r="AA368" i="5"/>
  <c r="AA332" i="5"/>
  <c r="AB332" i="5"/>
  <c r="AB141" i="5"/>
  <c r="AA141" i="5"/>
  <c r="AA50" i="5"/>
  <c r="AB50" i="5"/>
  <c r="AA422" i="5"/>
  <c r="AB422" i="5"/>
  <c r="AB269" i="5"/>
  <c r="AA269" i="5"/>
  <c r="AB324" i="5"/>
  <c r="AA324" i="5"/>
  <c r="AB229" i="5"/>
  <c r="AA229" i="5"/>
  <c r="AA446" i="5"/>
  <c r="AB446" i="5"/>
  <c r="AB347" i="5"/>
  <c r="AA347" i="5"/>
  <c r="AB515" i="5"/>
  <c r="AA515" i="5"/>
  <c r="AA139" i="5"/>
  <c r="AB139" i="5"/>
  <c r="AA39" i="5"/>
  <c r="AB39" i="5"/>
  <c r="AB87" i="5"/>
  <c r="AA87" i="5"/>
  <c r="AB122" i="5"/>
  <c r="AA122" i="5"/>
  <c r="AB33" i="5"/>
  <c r="AA33" i="5"/>
  <c r="AB467" i="5"/>
  <c r="AA467" i="5"/>
  <c r="AB393" i="5"/>
  <c r="AA393" i="5"/>
  <c r="AB206" i="5"/>
  <c r="AA206" i="5"/>
  <c r="AB199" i="5"/>
  <c r="AA199" i="5"/>
  <c r="AA525" i="5"/>
  <c r="AB525" i="5"/>
  <c r="AB148" i="5"/>
  <c r="AA148" i="5"/>
  <c r="AA511" i="5"/>
  <c r="AB511" i="5"/>
  <c r="AB203" i="5"/>
  <c r="AA203" i="5"/>
  <c r="AA455" i="5"/>
  <c r="AB455" i="5"/>
  <c r="AA308" i="5"/>
  <c r="AB308" i="5"/>
  <c r="AA252" i="5"/>
  <c r="AB252" i="5"/>
  <c r="B13" i="2" l="1"/>
  <c r="B31" i="5" l="1"/>
  <c r="O10" i="5" s="1"/>
  <c r="B70" i="2"/>
  <c r="B71" i="2" s="1"/>
  <c r="B54" i="2"/>
  <c r="B55" i="2" s="1"/>
  <c r="B62" i="2"/>
  <c r="B20" i="5"/>
  <c r="B14" i="2"/>
  <c r="B156" i="2"/>
  <c r="B162" i="2" s="1"/>
  <c r="B42" i="2"/>
  <c r="B168" i="2"/>
  <c r="B57" i="2"/>
  <c r="B70" i="5"/>
  <c r="O12" i="4"/>
  <c r="B248" i="2"/>
  <c r="B17" i="5"/>
  <c r="B197" i="2"/>
  <c r="B198" i="2" s="1"/>
  <c r="B206" i="2" s="1"/>
  <c r="B117" i="2"/>
  <c r="H41" i="1" s="1"/>
  <c r="B15" i="2"/>
  <c r="H15" i="1" s="1"/>
  <c r="B42" i="5"/>
  <c r="B65" i="2"/>
  <c r="B73" i="2"/>
  <c r="B35" i="2"/>
  <c r="B36" i="2" s="1"/>
  <c r="B45" i="2" s="1"/>
  <c r="H22" i="1" s="1"/>
  <c r="B40" i="2"/>
  <c r="B107" i="2"/>
  <c r="B266" i="2"/>
  <c r="B43" i="2" l="1"/>
  <c r="B104" i="2"/>
  <c r="B105" i="2" s="1"/>
  <c r="B63" i="2"/>
  <c r="K93" i="2"/>
  <c r="B204" i="2"/>
  <c r="B201" i="2"/>
  <c r="B202" i="2" s="1"/>
  <c r="B56" i="2"/>
  <c r="B94" i="2"/>
  <c r="B83" i="2"/>
  <c r="B58" i="2"/>
  <c r="B109" i="2" s="1"/>
  <c r="B196" i="2"/>
  <c r="B72" i="2"/>
  <c r="B95" i="2"/>
  <c r="B74" i="2"/>
  <c r="B75" i="2" s="1"/>
  <c r="AW10" i="5"/>
  <c r="AZ10" i="5"/>
  <c r="AT10" i="5"/>
  <c r="T10" i="5"/>
  <c r="AJ10" i="5"/>
  <c r="Z10" i="5"/>
  <c r="B43" i="5"/>
  <c r="W231" i="5"/>
  <c r="W249" i="5"/>
  <c r="W400" i="5"/>
  <c r="W436" i="5"/>
  <c r="W148" i="5"/>
  <c r="W20" i="5"/>
  <c r="W376" i="5"/>
  <c r="W410" i="5"/>
  <c r="W499" i="5"/>
  <c r="W109" i="5"/>
  <c r="W501" i="5"/>
  <c r="W262" i="5"/>
  <c r="W416" i="5"/>
  <c r="W83" i="5"/>
  <c r="W23" i="5"/>
  <c r="W511" i="5"/>
  <c r="W168" i="5"/>
  <c r="W317" i="5"/>
  <c r="W151" i="5"/>
  <c r="W212" i="5"/>
  <c r="W229" i="5"/>
  <c r="W541" i="5"/>
  <c r="W388" i="5"/>
  <c r="W305" i="5"/>
  <c r="W466" i="5"/>
  <c r="W381" i="5"/>
  <c r="W343" i="5"/>
  <c r="W239" i="5"/>
  <c r="W89" i="5"/>
  <c r="W115" i="5"/>
  <c r="W187" i="5"/>
  <c r="W497" i="5"/>
  <c r="W140" i="5"/>
  <c r="W253" i="5"/>
  <c r="W179" i="5"/>
  <c r="W207" i="5"/>
  <c r="W379" i="5"/>
  <c r="W217" i="5"/>
  <c r="W10" i="5"/>
  <c r="W293" i="5"/>
  <c r="W413" i="5"/>
  <c r="W415" i="5"/>
  <c r="W418" i="5"/>
  <c r="W297" i="5"/>
  <c r="W160" i="5"/>
  <c r="W110" i="5"/>
  <c r="W180" i="5"/>
  <c r="W144" i="5"/>
  <c r="W339" i="5"/>
  <c r="W36" i="5"/>
  <c r="W480" i="5"/>
  <c r="W42" i="5"/>
  <c r="W311" i="5"/>
  <c r="W198" i="5"/>
  <c r="W101" i="5"/>
  <c r="W422" i="5"/>
  <c r="W485" i="5"/>
  <c r="W30" i="5"/>
  <c r="W19" i="5"/>
  <c r="W552" i="5"/>
  <c r="W348" i="5"/>
  <c r="W166" i="5"/>
  <c r="W215" i="5"/>
  <c r="W414" i="5"/>
  <c r="W246" i="5"/>
  <c r="W121" i="5"/>
  <c r="W368" i="5"/>
  <c r="W84" i="5"/>
  <c r="W200" i="5"/>
  <c r="W393" i="5"/>
  <c r="W173" i="5"/>
  <c r="W443" i="5"/>
  <c r="W74" i="5"/>
  <c r="W296" i="5"/>
  <c r="W267" i="5"/>
  <c r="W133" i="5"/>
  <c r="W334" i="5"/>
  <c r="W25" i="5"/>
  <c r="W165" i="5"/>
  <c r="W142" i="5"/>
  <c r="W437" i="5"/>
  <c r="W295" i="5"/>
  <c r="W369" i="5"/>
  <c r="W278" i="5"/>
  <c r="W92" i="5"/>
  <c r="W482" i="5"/>
  <c r="W105" i="5"/>
  <c r="W351" i="5"/>
  <c r="W208" i="5"/>
  <c r="W507" i="5"/>
  <c r="W233" i="5"/>
  <c r="W438" i="5"/>
  <c r="W221" i="5"/>
  <c r="W395" i="5"/>
  <c r="W98" i="5"/>
  <c r="W52" i="5"/>
  <c r="W269" i="5"/>
  <c r="W209" i="5"/>
  <c r="W122" i="5"/>
  <c r="W540" i="5"/>
  <c r="W145" i="5"/>
  <c r="W440" i="5"/>
  <c r="W237" i="5"/>
  <c r="W314" i="5"/>
  <c r="W301" i="5"/>
  <c r="W352" i="5"/>
  <c r="W548" i="5"/>
  <c r="W412" i="5"/>
  <c r="W177" i="5"/>
  <c r="W248" i="5"/>
  <c r="W93" i="5"/>
  <c r="W327" i="5"/>
  <c r="W34" i="5"/>
  <c r="W555" i="5"/>
  <c r="W522" i="5"/>
  <c r="W409" i="5"/>
  <c r="W199" i="5"/>
  <c r="W335" i="5"/>
  <c r="W329" i="5"/>
  <c r="W473" i="5"/>
  <c r="W312" i="5"/>
  <c r="W238" i="5"/>
  <c r="W150" i="5"/>
  <c r="W380" i="5"/>
  <c r="W322" i="5"/>
  <c r="W331" i="5"/>
  <c r="W255" i="5"/>
  <c r="W474" i="5"/>
  <c r="W29" i="5"/>
  <c r="W556" i="5"/>
  <c r="W386" i="5"/>
  <c r="W375" i="5"/>
  <c r="W471" i="5"/>
  <c r="W80" i="5"/>
  <c r="W515" i="5"/>
  <c r="W87" i="5"/>
  <c r="W472" i="5"/>
  <c r="W496" i="5"/>
  <c r="W226" i="5"/>
  <c r="W508" i="5"/>
  <c r="W408" i="5"/>
  <c r="W65" i="5"/>
  <c r="W519" i="5"/>
  <c r="W182" i="5"/>
  <c r="W542" i="5"/>
  <c r="W433" i="5"/>
  <c r="W28" i="5"/>
  <c r="W154" i="5"/>
  <c r="W38" i="5"/>
  <c r="W242" i="5"/>
  <c r="W169" i="5"/>
  <c r="W90" i="5"/>
  <c r="W68" i="5"/>
  <c r="W271" i="5"/>
  <c r="W40" i="5"/>
  <c r="W423" i="5"/>
  <c r="W385" i="5"/>
  <c r="W315" i="5"/>
  <c r="W323" i="5"/>
  <c r="W453" i="5"/>
  <c r="W359" i="5"/>
  <c r="W69" i="5"/>
  <c r="W94" i="5"/>
  <c r="W537" i="5"/>
  <c r="W491" i="5"/>
  <c r="W70" i="5"/>
  <c r="W425" i="5"/>
  <c r="W158" i="5"/>
  <c r="W178" i="5"/>
  <c r="W476" i="5"/>
  <c r="W203" i="5"/>
  <c r="W44" i="5"/>
  <c r="W294" i="5"/>
  <c r="W60" i="5"/>
  <c r="W131" i="5"/>
  <c r="W454" i="5"/>
  <c r="W75" i="5"/>
  <c r="W426" i="5"/>
  <c r="W172" i="5"/>
  <c r="W256" i="5"/>
  <c r="W326" i="5"/>
  <c r="W553" i="5"/>
  <c r="W447" i="5"/>
  <c r="W434" i="5"/>
  <c r="W467" i="5"/>
  <c r="W37" i="5"/>
  <c r="W464" i="5"/>
  <c r="W358" i="5"/>
  <c r="W228" i="5"/>
  <c r="W300" i="5"/>
  <c r="W407" i="5"/>
  <c r="W486" i="5"/>
  <c r="W350" i="5"/>
  <c r="W549" i="5"/>
  <c r="W536" i="5"/>
  <c r="W117" i="5"/>
  <c r="W390" i="5"/>
  <c r="W214" i="5"/>
  <c r="W399" i="5"/>
  <c r="W371" i="5"/>
  <c r="W273" i="5"/>
  <c r="W492" i="5"/>
  <c r="W532" i="5"/>
  <c r="W204" i="5"/>
  <c r="W136" i="5"/>
  <c r="W243" i="5"/>
  <c r="W95" i="5"/>
  <c r="W216" i="5"/>
  <c r="W282" i="5"/>
  <c r="W302" i="5"/>
  <c r="W279" i="5"/>
  <c r="W31" i="5"/>
  <c r="W543" i="5"/>
  <c r="W106" i="5"/>
  <c r="W251" i="5"/>
  <c r="W245" i="5"/>
  <c r="W506" i="5"/>
  <c r="W505" i="5"/>
  <c r="W502" i="5"/>
  <c r="W235" i="5"/>
  <c r="W62" i="5"/>
  <c r="W224" i="5"/>
  <c r="W487" i="5"/>
  <c r="W47" i="5"/>
  <c r="W382" i="5"/>
  <c r="W220" i="5"/>
  <c r="W35" i="5"/>
  <c r="W420" i="5"/>
  <c r="W266" i="5"/>
  <c r="W394" i="5"/>
  <c r="W364" i="5"/>
  <c r="W435" i="5"/>
  <c r="W164" i="5"/>
  <c r="W114" i="5"/>
  <c r="W392" i="5"/>
  <c r="W465" i="5"/>
  <c r="W59" i="5"/>
  <c r="W349" i="5"/>
  <c r="W211" i="5"/>
  <c r="W167" i="5"/>
  <c r="W138" i="5"/>
  <c r="W504" i="5"/>
  <c r="W257" i="5"/>
  <c r="W247" i="5"/>
  <c r="W517" i="5"/>
  <c r="W461" i="5"/>
  <c r="W360" i="5"/>
  <c r="W64" i="5"/>
  <c r="W123" i="5"/>
  <c r="W298" i="5"/>
  <c r="W141" i="5"/>
  <c r="W307" i="5"/>
  <c r="W325" i="5"/>
  <c r="W452" i="5"/>
  <c r="W32" i="5"/>
  <c r="W442" i="5"/>
  <c r="W469" i="5"/>
  <c r="W196" i="5"/>
  <c r="W367" i="5"/>
  <c r="W459" i="5"/>
  <c r="W421" i="5"/>
  <c r="W281" i="5"/>
  <c r="W355" i="5"/>
  <c r="W85" i="5"/>
  <c r="W139" i="5"/>
  <c r="W76" i="5"/>
  <c r="W526" i="5"/>
  <c r="W309" i="5"/>
  <c r="W468" i="5"/>
  <c r="W191" i="5"/>
  <c r="W176" i="5"/>
  <c r="W265" i="5"/>
  <c r="W374" i="5"/>
  <c r="W332" i="5"/>
  <c r="W272" i="5"/>
  <c r="W346" i="5"/>
  <c r="W67" i="5"/>
  <c r="W481" i="5"/>
  <c r="W450" i="5"/>
  <c r="W488" i="5"/>
  <c r="W189" i="5"/>
  <c r="W119" i="5"/>
  <c r="W197" i="5"/>
  <c r="W304" i="5"/>
  <c r="W299" i="5"/>
  <c r="W558" i="5"/>
  <c r="W268" i="5"/>
  <c r="W88" i="5"/>
  <c r="W523" i="5"/>
  <c r="W503" i="5"/>
  <c r="W303" i="5"/>
  <c r="W403" i="5"/>
  <c r="W475" i="5"/>
  <c r="W157" i="5"/>
  <c r="W50" i="5"/>
  <c r="W71" i="5"/>
  <c r="W56" i="5"/>
  <c r="W338" i="5"/>
  <c r="W186" i="5"/>
  <c r="W125" i="5"/>
  <c r="W354" i="5"/>
  <c r="W545" i="5"/>
  <c r="W111" i="5"/>
  <c r="W306" i="5"/>
  <c r="W33" i="5"/>
  <c r="W223" i="5"/>
  <c r="W534" i="5"/>
  <c r="W328" i="5"/>
  <c r="W82" i="5"/>
  <c r="W455" i="5"/>
  <c r="W49" i="5"/>
  <c r="W366" i="5"/>
  <c r="W183" i="5"/>
  <c r="W318" i="5"/>
  <c r="W533" i="5"/>
  <c r="W39" i="5"/>
  <c r="W495" i="5"/>
  <c r="W361" i="5"/>
  <c r="W402" i="5"/>
  <c r="W73" i="5"/>
  <c r="W405" i="5"/>
  <c r="W554" i="5"/>
  <c r="W58" i="5"/>
  <c r="W21" i="5"/>
  <c r="W97" i="5"/>
  <c r="W149" i="5"/>
  <c r="W347" i="5"/>
  <c r="W383" i="5"/>
  <c r="W451" i="5"/>
  <c r="W518" i="5"/>
  <c r="W406" i="5"/>
  <c r="W557" i="5"/>
  <c r="W462" i="5"/>
  <c r="W330" i="5"/>
  <c r="W100" i="5"/>
  <c r="W477" i="5"/>
  <c r="W108" i="5"/>
  <c r="W241" i="5"/>
  <c r="W77" i="5"/>
  <c r="W286" i="5"/>
  <c r="W490" i="5"/>
  <c r="W547" i="5"/>
  <c r="W458" i="5"/>
  <c r="W377" i="5"/>
  <c r="W72" i="5"/>
  <c r="W550" i="5"/>
  <c r="W512" i="5"/>
  <c r="W146" i="5"/>
  <c r="W270" i="5"/>
  <c r="W290" i="5"/>
  <c r="W531" i="5"/>
  <c r="W86" i="5"/>
  <c r="W161" i="5"/>
  <c r="W484" i="5"/>
  <c r="W356" i="5"/>
  <c r="W45" i="5"/>
  <c r="W539" i="5"/>
  <c r="W538" i="5"/>
  <c r="W316" i="5"/>
  <c r="W171" i="5"/>
  <c r="W24" i="5"/>
  <c r="W521" i="5"/>
  <c r="W446" i="5"/>
  <c r="W320" i="5"/>
  <c r="W510" i="5"/>
  <c r="W276" i="5"/>
  <c r="W46" i="5"/>
  <c r="W353" i="5"/>
  <c r="W188" i="5"/>
  <c r="W373" i="5"/>
  <c r="W513" i="5"/>
  <c r="W130" i="5"/>
  <c r="W127" i="5"/>
  <c r="W254" i="5"/>
  <c r="W288" i="5"/>
  <c r="W365" i="5"/>
  <c r="W193" i="5"/>
  <c r="W8" i="5"/>
  <c r="W258" i="5"/>
  <c r="W184" i="5"/>
  <c r="W509" i="5"/>
  <c r="W192" i="5"/>
  <c r="W124" i="5"/>
  <c r="W259" i="5"/>
  <c r="W551" i="5"/>
  <c r="W524" i="5"/>
  <c r="W389" i="5"/>
  <c r="W274" i="5"/>
  <c r="W120" i="5"/>
  <c r="W126" i="5"/>
  <c r="W12" i="5"/>
  <c r="W319" i="5"/>
  <c r="W457" i="5"/>
  <c r="W396" i="5"/>
  <c r="W53" i="5"/>
  <c r="W205" i="5"/>
  <c r="W445" i="5"/>
  <c r="W357" i="5"/>
  <c r="W287" i="5"/>
  <c r="W341" i="5"/>
  <c r="W308" i="5"/>
  <c r="W285" i="5"/>
  <c r="W345" i="5"/>
  <c r="W283" i="5"/>
  <c r="W61" i="5"/>
  <c r="W559" i="5"/>
  <c r="W132" i="5"/>
  <c r="W498" i="5"/>
  <c r="W63" i="5"/>
  <c r="W54" i="5"/>
  <c r="W181" i="5"/>
  <c r="W419" i="5"/>
  <c r="W48" i="5"/>
  <c r="W560" i="5"/>
  <c r="W91" i="5"/>
  <c r="W155" i="5"/>
  <c r="W222" i="5"/>
  <c r="W234" i="5"/>
  <c r="W170" i="5"/>
  <c r="W516" i="5"/>
  <c r="W236" i="5"/>
  <c r="W147" i="5"/>
  <c r="W444" i="5"/>
  <c r="W493" i="5"/>
  <c r="W252" i="5"/>
  <c r="W227" i="5"/>
  <c r="W225" i="5"/>
  <c r="W143" i="5"/>
  <c r="W194" i="5"/>
  <c r="W479" i="5"/>
  <c r="W404" i="5"/>
  <c r="W372" i="5"/>
  <c r="W441" i="5"/>
  <c r="W41" i="5"/>
  <c r="W213" i="5"/>
  <c r="W280" i="5"/>
  <c r="W162" i="5"/>
  <c r="W128" i="5"/>
  <c r="W107" i="5"/>
  <c r="W275" i="5"/>
  <c r="W134" i="5"/>
  <c r="W201" i="5"/>
  <c r="W514" i="5"/>
  <c r="W546" i="5"/>
  <c r="W470" i="5"/>
  <c r="W277" i="5"/>
  <c r="W289" i="5"/>
  <c r="W378" i="5"/>
  <c r="W432" i="5"/>
  <c r="W99" i="5"/>
  <c r="W51" i="5"/>
  <c r="W118" i="5"/>
  <c r="W78" i="5"/>
  <c r="W324" i="5"/>
  <c r="W460" i="5"/>
  <c r="W219" i="5"/>
  <c r="W313" i="5"/>
  <c r="W113" i="5"/>
  <c r="W363" i="5"/>
  <c r="W195" i="5"/>
  <c r="W528" i="5"/>
  <c r="W57" i="5"/>
  <c r="W103" i="5"/>
  <c r="W337" i="5"/>
  <c r="W244" i="5"/>
  <c r="W163" i="5"/>
  <c r="W439" i="5"/>
  <c r="W384" i="5"/>
  <c r="W342" i="5"/>
  <c r="W529" i="5"/>
  <c r="W431" i="5"/>
  <c r="W417" i="5"/>
  <c r="W478" i="5"/>
  <c r="W260" i="5"/>
  <c r="W261" i="5"/>
  <c r="W210" i="5"/>
  <c r="W153" i="5"/>
  <c r="W291" i="5"/>
  <c r="W500" i="5"/>
  <c r="W55" i="5"/>
  <c r="W530" i="5"/>
  <c r="W430" i="5"/>
  <c r="W232" i="5"/>
  <c r="W520" i="5"/>
  <c r="W240" i="5"/>
  <c r="W174" i="5"/>
  <c r="W340" i="5"/>
  <c r="W190" i="5"/>
  <c r="W387" i="5"/>
  <c r="W43" i="5"/>
  <c r="W250" i="5"/>
  <c r="W27" i="5"/>
  <c r="W401" i="5"/>
  <c r="O9" i="5"/>
  <c r="W333" i="5"/>
  <c r="W81" i="5"/>
  <c r="W427" i="5"/>
  <c r="W292" i="5"/>
  <c r="W456" i="5"/>
  <c r="W397" i="5"/>
  <c r="W129" i="5"/>
  <c r="W230" i="5"/>
  <c r="W489" i="5"/>
  <c r="W66" i="5"/>
  <c r="W362" i="5"/>
  <c r="W535" i="5"/>
  <c r="W424" i="5"/>
  <c r="W483" i="5"/>
  <c r="W391" i="5"/>
  <c r="W104" i="5"/>
  <c r="W22" i="5"/>
  <c r="W398" i="5"/>
  <c r="W159" i="5"/>
  <c r="W218" i="5"/>
  <c r="W202" i="5"/>
  <c r="W544" i="5"/>
  <c r="W429" i="5"/>
  <c r="W137" i="5"/>
  <c r="W449" i="5"/>
  <c r="W116" i="5"/>
  <c r="W96" i="5"/>
  <c r="W206" i="5"/>
  <c r="W264" i="5"/>
  <c r="W411" i="5"/>
  <c r="W102" i="5"/>
  <c r="W152" i="5"/>
  <c r="W525" i="5"/>
  <c r="W527" i="5"/>
  <c r="W284" i="5"/>
  <c r="W13" i="5"/>
  <c r="W336" i="5"/>
  <c r="W112" i="5"/>
  <c r="W321" i="5"/>
  <c r="W370" i="5"/>
  <c r="W310" i="5"/>
  <c r="W156" i="5"/>
  <c r="W263" i="5"/>
  <c r="W463" i="5"/>
  <c r="W428" i="5"/>
  <c r="W175" i="5"/>
  <c r="W79" i="5"/>
  <c r="W494" i="5"/>
  <c r="W448" i="5"/>
  <c r="W135" i="5"/>
  <c r="W26" i="5"/>
  <c r="W344" i="5"/>
  <c r="W185" i="5"/>
  <c r="B211" i="2"/>
  <c r="B216" i="2" s="1"/>
  <c r="B77" i="5"/>
  <c r="B72" i="5"/>
  <c r="B160" i="2"/>
  <c r="P7" i="5" s="1"/>
  <c r="B36" i="5"/>
  <c r="B73" i="5"/>
  <c r="B112" i="2"/>
  <c r="S21" i="4"/>
  <c r="V21" i="4" s="1"/>
  <c r="S61" i="4"/>
  <c r="V61" i="4" s="1"/>
  <c r="S142" i="4"/>
  <c r="V142" i="4" s="1"/>
  <c r="S9" i="4"/>
  <c r="V9" i="4" s="1"/>
  <c r="S12" i="4"/>
  <c r="V12" i="4" s="1"/>
  <c r="S154" i="4"/>
  <c r="V154" i="4" s="1"/>
  <c r="S80" i="4"/>
  <c r="V80" i="4" s="1"/>
  <c r="S25" i="4"/>
  <c r="V25" i="4" s="1"/>
  <c r="S103" i="4"/>
  <c r="V103" i="4" s="1"/>
  <c r="S67" i="4"/>
  <c r="V67" i="4" s="1"/>
  <c r="S150" i="4"/>
  <c r="V150" i="4" s="1"/>
  <c r="S39" i="4"/>
  <c r="V39" i="4" s="1"/>
  <c r="S71" i="4"/>
  <c r="V71" i="4" s="1"/>
  <c r="S36" i="4"/>
  <c r="V36" i="4" s="1"/>
  <c r="S54" i="4"/>
  <c r="V54" i="4" s="1"/>
  <c r="S95" i="4"/>
  <c r="V95" i="4" s="1"/>
  <c r="S19" i="4"/>
  <c r="V19" i="4" s="1"/>
  <c r="S141" i="4"/>
  <c r="V141" i="4" s="1"/>
  <c r="S57" i="4"/>
  <c r="V57" i="4" s="1"/>
  <c r="S108" i="4"/>
  <c r="V108" i="4" s="1"/>
  <c r="S49" i="4"/>
  <c r="V49" i="4" s="1"/>
  <c r="S143" i="4"/>
  <c r="V143" i="4" s="1"/>
  <c r="S138" i="4"/>
  <c r="V138" i="4" s="1"/>
  <c r="S62" i="4"/>
  <c r="V62" i="4" s="1"/>
  <c r="S111" i="4"/>
  <c r="V111" i="4" s="1"/>
  <c r="S31" i="4"/>
  <c r="V31" i="4" s="1"/>
  <c r="S70" i="4"/>
  <c r="V70" i="4" s="1"/>
  <c r="S102" i="4"/>
  <c r="V102" i="4" s="1"/>
  <c r="S157" i="4"/>
  <c r="V157" i="4" s="1"/>
  <c r="S14" i="4"/>
  <c r="V14" i="4" s="1"/>
  <c r="S51" i="4"/>
  <c r="V51" i="4" s="1"/>
  <c r="S28" i="4"/>
  <c r="V28" i="4" s="1"/>
  <c r="S13" i="4"/>
  <c r="V13" i="4" s="1"/>
  <c r="S33" i="4"/>
  <c r="V33" i="4" s="1"/>
  <c r="S148" i="4"/>
  <c r="V148" i="4" s="1"/>
  <c r="S46" i="4"/>
  <c r="V46" i="4" s="1"/>
  <c r="S155" i="4"/>
  <c r="V155" i="4" s="1"/>
  <c r="S52" i="4"/>
  <c r="V52" i="4" s="1"/>
  <c r="S10" i="4"/>
  <c r="V10" i="4" s="1"/>
  <c r="S56" i="4"/>
  <c r="V56" i="4" s="1"/>
  <c r="S92" i="4"/>
  <c r="V92" i="4" s="1"/>
  <c r="S145" i="4"/>
  <c r="V145" i="4" s="1"/>
  <c r="S84" i="4"/>
  <c r="V84" i="4" s="1"/>
  <c r="S50" i="4"/>
  <c r="V50" i="4" s="1"/>
  <c r="S73" i="4"/>
  <c r="V73" i="4" s="1"/>
  <c r="S101" i="4"/>
  <c r="V101" i="4" s="1"/>
  <c r="S24" i="4"/>
  <c r="V24" i="4" s="1"/>
  <c r="S68" i="4"/>
  <c r="V68" i="4" s="1"/>
  <c r="S133" i="4"/>
  <c r="V133" i="4" s="1"/>
  <c r="S117" i="4"/>
  <c r="V117" i="4" s="1"/>
  <c r="S144" i="4"/>
  <c r="V144" i="4" s="1"/>
  <c r="S96" i="4"/>
  <c r="V96" i="4" s="1"/>
  <c r="S152" i="4"/>
  <c r="V152" i="4" s="1"/>
  <c r="S44" i="4"/>
  <c r="V44" i="4" s="1"/>
  <c r="S35" i="4"/>
  <c r="V35" i="4" s="1"/>
  <c r="S37" i="4"/>
  <c r="V37" i="4" s="1"/>
  <c r="S38" i="4"/>
  <c r="V38" i="4" s="1"/>
  <c r="S17" i="4"/>
  <c r="V17" i="4" s="1"/>
  <c r="S128" i="4"/>
  <c r="V128" i="4" s="1"/>
  <c r="S48" i="4"/>
  <c r="V48" i="4" s="1"/>
  <c r="S124" i="4"/>
  <c r="V124" i="4" s="1"/>
  <c r="S93" i="4"/>
  <c r="V93" i="4" s="1"/>
  <c r="S118" i="4"/>
  <c r="V118" i="4" s="1"/>
  <c r="S41" i="4"/>
  <c r="V41" i="4" s="1"/>
  <c r="S75" i="4"/>
  <c r="V75" i="4" s="1"/>
  <c r="S7" i="4"/>
  <c r="V7" i="4" s="1"/>
  <c r="S106" i="4"/>
  <c r="V106" i="4" s="1"/>
  <c r="S83" i="4"/>
  <c r="V83" i="4" s="1"/>
  <c r="S26" i="4"/>
  <c r="V26" i="4" s="1"/>
  <c r="S30" i="4"/>
  <c r="V30" i="4" s="1"/>
  <c r="S97" i="4"/>
  <c r="V97" i="4" s="1"/>
  <c r="S76" i="4"/>
  <c r="V76" i="4" s="1"/>
  <c r="S127" i="4"/>
  <c r="V127" i="4" s="1"/>
  <c r="S132" i="4"/>
  <c r="V132" i="4" s="1"/>
  <c r="S88" i="4"/>
  <c r="V88" i="4" s="1"/>
  <c r="S34" i="4"/>
  <c r="V34" i="4" s="1"/>
  <c r="S110" i="4"/>
  <c r="V110" i="4" s="1"/>
  <c r="S59" i="4"/>
  <c r="V59" i="4" s="1"/>
  <c r="S114" i="4"/>
  <c r="V114" i="4" s="1"/>
  <c r="S53" i="4"/>
  <c r="V53" i="4" s="1"/>
  <c r="S18" i="4"/>
  <c r="V18" i="4" s="1"/>
  <c r="S42" i="4"/>
  <c r="V42" i="4" s="1"/>
  <c r="S140" i="4"/>
  <c r="V140" i="4" s="1"/>
  <c r="S113" i="4"/>
  <c r="V113" i="4" s="1"/>
  <c r="S123" i="4"/>
  <c r="V123" i="4" s="1"/>
  <c r="S15" i="4"/>
  <c r="V15" i="4" s="1"/>
  <c r="S69" i="4"/>
  <c r="V69" i="4" s="1"/>
  <c r="S87" i="4"/>
  <c r="V87" i="4" s="1"/>
  <c r="S156" i="4"/>
  <c r="V156" i="4" s="1"/>
  <c r="S94" i="4"/>
  <c r="V94" i="4" s="1"/>
  <c r="S20" i="4"/>
  <c r="V20" i="4" s="1"/>
  <c r="S109" i="4"/>
  <c r="V109" i="4" s="1"/>
  <c r="S60" i="4"/>
  <c r="V60" i="4" s="1"/>
  <c r="S86" i="4"/>
  <c r="V86" i="4" s="1"/>
  <c r="S27" i="4"/>
  <c r="V27" i="4" s="1"/>
  <c r="S91" i="4"/>
  <c r="V91" i="4" s="1"/>
  <c r="S77" i="4"/>
  <c r="V77" i="4" s="1"/>
  <c r="S8" i="4"/>
  <c r="V8" i="4" s="1"/>
  <c r="S135" i="4"/>
  <c r="V135" i="4" s="1"/>
  <c r="S136" i="4"/>
  <c r="V136" i="4" s="1"/>
  <c r="S58" i="4"/>
  <c r="V58" i="4" s="1"/>
  <c r="S120" i="4"/>
  <c r="V120" i="4" s="1"/>
  <c r="S47" i="4"/>
  <c r="V47" i="4" s="1"/>
  <c r="S151" i="4"/>
  <c r="V151" i="4" s="1"/>
  <c r="S40" i="4"/>
  <c r="V40" i="4" s="1"/>
  <c r="S32" i="4"/>
  <c r="V32" i="4" s="1"/>
  <c r="S55" i="4"/>
  <c r="V55" i="4" s="1"/>
  <c r="S89" i="4"/>
  <c r="V89" i="4" s="1"/>
  <c r="S153" i="4"/>
  <c r="V153" i="4" s="1"/>
  <c r="S121" i="4"/>
  <c r="V121" i="4" s="1"/>
  <c r="S104" i="4"/>
  <c r="V104" i="4" s="1"/>
  <c r="S129" i="4"/>
  <c r="V129" i="4" s="1"/>
  <c r="S22" i="4"/>
  <c r="V22" i="4" s="1"/>
  <c r="S90" i="4"/>
  <c r="V90" i="4" s="1"/>
  <c r="S105" i="4"/>
  <c r="V105" i="4" s="1"/>
  <c r="S122" i="4"/>
  <c r="V122" i="4" s="1"/>
  <c r="S149" i="4"/>
  <c r="V149" i="4" s="1"/>
  <c r="S147" i="4"/>
  <c r="V147" i="4" s="1"/>
  <c r="S78" i="4"/>
  <c r="V78" i="4" s="1"/>
  <c r="S98" i="4"/>
  <c r="V98" i="4" s="1"/>
  <c r="S125" i="4"/>
  <c r="V125" i="4" s="1"/>
  <c r="S72" i="4"/>
  <c r="V72" i="4" s="1"/>
  <c r="S16" i="4"/>
  <c r="V16" i="4" s="1"/>
  <c r="S29" i="4"/>
  <c r="V29" i="4" s="1"/>
  <c r="S66" i="4"/>
  <c r="V66" i="4" s="1"/>
  <c r="S126" i="4"/>
  <c r="V126" i="4" s="1"/>
  <c r="S82" i="4"/>
  <c r="V82" i="4" s="1"/>
  <c r="S64" i="4"/>
  <c r="V64" i="4" s="1"/>
  <c r="S115" i="4"/>
  <c r="V115" i="4" s="1"/>
  <c r="S45" i="4"/>
  <c r="V45" i="4" s="1"/>
  <c r="S130" i="4"/>
  <c r="V130" i="4" s="1"/>
  <c r="S99" i="4"/>
  <c r="V99" i="4" s="1"/>
  <c r="S23" i="4"/>
  <c r="V23" i="4" s="1"/>
  <c r="S116" i="4"/>
  <c r="V116" i="4" s="1"/>
  <c r="S139" i="4"/>
  <c r="V139" i="4" s="1"/>
  <c r="S146" i="4"/>
  <c r="V146" i="4" s="1"/>
  <c r="S134" i="4"/>
  <c r="V134" i="4" s="1"/>
  <c r="S81" i="4"/>
  <c r="V81" i="4" s="1"/>
  <c r="S43" i="4"/>
  <c r="V43" i="4" s="1"/>
  <c r="S79" i="4"/>
  <c r="V79" i="4" s="1"/>
  <c r="S112" i="4"/>
  <c r="V112" i="4" s="1"/>
  <c r="S137" i="4"/>
  <c r="V137" i="4" s="1"/>
  <c r="S100" i="4"/>
  <c r="V100" i="4" s="1"/>
  <c r="S65" i="4"/>
  <c r="V65" i="4" s="1"/>
  <c r="S11" i="4"/>
  <c r="V11" i="4" s="1"/>
  <c r="S107" i="4"/>
  <c r="V107" i="4" s="1"/>
  <c r="S119" i="4"/>
  <c r="V119" i="4" s="1"/>
  <c r="S85" i="4"/>
  <c r="V85" i="4" s="1"/>
  <c r="S131" i="4"/>
  <c r="V131" i="4" s="1"/>
  <c r="S74" i="4"/>
  <c r="V74" i="4" s="1"/>
  <c r="S63" i="4"/>
  <c r="V63" i="4" s="1"/>
  <c r="B268" i="2"/>
  <c r="B267" i="2"/>
  <c r="B249" i="2"/>
  <c r="B250" i="2"/>
  <c r="B169" i="2"/>
  <c r="W7" i="5"/>
  <c r="Q7" i="5"/>
  <c r="B163" i="2"/>
  <c r="B181" i="2" s="1"/>
  <c r="B80" i="2" l="1"/>
  <c r="B108" i="2"/>
  <c r="H36" i="1" s="1"/>
  <c r="B59" i="2"/>
  <c r="H25" i="1" s="1"/>
  <c r="W79" i="4"/>
  <c r="AM79" i="4"/>
  <c r="W64" i="4"/>
  <c r="Y64" i="4" s="1"/>
  <c r="AR64" i="4" s="1"/>
  <c r="AM64" i="4"/>
  <c r="AM122" i="4"/>
  <c r="W122" i="4"/>
  <c r="AM151" i="4"/>
  <c r="W151" i="4"/>
  <c r="W109" i="4"/>
  <c r="AM109" i="4"/>
  <c r="W53" i="4"/>
  <c r="Y53" i="4" s="1"/>
  <c r="AR53" i="4" s="1"/>
  <c r="AM53" i="4"/>
  <c r="AM83" i="4"/>
  <c r="W83" i="4"/>
  <c r="Y83" i="4" s="1"/>
  <c r="AR83" i="4" s="1"/>
  <c r="W37" i="4"/>
  <c r="Y37" i="4" s="1"/>
  <c r="AR37" i="4" s="1"/>
  <c r="AM37" i="4"/>
  <c r="W50" i="4"/>
  <c r="Y50" i="4" s="1"/>
  <c r="AR50" i="4" s="1"/>
  <c r="AM50" i="4"/>
  <c r="AM28" i="4"/>
  <c r="W28" i="4"/>
  <c r="Y28" i="4" s="1"/>
  <c r="AR28" i="4" s="1"/>
  <c r="W108" i="4"/>
  <c r="AM108" i="4"/>
  <c r="W25" i="4"/>
  <c r="Y25" i="4" s="1"/>
  <c r="AR25" i="4" s="1"/>
  <c r="AM25" i="4"/>
  <c r="W63" i="4"/>
  <c r="AM63" i="4"/>
  <c r="AM119" i="4"/>
  <c r="W119" i="4"/>
  <c r="Y119" i="4" s="1"/>
  <c r="AR119" i="4" s="1"/>
  <c r="AM139" i="4"/>
  <c r="W139" i="4"/>
  <c r="Y139" i="4" s="1"/>
  <c r="AR139" i="4" s="1"/>
  <c r="W16" i="4"/>
  <c r="Y16" i="4" s="1"/>
  <c r="AR16" i="4" s="1"/>
  <c r="AM16" i="4"/>
  <c r="W104" i="4"/>
  <c r="Y104" i="4" s="1"/>
  <c r="AR104" i="4" s="1"/>
  <c r="AM104" i="4"/>
  <c r="AM135" i="4"/>
  <c r="W135" i="4"/>
  <c r="AM69" i="4"/>
  <c r="W69" i="4"/>
  <c r="W88" i="4"/>
  <c r="Y88" i="4" s="1"/>
  <c r="AR88" i="4" s="1"/>
  <c r="AM88" i="4"/>
  <c r="AM97" i="4"/>
  <c r="W97" i="4"/>
  <c r="AM128" i="4"/>
  <c r="W128" i="4"/>
  <c r="W24" i="4"/>
  <c r="Y24" i="4" s="1"/>
  <c r="AR24" i="4" s="1"/>
  <c r="AM24" i="4"/>
  <c r="AM148" i="4"/>
  <c r="W148" i="4"/>
  <c r="W138" i="4"/>
  <c r="Y138" i="4" s="1"/>
  <c r="AR138" i="4" s="1"/>
  <c r="AM138" i="4"/>
  <c r="W150" i="4"/>
  <c r="Y150" i="4" s="1"/>
  <c r="AR150" i="4" s="1"/>
  <c r="AM150" i="4"/>
  <c r="AM80" i="4"/>
  <c r="W80" i="4"/>
  <c r="Y80" i="4" s="1"/>
  <c r="AR80" i="4" s="1"/>
  <c r="AM74" i="4"/>
  <c r="W74" i="4"/>
  <c r="W107" i="4"/>
  <c r="Y107" i="4" s="1"/>
  <c r="AR107" i="4" s="1"/>
  <c r="AM107" i="4"/>
  <c r="W137" i="4"/>
  <c r="AM137" i="4"/>
  <c r="W81" i="4"/>
  <c r="AM81" i="4"/>
  <c r="AM116" i="4"/>
  <c r="W116" i="4"/>
  <c r="AM45" i="4"/>
  <c r="W45" i="4"/>
  <c r="Y45" i="4" s="1"/>
  <c r="AR45" i="4" s="1"/>
  <c r="W126" i="4"/>
  <c r="AM126" i="4"/>
  <c r="AM72" i="4"/>
  <c r="W72" i="4"/>
  <c r="Y72" i="4" s="1"/>
  <c r="AR72" i="4" s="1"/>
  <c r="AM147" i="4"/>
  <c r="W147" i="4"/>
  <c r="Y147" i="4" s="1"/>
  <c r="AR147" i="4" s="1"/>
  <c r="AM90" i="4"/>
  <c r="W90" i="4"/>
  <c r="W121" i="4"/>
  <c r="AM121" i="4"/>
  <c r="AM32" i="4"/>
  <c r="W32" i="4"/>
  <c r="Y32" i="4" s="1"/>
  <c r="AR32" i="4" s="1"/>
  <c r="W120" i="4"/>
  <c r="Y120" i="4" s="1"/>
  <c r="AR120" i="4" s="1"/>
  <c r="AM120" i="4"/>
  <c r="W8" i="4"/>
  <c r="Y8" i="4" s="1"/>
  <c r="AR8" i="4" s="1"/>
  <c r="AM8" i="4"/>
  <c r="AM86" i="4"/>
  <c r="W86" i="4"/>
  <c r="W94" i="4"/>
  <c r="AM94" i="4"/>
  <c r="W15" i="4"/>
  <c r="Y15" i="4" s="1"/>
  <c r="AR15" i="4" s="1"/>
  <c r="AM15" i="4"/>
  <c r="AM42" i="4"/>
  <c r="W42" i="4"/>
  <c r="Y42" i="4" s="1"/>
  <c r="AR42" i="4" s="1"/>
  <c r="W59" i="4"/>
  <c r="AM59" i="4"/>
  <c r="W132" i="4"/>
  <c r="Y132" i="4" s="1"/>
  <c r="AR132" i="4" s="1"/>
  <c r="AM132" i="4"/>
  <c r="W30" i="4"/>
  <c r="Y30" i="4" s="1"/>
  <c r="AR30" i="4" s="1"/>
  <c r="AM30" i="4"/>
  <c r="AM7" i="4"/>
  <c r="W7" i="4"/>
  <c r="Y7" i="4" s="1"/>
  <c r="AR7" i="4" s="1"/>
  <c r="AM93" i="4"/>
  <c r="W93" i="4"/>
  <c r="W17" i="4"/>
  <c r="Y17" i="4" s="1"/>
  <c r="AR17" i="4" s="1"/>
  <c r="AM17" i="4"/>
  <c r="W44" i="4"/>
  <c r="Y44" i="4" s="1"/>
  <c r="AR44" i="4" s="1"/>
  <c r="AM44" i="4"/>
  <c r="AM117" i="4"/>
  <c r="W117" i="4"/>
  <c r="AM101" i="4"/>
  <c r="W101" i="4"/>
  <c r="W145" i="4"/>
  <c r="AM145" i="4"/>
  <c r="AM52" i="4"/>
  <c r="W52" i="4"/>
  <c r="Y52" i="4" s="1"/>
  <c r="AR52" i="4" s="1"/>
  <c r="AM33" i="4"/>
  <c r="W33" i="4"/>
  <c r="Y33" i="4" s="1"/>
  <c r="AR33" i="4" s="1"/>
  <c r="AM14" i="4"/>
  <c r="W14" i="4"/>
  <c r="Y14" i="4" s="1"/>
  <c r="AR14" i="4" s="1"/>
  <c r="AM31" i="4"/>
  <c r="W31" i="4"/>
  <c r="Y31" i="4" s="1"/>
  <c r="AR31" i="4" s="1"/>
  <c r="W143" i="4"/>
  <c r="AM143" i="4"/>
  <c r="W141" i="4"/>
  <c r="AM141" i="4"/>
  <c r="AM36" i="4"/>
  <c r="W36" i="4"/>
  <c r="Y36" i="4" s="1"/>
  <c r="AR36" i="4" s="1"/>
  <c r="AM67" i="4"/>
  <c r="W67" i="4"/>
  <c r="W154" i="4"/>
  <c r="AM154" i="4"/>
  <c r="W61" i="4"/>
  <c r="AM61" i="4"/>
  <c r="AA10" i="5"/>
  <c r="AB10" i="5"/>
  <c r="BA10" i="5"/>
  <c r="BB10" i="5"/>
  <c r="H32" i="1"/>
  <c r="B97" i="2"/>
  <c r="AM85" i="4"/>
  <c r="W85" i="4"/>
  <c r="AM99" i="4"/>
  <c r="W99" i="4"/>
  <c r="Y99" i="4" s="1"/>
  <c r="AR99" i="4" s="1"/>
  <c r="W29" i="4"/>
  <c r="Y29" i="4" s="1"/>
  <c r="AR29" i="4" s="1"/>
  <c r="AM29" i="4"/>
  <c r="W89" i="4"/>
  <c r="AM89" i="4"/>
  <c r="AM91" i="4"/>
  <c r="W91" i="4"/>
  <c r="Y91" i="4" s="1"/>
  <c r="AR91" i="4" s="1"/>
  <c r="W113" i="4"/>
  <c r="AM113" i="4"/>
  <c r="AM76" i="4"/>
  <c r="W76" i="4"/>
  <c r="W41" i="4"/>
  <c r="Y41" i="4" s="1"/>
  <c r="AR41" i="4" s="1"/>
  <c r="AM41" i="4"/>
  <c r="AM96" i="4"/>
  <c r="W96" i="4"/>
  <c r="AM56" i="4"/>
  <c r="W56" i="4"/>
  <c r="AM102" i="4"/>
  <c r="W102" i="4"/>
  <c r="AM95" i="4"/>
  <c r="W95" i="4"/>
  <c r="W43" i="4"/>
  <c r="Y43" i="4" s="1"/>
  <c r="AR43" i="4" s="1"/>
  <c r="AM43" i="4"/>
  <c r="W82" i="4"/>
  <c r="AM82" i="4"/>
  <c r="AM105" i="4"/>
  <c r="W105" i="4"/>
  <c r="W47" i="4"/>
  <c r="Y47" i="4" s="1"/>
  <c r="AR47" i="4" s="1"/>
  <c r="AM47" i="4"/>
  <c r="W20" i="4"/>
  <c r="Y20" i="4" s="1"/>
  <c r="AR20" i="4" s="1"/>
  <c r="AM20" i="4"/>
  <c r="W114" i="4"/>
  <c r="AM114" i="4"/>
  <c r="AM118" i="4"/>
  <c r="W118" i="4"/>
  <c r="AM144" i="4"/>
  <c r="W144" i="4"/>
  <c r="W84" i="4"/>
  <c r="Y84" i="4" s="1"/>
  <c r="AR84" i="4" s="1"/>
  <c r="AM84" i="4"/>
  <c r="W70" i="4"/>
  <c r="Y70" i="4" s="1"/>
  <c r="AR70" i="4" s="1"/>
  <c r="AM70" i="4"/>
  <c r="AM54" i="4"/>
  <c r="W54" i="4"/>
  <c r="AM131" i="4"/>
  <c r="W131" i="4"/>
  <c r="W11" i="4"/>
  <c r="Y11" i="4" s="1"/>
  <c r="AR11" i="4" s="1"/>
  <c r="AM11" i="4"/>
  <c r="AM112" i="4"/>
  <c r="W112" i="4"/>
  <c r="W134" i="4"/>
  <c r="AM134" i="4"/>
  <c r="W23" i="4"/>
  <c r="Y23" i="4" s="1"/>
  <c r="AR23" i="4" s="1"/>
  <c r="AM23" i="4"/>
  <c r="AM115" i="4"/>
  <c r="W115" i="4"/>
  <c r="Y115" i="4" s="1"/>
  <c r="AR115" i="4" s="1"/>
  <c r="W66" i="4"/>
  <c r="AM66" i="4"/>
  <c r="AM125" i="4"/>
  <c r="W125" i="4"/>
  <c r="AM149" i="4"/>
  <c r="W149" i="4"/>
  <c r="W22" i="4"/>
  <c r="Y22" i="4" s="1"/>
  <c r="AR22" i="4" s="1"/>
  <c r="AM22" i="4"/>
  <c r="AM153" i="4"/>
  <c r="W153" i="4"/>
  <c r="Y153" i="4" s="1"/>
  <c r="AR153" i="4" s="1"/>
  <c r="W40" i="4"/>
  <c r="Y40" i="4" s="1"/>
  <c r="AR40" i="4" s="1"/>
  <c r="AM40" i="4"/>
  <c r="AM58" i="4"/>
  <c r="W58" i="4"/>
  <c r="AM77" i="4"/>
  <c r="W77" i="4"/>
  <c r="W60" i="4"/>
  <c r="AM60" i="4"/>
  <c r="W156" i="4"/>
  <c r="AM156" i="4"/>
  <c r="W123" i="4"/>
  <c r="AM123" i="4"/>
  <c r="AM18" i="4"/>
  <c r="W18" i="4"/>
  <c r="Y18" i="4" s="1"/>
  <c r="AR18" i="4" s="1"/>
  <c r="W110" i="4"/>
  <c r="AM110" i="4"/>
  <c r="AM127" i="4"/>
  <c r="W127" i="4"/>
  <c r="W26" i="4"/>
  <c r="Y26" i="4" s="1"/>
  <c r="AR26" i="4" s="1"/>
  <c r="AM26" i="4"/>
  <c r="AM75" i="4"/>
  <c r="W75" i="4"/>
  <c r="W124" i="4"/>
  <c r="AM124" i="4"/>
  <c r="AM38" i="4"/>
  <c r="W38" i="4"/>
  <c r="Y38" i="4" s="1"/>
  <c r="AR38" i="4" s="1"/>
  <c r="AM152" i="4"/>
  <c r="W152" i="4"/>
  <c r="AM133" i="4"/>
  <c r="W133" i="4"/>
  <c r="W73" i="4"/>
  <c r="AM73" i="4"/>
  <c r="AM92" i="4"/>
  <c r="W92" i="4"/>
  <c r="AM155" i="4"/>
  <c r="W155" i="4"/>
  <c r="W13" i="4"/>
  <c r="Y13" i="4" s="1"/>
  <c r="AR13" i="4" s="1"/>
  <c r="AM13" i="4"/>
  <c r="W157" i="4"/>
  <c r="Y157" i="4" s="1"/>
  <c r="AR157" i="4" s="1"/>
  <c r="AM157" i="4"/>
  <c r="AM111" i="4"/>
  <c r="W111" i="4"/>
  <c r="W49" i="4"/>
  <c r="Y49" i="4" s="1"/>
  <c r="AR49" i="4" s="1"/>
  <c r="AM49" i="4"/>
  <c r="AM19" i="4"/>
  <c r="W19" i="4"/>
  <c r="Y19" i="4" s="1"/>
  <c r="AR19" i="4" s="1"/>
  <c r="W71" i="4"/>
  <c r="Y71" i="4" s="1"/>
  <c r="AR71" i="4" s="1"/>
  <c r="AM71" i="4"/>
  <c r="AM103" i="4"/>
  <c r="W103" i="4"/>
  <c r="Y103" i="4" s="1"/>
  <c r="AR103" i="4" s="1"/>
  <c r="W12" i="4"/>
  <c r="Y12" i="4" s="1"/>
  <c r="AR12" i="4" s="1"/>
  <c r="AM12" i="4"/>
  <c r="W21" i="4"/>
  <c r="Y21" i="4" s="1"/>
  <c r="AR21" i="4" s="1"/>
  <c r="AM21" i="4"/>
  <c r="AL10" i="5"/>
  <c r="AK10" i="5"/>
  <c r="AX10" i="5"/>
  <c r="AY10" i="5"/>
  <c r="U10" i="5"/>
  <c r="V10" i="5"/>
  <c r="AM65" i="4"/>
  <c r="W65" i="4"/>
  <c r="AM146" i="4"/>
  <c r="W146" i="4"/>
  <c r="Y146" i="4" s="1"/>
  <c r="AR146" i="4" s="1"/>
  <c r="W98" i="4"/>
  <c r="AM98" i="4"/>
  <c r="AM129" i="4"/>
  <c r="W129" i="4"/>
  <c r="AM136" i="4"/>
  <c r="W136" i="4"/>
  <c r="W87" i="4"/>
  <c r="Y87" i="4" s="1"/>
  <c r="AR87" i="4" s="1"/>
  <c r="AM87" i="4"/>
  <c r="W34" i="4"/>
  <c r="Y34" i="4" s="1"/>
  <c r="AR34" i="4" s="1"/>
  <c r="AM34" i="4"/>
  <c r="W48" i="4"/>
  <c r="Y48" i="4" s="1"/>
  <c r="AR48" i="4" s="1"/>
  <c r="AM48" i="4"/>
  <c r="W68" i="4"/>
  <c r="Y68" i="4" s="1"/>
  <c r="AR68" i="4" s="1"/>
  <c r="AM68" i="4"/>
  <c r="AM46" i="4"/>
  <c r="W46" i="4"/>
  <c r="Y46" i="4" s="1"/>
  <c r="AR46" i="4" s="1"/>
  <c r="AM62" i="4"/>
  <c r="W62" i="4"/>
  <c r="W39" i="4"/>
  <c r="Y39" i="4" s="1"/>
  <c r="AR39" i="4" s="1"/>
  <c r="AM39" i="4"/>
  <c r="W9" i="4"/>
  <c r="Y9" i="4" s="1"/>
  <c r="AR9" i="4" s="1"/>
  <c r="AM9" i="4"/>
  <c r="AM100" i="4"/>
  <c r="W100" i="4"/>
  <c r="Y100" i="4" s="1"/>
  <c r="AR100" i="4" s="1"/>
  <c r="AM130" i="4"/>
  <c r="W130" i="4"/>
  <c r="AM78" i="4"/>
  <c r="W78" i="4"/>
  <c r="W55" i="4"/>
  <c r="AM55" i="4"/>
  <c r="W27" i="4"/>
  <c r="Y27" i="4" s="1"/>
  <c r="AR27" i="4" s="1"/>
  <c r="AM27" i="4"/>
  <c r="AM140" i="4"/>
  <c r="W140" i="4"/>
  <c r="W106" i="4"/>
  <c r="AM106" i="4"/>
  <c r="W35" i="4"/>
  <c r="Y35" i="4" s="1"/>
  <c r="AR35" i="4" s="1"/>
  <c r="AM35" i="4"/>
  <c r="W10" i="4"/>
  <c r="Y10" i="4" s="1"/>
  <c r="AR10" i="4" s="1"/>
  <c r="AM10" i="4"/>
  <c r="W51" i="4"/>
  <c r="Y51" i="4" s="1"/>
  <c r="AR51" i="4" s="1"/>
  <c r="AM51" i="4"/>
  <c r="W57" i="4"/>
  <c r="AM57" i="4"/>
  <c r="AM142" i="4"/>
  <c r="W142" i="4"/>
  <c r="AV10" i="5"/>
  <c r="AU10" i="5"/>
  <c r="BC10" i="5"/>
  <c r="B64" i="2"/>
  <c r="B66" i="2"/>
  <c r="B67" i="2" s="1"/>
  <c r="AV107" i="4"/>
  <c r="U107" i="4"/>
  <c r="AV116" i="4"/>
  <c r="U116" i="4"/>
  <c r="AV45" i="4"/>
  <c r="U45" i="4"/>
  <c r="AV72" i="4"/>
  <c r="U72" i="4"/>
  <c r="AV90" i="4"/>
  <c r="U90" i="4"/>
  <c r="AV32" i="4"/>
  <c r="U32" i="4"/>
  <c r="AV86" i="4"/>
  <c r="U86" i="4"/>
  <c r="AV42" i="4"/>
  <c r="U42" i="4"/>
  <c r="AV132" i="4"/>
  <c r="U132" i="4"/>
  <c r="U7" i="4"/>
  <c r="AV7" i="4"/>
  <c r="AV17" i="4"/>
  <c r="U17" i="4"/>
  <c r="U101" i="4"/>
  <c r="AV101" i="4"/>
  <c r="AV52" i="4"/>
  <c r="U52" i="4"/>
  <c r="AV14" i="4"/>
  <c r="U14" i="4"/>
  <c r="AV143" i="4"/>
  <c r="U143" i="4"/>
  <c r="AV36" i="4"/>
  <c r="U36" i="4"/>
  <c r="AV154" i="4"/>
  <c r="U154" i="4"/>
  <c r="X185" i="5"/>
  <c r="Y185" i="5"/>
  <c r="X310" i="5"/>
  <c r="Y310" i="5"/>
  <c r="X264" i="5"/>
  <c r="Y264" i="5"/>
  <c r="Y202" i="5"/>
  <c r="X202" i="5"/>
  <c r="X489" i="5"/>
  <c r="Y489" i="5"/>
  <c r="Y250" i="5"/>
  <c r="X250" i="5"/>
  <c r="X232" i="5"/>
  <c r="Y232" i="5"/>
  <c r="X431" i="5"/>
  <c r="Y431" i="5"/>
  <c r="Y363" i="5"/>
  <c r="X363" i="5"/>
  <c r="Y51" i="5"/>
  <c r="X51" i="5"/>
  <c r="X107" i="5"/>
  <c r="Y107" i="5"/>
  <c r="X225" i="5"/>
  <c r="Y225" i="5"/>
  <c r="X91" i="5"/>
  <c r="Y91" i="5"/>
  <c r="X132" i="5"/>
  <c r="Y132" i="5"/>
  <c r="X12" i="5"/>
  <c r="Y12" i="5"/>
  <c r="X258" i="5"/>
  <c r="Y258" i="5"/>
  <c r="Y513" i="5"/>
  <c r="X513" i="5"/>
  <c r="Y316" i="5"/>
  <c r="X316" i="5"/>
  <c r="X512" i="5"/>
  <c r="Y512" i="5"/>
  <c r="X100" i="5"/>
  <c r="Y100" i="5"/>
  <c r="X347" i="5"/>
  <c r="Y347" i="5"/>
  <c r="Y533" i="5"/>
  <c r="X533" i="5"/>
  <c r="X111" i="5"/>
  <c r="Y111" i="5"/>
  <c r="X303" i="5"/>
  <c r="Y303" i="5"/>
  <c r="X197" i="5"/>
  <c r="Y197" i="5"/>
  <c r="Y176" i="5"/>
  <c r="X176" i="5"/>
  <c r="Y367" i="5"/>
  <c r="X367" i="5"/>
  <c r="X141" i="5"/>
  <c r="Y141" i="5"/>
  <c r="X211" i="5"/>
  <c r="Y211" i="5"/>
  <c r="Y35" i="5"/>
  <c r="X35" i="5"/>
  <c r="X502" i="5"/>
  <c r="Y502" i="5"/>
  <c r="X95" i="5"/>
  <c r="Y95" i="5"/>
  <c r="Y407" i="5"/>
  <c r="X407" i="5"/>
  <c r="X172" i="5"/>
  <c r="Y172" i="5"/>
  <c r="X203" i="5"/>
  <c r="Y203" i="5"/>
  <c r="Y323" i="5"/>
  <c r="X323" i="5"/>
  <c r="Y28" i="5"/>
  <c r="X28" i="5"/>
  <c r="Y515" i="5"/>
  <c r="X515" i="5"/>
  <c r="Y255" i="5"/>
  <c r="X255" i="5"/>
  <c r="Y522" i="5"/>
  <c r="X522" i="5"/>
  <c r="X237" i="5"/>
  <c r="Y237" i="5"/>
  <c r="Y98" i="5"/>
  <c r="X98" i="5"/>
  <c r="Y233" i="5"/>
  <c r="X233" i="5"/>
  <c r="Y165" i="5"/>
  <c r="X165" i="5"/>
  <c r="X267" i="5"/>
  <c r="Y267" i="5"/>
  <c r="X173" i="5"/>
  <c r="Y173" i="5"/>
  <c r="X368" i="5"/>
  <c r="Y368" i="5"/>
  <c r="X215" i="5"/>
  <c r="Y215" i="5"/>
  <c r="X19" i="5"/>
  <c r="Y19" i="5"/>
  <c r="Y101" i="5"/>
  <c r="X101" i="5"/>
  <c r="Y480" i="5"/>
  <c r="X480" i="5"/>
  <c r="Y180" i="5"/>
  <c r="X180" i="5"/>
  <c r="Y418" i="5"/>
  <c r="X418" i="5"/>
  <c r="Y10" i="5"/>
  <c r="X10" i="5"/>
  <c r="X179" i="5"/>
  <c r="Y179" i="5"/>
  <c r="Y187" i="5"/>
  <c r="X187" i="5"/>
  <c r="Y343" i="5"/>
  <c r="X343" i="5"/>
  <c r="X388" i="5"/>
  <c r="Y388" i="5"/>
  <c r="X151" i="5"/>
  <c r="Y151" i="5"/>
  <c r="X23" i="5"/>
  <c r="Y23" i="5"/>
  <c r="X501" i="5"/>
  <c r="Y501" i="5"/>
  <c r="Y376" i="5"/>
  <c r="X376" i="5"/>
  <c r="X400" i="5"/>
  <c r="Y400" i="5"/>
  <c r="Y7" i="5"/>
  <c r="X7" i="5"/>
  <c r="AV131" i="4"/>
  <c r="U131" i="4"/>
  <c r="AV11" i="4"/>
  <c r="U11" i="4"/>
  <c r="AV112" i="4"/>
  <c r="U112" i="4"/>
  <c r="AV134" i="4"/>
  <c r="U134" i="4"/>
  <c r="AV23" i="4"/>
  <c r="U23" i="4"/>
  <c r="AV115" i="4"/>
  <c r="U115" i="4"/>
  <c r="AV66" i="4"/>
  <c r="U66" i="4"/>
  <c r="AV125" i="4"/>
  <c r="U125" i="4"/>
  <c r="AV149" i="4"/>
  <c r="U149" i="4"/>
  <c r="AV22" i="4"/>
  <c r="U22" i="4"/>
  <c r="AV153" i="4"/>
  <c r="U153" i="4"/>
  <c r="AV40" i="4"/>
  <c r="U40" i="4"/>
  <c r="AV58" i="4"/>
  <c r="U58" i="4"/>
  <c r="AV77" i="4"/>
  <c r="U77" i="4"/>
  <c r="AV60" i="4"/>
  <c r="U60" i="4"/>
  <c r="AV156" i="4"/>
  <c r="U156" i="4"/>
  <c r="AV123" i="4"/>
  <c r="U123" i="4"/>
  <c r="AV18" i="4"/>
  <c r="U18" i="4"/>
  <c r="AV110" i="4"/>
  <c r="U110" i="4"/>
  <c r="AV127" i="4"/>
  <c r="U127" i="4"/>
  <c r="AV26" i="4"/>
  <c r="U26" i="4"/>
  <c r="U75" i="4"/>
  <c r="AV75" i="4"/>
  <c r="AV124" i="4"/>
  <c r="U124" i="4"/>
  <c r="AV38" i="4"/>
  <c r="U38" i="4"/>
  <c r="AV152" i="4"/>
  <c r="U152" i="4"/>
  <c r="AV133" i="4"/>
  <c r="U133" i="4"/>
  <c r="AV73" i="4"/>
  <c r="U73" i="4"/>
  <c r="AV92" i="4"/>
  <c r="U92" i="4"/>
  <c r="AV155" i="4"/>
  <c r="U155" i="4"/>
  <c r="AV13" i="4"/>
  <c r="U13" i="4"/>
  <c r="AV157" i="4"/>
  <c r="U157" i="4"/>
  <c r="AV111" i="4"/>
  <c r="U111" i="4"/>
  <c r="AV49" i="4"/>
  <c r="U49" i="4"/>
  <c r="AV19" i="4"/>
  <c r="U19" i="4"/>
  <c r="AV71" i="4"/>
  <c r="U71" i="4"/>
  <c r="U103" i="4"/>
  <c r="AV103" i="4"/>
  <c r="AV12" i="4"/>
  <c r="U12" i="4"/>
  <c r="AV21" i="4"/>
  <c r="U21" i="4"/>
  <c r="AG393" i="5"/>
  <c r="AG181" i="5"/>
  <c r="AG352" i="5"/>
  <c r="AG96" i="5"/>
  <c r="AG367" i="5"/>
  <c r="AG324" i="5"/>
  <c r="AG72" i="5"/>
  <c r="AG220" i="5"/>
  <c r="AG158" i="5"/>
  <c r="AG463" i="5"/>
  <c r="AG184" i="5"/>
  <c r="AG247" i="5"/>
  <c r="AG164" i="5"/>
  <c r="B74" i="5"/>
  <c r="AG88" i="5"/>
  <c r="AG134" i="5"/>
  <c r="AG192" i="5"/>
  <c r="AG165" i="5"/>
  <c r="AG13" i="5"/>
  <c r="AG411" i="5"/>
  <c r="AG298" i="5"/>
  <c r="AG29" i="5"/>
  <c r="AG155" i="5"/>
  <c r="AG112" i="5"/>
  <c r="AG213" i="5"/>
  <c r="AG84" i="5"/>
  <c r="AG374" i="5"/>
  <c r="AG186" i="5"/>
  <c r="AG274" i="5"/>
  <c r="AG89" i="5"/>
  <c r="AG450" i="5"/>
  <c r="AG448" i="5"/>
  <c r="AG483" i="5"/>
  <c r="AG94" i="5"/>
  <c r="AG30" i="5"/>
  <c r="AG236" i="5"/>
  <c r="AG321" i="5"/>
  <c r="AG170" i="5"/>
  <c r="AG98" i="5"/>
  <c r="AG416" i="5"/>
  <c r="AG378" i="5"/>
  <c r="AG22" i="5"/>
  <c r="AG243" i="5"/>
  <c r="AG116" i="5"/>
  <c r="AG66" i="5"/>
  <c r="AG377" i="5"/>
  <c r="AG110" i="5"/>
  <c r="AG195" i="5"/>
  <c r="AG355" i="5"/>
  <c r="AG219" i="5"/>
  <c r="AG149" i="5"/>
  <c r="AG35" i="5"/>
  <c r="AG143" i="5"/>
  <c r="AG360" i="5"/>
  <c r="AG252" i="5"/>
  <c r="AG468" i="5"/>
  <c r="AG269" i="5"/>
  <c r="AG266" i="5"/>
  <c r="AG150" i="5"/>
  <c r="AG451" i="5"/>
  <c r="AG364" i="5"/>
  <c r="AG383" i="5"/>
  <c r="AG182" i="5"/>
  <c r="AG496" i="5"/>
  <c r="AG510" i="5"/>
  <c r="AG46" i="5"/>
  <c r="AG418" i="5"/>
  <c r="AG199" i="5"/>
  <c r="AG81" i="5"/>
  <c r="AG71" i="5"/>
  <c r="AG249" i="5"/>
  <c r="AG459" i="5"/>
  <c r="AG331" i="5"/>
  <c r="AG441" i="5"/>
  <c r="AG508" i="5"/>
  <c r="AG458" i="5"/>
  <c r="AG506" i="5"/>
  <c r="AG144" i="5"/>
  <c r="AG351" i="5"/>
  <c r="AG261" i="5"/>
  <c r="AG407" i="5"/>
  <c r="AG348" i="5"/>
  <c r="AG500" i="5"/>
  <c r="AG415" i="5"/>
  <c r="AG344" i="5"/>
  <c r="AG555" i="5"/>
  <c r="AG193" i="5"/>
  <c r="AG54" i="5"/>
  <c r="AG521" i="5"/>
  <c r="AG73" i="5"/>
  <c r="AG311" i="5"/>
  <c r="AG163" i="5"/>
  <c r="AG504" i="5"/>
  <c r="AG542" i="5"/>
  <c r="AG475" i="5"/>
  <c r="AG502" i="5"/>
  <c r="AG467" i="5"/>
  <c r="AG205" i="5"/>
  <c r="AG400" i="5"/>
  <c r="AG420" i="5"/>
  <c r="AG290" i="5"/>
  <c r="AG47" i="5"/>
  <c r="AG145" i="5"/>
  <c r="AG267" i="5"/>
  <c r="AG361" i="5"/>
  <c r="AG142" i="5"/>
  <c r="AG183" i="5"/>
  <c r="AG226" i="5"/>
  <c r="AG187" i="5"/>
  <c r="AG75" i="5"/>
  <c r="AG68" i="5"/>
  <c r="AG52" i="5"/>
  <c r="AG224" i="5"/>
  <c r="AG547" i="5"/>
  <c r="AG190" i="5"/>
  <c r="AG173" i="5"/>
  <c r="AG437" i="5"/>
  <c r="AG436" i="5"/>
  <c r="AG172" i="5"/>
  <c r="AG40" i="5"/>
  <c r="AG336" i="5"/>
  <c r="AG390" i="5"/>
  <c r="AG202" i="5"/>
  <c r="AG534" i="5"/>
  <c r="AG365" i="5"/>
  <c r="AG325" i="5"/>
  <c r="AG117" i="5"/>
  <c r="AG526" i="5"/>
  <c r="AG453" i="5"/>
  <c r="AG97" i="5"/>
  <c r="AG101" i="5"/>
  <c r="AG515" i="5"/>
  <c r="AG303" i="5"/>
  <c r="AG211" i="5"/>
  <c r="AG301" i="5"/>
  <c r="AG215" i="5"/>
  <c r="AG412" i="5"/>
  <c r="AG295" i="5"/>
  <c r="AG346" i="5"/>
  <c r="AG402" i="5"/>
  <c r="AG42" i="5"/>
  <c r="AG503" i="5"/>
  <c r="AG449" i="5"/>
  <c r="AG85" i="5"/>
  <c r="AG131" i="5"/>
  <c r="AG111" i="5"/>
  <c r="AG532" i="5"/>
  <c r="AG341" i="5"/>
  <c r="AG241" i="5"/>
  <c r="AG345" i="5"/>
  <c r="AG263" i="5"/>
  <c r="AG444" i="5"/>
  <c r="AG105" i="5"/>
  <c r="AG552" i="5"/>
  <c r="AG357" i="5"/>
  <c r="AG371" i="5"/>
  <c r="AG498" i="5"/>
  <c r="AG93" i="5"/>
  <c r="AG197" i="5"/>
  <c r="AG27" i="5"/>
  <c r="AG80" i="5"/>
  <c r="AG115" i="5"/>
  <c r="AG489" i="5"/>
  <c r="AG442" i="5"/>
  <c r="AG476" i="5"/>
  <c r="AG531" i="5"/>
  <c r="AG545" i="5"/>
  <c r="AG512" i="5"/>
  <c r="AG445" i="5"/>
  <c r="AG353" i="5"/>
  <c r="AG179" i="5"/>
  <c r="AG39" i="5"/>
  <c r="AG235" i="5"/>
  <c r="AG491" i="5"/>
  <c r="AG537" i="5"/>
  <c r="AG517" i="5"/>
  <c r="AG394" i="5"/>
  <c r="AG25" i="5"/>
  <c r="AG139" i="5"/>
  <c r="AG315" i="5"/>
  <c r="AG556" i="5"/>
  <c r="AG369" i="5"/>
  <c r="AG559" i="5"/>
  <c r="AG388" i="5"/>
  <c r="AG434" i="5"/>
  <c r="AG514" i="5"/>
  <c r="AG44" i="5"/>
  <c r="AG160" i="5"/>
  <c r="AG466" i="5"/>
  <c r="AG395" i="5"/>
  <c r="AG191" i="5"/>
  <c r="AG140" i="5"/>
  <c r="AG478" i="5"/>
  <c r="AG76" i="5"/>
  <c r="AG95" i="5"/>
  <c r="AG350" i="5"/>
  <c r="AG106" i="5"/>
  <c r="AG340" i="5"/>
  <c r="AG232" i="5"/>
  <c r="AG404" i="5"/>
  <c r="AG318" i="5"/>
  <c r="AG276" i="5"/>
  <c r="AG544" i="5"/>
  <c r="AG379" i="5"/>
  <c r="AG399" i="5"/>
  <c r="AG154" i="5"/>
  <c r="AG471" i="5"/>
  <c r="AG138" i="5"/>
  <c r="AG372" i="5"/>
  <c r="AG530" i="5"/>
  <c r="AG157" i="5"/>
  <c r="AG20" i="5"/>
  <c r="AG306" i="5"/>
  <c r="AG322" i="5"/>
  <c r="AG148" i="5"/>
  <c r="AG310" i="5"/>
  <c r="AG465" i="5"/>
  <c r="AG258" i="5"/>
  <c r="AG501" i="5"/>
  <c r="AG147" i="5"/>
  <c r="AG285" i="5"/>
  <c r="AG505" i="5"/>
  <c r="AG49" i="5"/>
  <c r="AG535" i="5"/>
  <c r="AG177" i="5"/>
  <c r="AG329" i="5"/>
  <c r="AG487" i="5"/>
  <c r="AG440" i="5"/>
  <c r="AG278" i="5"/>
  <c r="AG171" i="5"/>
  <c r="AG474" i="5"/>
  <c r="AG438" i="5"/>
  <c r="AG273" i="5"/>
  <c r="AG349" i="5"/>
  <c r="AG516" i="5"/>
  <c r="AG507" i="5"/>
  <c r="AG433" i="5"/>
  <c r="AG107" i="5"/>
  <c r="AG86" i="5"/>
  <c r="AG53" i="5"/>
  <c r="AG221" i="5"/>
  <c r="AG79" i="5"/>
  <c r="AG533" i="5"/>
  <c r="AG370" i="5"/>
  <c r="AG100" i="5"/>
  <c r="AG12" i="5"/>
  <c r="AG338" i="5"/>
  <c r="AG228" i="5"/>
  <c r="AG282" i="5"/>
  <c r="AG188" i="5"/>
  <c r="AG122" i="5"/>
  <c r="AG426" i="5"/>
  <c r="AG166" i="5"/>
  <c r="AG334" i="5"/>
  <c r="AG246" i="5"/>
  <c r="AG203" i="5"/>
  <c r="AG244" i="5"/>
  <c r="AG366" i="5"/>
  <c r="AG135" i="5"/>
  <c r="AG114" i="5"/>
  <c r="AG391" i="5"/>
  <c r="AG271" i="5"/>
  <c r="AG169" i="5"/>
  <c r="AG196" i="5"/>
  <c r="AG41" i="5"/>
  <c r="AG527" i="5"/>
  <c r="AG528" i="5"/>
  <c r="AG132" i="5"/>
  <c r="AG330" i="5"/>
  <c r="AG55" i="5"/>
  <c r="AG245" i="5"/>
  <c r="AG206" i="5"/>
  <c r="AG408" i="5"/>
  <c r="AG262" i="5"/>
  <c r="AG461" i="5"/>
  <c r="AG470" i="5"/>
  <c r="AG541" i="5"/>
  <c r="AG396" i="5"/>
  <c r="AG477" i="5"/>
  <c r="AG554" i="5"/>
  <c r="AG121" i="5"/>
  <c r="AG33" i="5"/>
  <c r="AG485" i="5"/>
  <c r="AG64" i="5"/>
  <c r="AG230" i="5"/>
  <c r="AG120" i="5"/>
  <c r="AG137" i="5"/>
  <c r="AG289" i="5"/>
  <c r="AG560" i="5"/>
  <c r="AG540" i="5"/>
  <c r="AG223" i="5"/>
  <c r="AG287" i="5"/>
  <c r="AG189" i="5"/>
  <c r="AG61" i="5"/>
  <c r="AG387" i="5"/>
  <c r="AG293" i="5"/>
  <c r="AG439" i="5"/>
  <c r="AG422" i="5"/>
  <c r="AG525" i="5"/>
  <c r="AG380" i="5"/>
  <c r="AG292" i="5"/>
  <c r="AG494" i="5"/>
  <c r="AG104" i="5"/>
  <c r="AG119" i="5"/>
  <c r="AG34" i="5"/>
  <c r="AG495" i="5"/>
  <c r="AG279" i="5"/>
  <c r="AG397" i="5"/>
  <c r="AG259" i="5"/>
  <c r="AG410" i="5"/>
  <c r="AG109" i="5"/>
  <c r="AG339" i="5"/>
  <c r="AG354" i="5"/>
  <c r="AG45" i="5"/>
  <c r="AG256" i="5"/>
  <c r="AG26" i="5"/>
  <c r="AG82" i="5"/>
  <c r="AG430" i="5"/>
  <c r="AG65" i="5"/>
  <c r="AG307" i="5"/>
  <c r="AG208" i="5"/>
  <c r="AG314" i="5"/>
  <c r="AG214" i="5"/>
  <c r="AG456" i="5"/>
  <c r="AG136" i="5"/>
  <c r="AG543" i="5"/>
  <c r="AG304" i="5"/>
  <c r="AG272" i="5"/>
  <c r="AG48" i="5"/>
  <c r="AG457" i="5"/>
  <c r="AG180" i="5"/>
  <c r="AG62" i="5"/>
  <c r="AG405" i="5"/>
  <c r="AG553" i="5"/>
  <c r="AG275" i="5"/>
  <c r="AG257" i="5"/>
  <c r="AG233" i="5"/>
  <c r="AG37" i="5"/>
  <c r="AG99" i="5"/>
  <c r="AG58" i="5"/>
  <c r="AG239" i="5"/>
  <c r="AG429" i="5"/>
  <c r="AG201" i="5"/>
  <c r="AG67" i="5"/>
  <c r="AG36" i="5"/>
  <c r="AG60" i="5"/>
  <c r="AG227" i="5"/>
  <c r="AG92" i="5"/>
  <c r="AG43" i="5"/>
  <c r="AG337" i="5"/>
  <c r="AG251" i="5"/>
  <c r="AG432" i="5"/>
  <c r="AG519" i="5"/>
  <c r="AG392" i="5"/>
  <c r="AG305" i="5"/>
  <c r="AG469" i="5"/>
  <c r="AG493" i="5"/>
  <c r="AG320" i="5"/>
  <c r="AG481" i="5"/>
  <c r="AG490" i="5"/>
  <c r="AG21" i="5"/>
  <c r="AG300" i="5"/>
  <c r="AG124" i="5"/>
  <c r="AG435" i="5"/>
  <c r="AG447" i="5"/>
  <c r="AG123" i="5"/>
  <c r="AG332" i="5"/>
  <c r="AG240" i="5"/>
  <c r="AG87" i="5"/>
  <c r="AG102" i="5"/>
  <c r="AG452" i="5"/>
  <c r="AG520" i="5"/>
  <c r="AG425" i="5"/>
  <c r="AG381" i="5"/>
  <c r="AG492" i="5"/>
  <c r="AG359" i="5"/>
  <c r="AG462" i="5"/>
  <c r="AG294" i="5"/>
  <c r="AG277" i="5"/>
  <c r="AG557" i="5"/>
  <c r="AG317" i="5"/>
  <c r="AG523" i="5"/>
  <c r="AG130" i="5"/>
  <c r="AG128" i="5"/>
  <c r="AG253" i="5"/>
  <c r="AG57" i="5"/>
  <c r="AG362" i="5"/>
  <c r="AG486" i="5"/>
  <c r="AG10" i="5"/>
  <c r="AG242" i="5"/>
  <c r="AG428" i="5"/>
  <c r="AG141" i="5"/>
  <c r="AG59" i="5"/>
  <c r="AG327" i="5"/>
  <c r="AG185" i="5"/>
  <c r="AG209" i="5"/>
  <c r="AG319" i="5"/>
  <c r="AG255" i="5"/>
  <c r="AG129" i="5"/>
  <c r="AG175" i="5"/>
  <c r="AG63" i="5"/>
  <c r="AG347" i="5"/>
  <c r="AG238" i="5"/>
  <c r="AG419" i="5"/>
  <c r="AG382" i="5"/>
  <c r="AG316" i="5"/>
  <c r="AG363" i="5"/>
  <c r="AG151" i="5"/>
  <c r="AG499" i="5"/>
  <c r="AG356" i="5"/>
  <c r="AG159" i="5"/>
  <c r="AG312" i="5"/>
  <c r="AG146" i="5"/>
  <c r="AG413" i="5"/>
  <c r="AG133" i="5"/>
  <c r="AG313" i="5"/>
  <c r="AG174" i="5"/>
  <c r="AG7" i="5"/>
  <c r="AG403" i="5"/>
  <c r="AG443" i="5"/>
  <c r="AG50" i="5"/>
  <c r="AG125" i="5"/>
  <c r="AG302" i="5"/>
  <c r="AG473" i="5"/>
  <c r="AG283" i="5"/>
  <c r="AG161" i="5"/>
  <c r="AG24" i="5"/>
  <c r="AG231" i="5"/>
  <c r="AG69" i="5"/>
  <c r="AG91" i="5"/>
  <c r="AG70" i="5"/>
  <c r="AG156" i="5"/>
  <c r="AG389" i="5"/>
  <c r="AG250" i="5"/>
  <c r="AG168" i="5"/>
  <c r="AG333" i="5"/>
  <c r="AG291" i="5"/>
  <c r="AG77" i="5"/>
  <c r="AG207" i="5"/>
  <c r="AG222" i="5"/>
  <c r="AG78" i="5"/>
  <c r="AG56" i="5"/>
  <c r="AG19" i="5"/>
  <c r="AG167" i="5"/>
  <c r="AG178" i="5"/>
  <c r="AG225" i="5"/>
  <c r="AG472" i="5"/>
  <c r="AG200" i="5"/>
  <c r="AG518" i="5"/>
  <c r="AG342" i="5"/>
  <c r="AG260" i="5"/>
  <c r="AG539" i="5"/>
  <c r="AG152" i="5"/>
  <c r="AG28" i="5"/>
  <c r="AG511" i="5"/>
  <c r="AG153" i="5"/>
  <c r="AG268" i="5"/>
  <c r="AG308" i="5"/>
  <c r="AG509" i="5"/>
  <c r="AG118" i="5"/>
  <c r="AG103" i="5"/>
  <c r="AG558" i="5"/>
  <c r="AG270" i="5"/>
  <c r="AG323" i="5"/>
  <c r="AG212" i="5"/>
  <c r="AG113" i="5"/>
  <c r="AG284" i="5"/>
  <c r="AG488" i="5"/>
  <c r="AG358" i="5"/>
  <c r="AG204" i="5"/>
  <c r="AG538" i="5"/>
  <c r="AG234" i="5"/>
  <c r="AG548" i="5"/>
  <c r="AG409" i="5"/>
  <c r="AG237" i="5"/>
  <c r="AG522" i="5"/>
  <c r="AG296" i="5"/>
  <c r="AG427" i="5"/>
  <c r="AG176" i="5"/>
  <c r="AG127" i="5"/>
  <c r="AG265" i="5"/>
  <c r="AG368" i="5"/>
  <c r="AG281" i="5"/>
  <c r="AG38" i="5"/>
  <c r="AG23" i="5"/>
  <c r="AG248" i="5"/>
  <c r="AG108" i="5"/>
  <c r="AG217" i="5"/>
  <c r="AG385" i="5"/>
  <c r="AG254" i="5"/>
  <c r="AG373" i="5"/>
  <c r="AG297" i="5"/>
  <c r="AG549" i="5"/>
  <c r="AG328" i="5"/>
  <c r="AG32" i="5"/>
  <c r="AG210" i="5"/>
  <c r="AG74" i="5"/>
  <c r="AG384" i="5"/>
  <c r="AG126" i="5"/>
  <c r="AG83" i="5"/>
  <c r="AG31" i="5"/>
  <c r="AG280" i="5"/>
  <c r="AG431" i="5"/>
  <c r="AG479" i="5"/>
  <c r="AG198" i="5"/>
  <c r="AG536" i="5"/>
  <c r="AG90" i="5"/>
  <c r="AG454" i="5"/>
  <c r="AG406" i="5"/>
  <c r="AG229" i="5"/>
  <c r="AG309" i="5"/>
  <c r="AG551" i="5"/>
  <c r="AG464" i="5"/>
  <c r="AG401" i="5"/>
  <c r="AG529" i="5"/>
  <c r="AG376" i="5"/>
  <c r="AG550" i="5"/>
  <c r="AG484" i="5"/>
  <c r="AG455" i="5"/>
  <c r="AG326" i="5"/>
  <c r="AG414" i="5"/>
  <c r="AG375" i="5"/>
  <c r="AG497" i="5"/>
  <c r="AG288" i="5"/>
  <c r="AG421" i="5"/>
  <c r="AG460" i="5"/>
  <c r="AG8" i="5"/>
  <c r="AG480" i="5"/>
  <c r="AG417" i="5"/>
  <c r="AG546" i="5"/>
  <c r="AG162" i="5"/>
  <c r="AG423" i="5"/>
  <c r="AG286" i="5"/>
  <c r="AG194" i="5"/>
  <c r="AG386" i="5"/>
  <c r="AG398" i="5"/>
  <c r="AG51" i="5"/>
  <c r="AG524" i="5"/>
  <c r="AG446" i="5"/>
  <c r="AG299" i="5"/>
  <c r="AG424" i="5"/>
  <c r="AG513" i="5"/>
  <c r="AG482" i="5"/>
  <c r="AG343" i="5"/>
  <c r="AG216" i="5"/>
  <c r="AG264" i="5"/>
  <c r="AG335" i="5"/>
  <c r="AG218" i="5"/>
  <c r="AM430" i="5"/>
  <c r="AM417" i="5"/>
  <c r="AM516" i="5"/>
  <c r="AM232" i="5"/>
  <c r="AM467" i="5"/>
  <c r="AM175" i="5"/>
  <c r="AM245" i="5"/>
  <c r="AM280" i="5"/>
  <c r="AM373" i="5"/>
  <c r="AM257" i="5"/>
  <c r="AM261" i="5"/>
  <c r="AM235" i="5"/>
  <c r="AM139" i="5"/>
  <c r="AM157" i="5"/>
  <c r="AM114" i="5"/>
  <c r="AM40" i="5"/>
  <c r="AM429" i="5"/>
  <c r="AM424" i="5"/>
  <c r="AM80" i="5"/>
  <c r="AM212" i="5"/>
  <c r="AM322" i="5"/>
  <c r="AM489" i="5"/>
  <c r="AM60" i="5"/>
  <c r="AM221" i="5"/>
  <c r="AM546" i="5"/>
  <c r="AM21" i="5"/>
  <c r="AM92" i="5"/>
  <c r="AM298" i="5"/>
  <c r="AM288" i="5"/>
  <c r="AM514" i="5"/>
  <c r="AM486" i="5"/>
  <c r="AM321" i="5"/>
  <c r="AM376" i="5"/>
  <c r="AM525" i="5"/>
  <c r="AM441" i="5"/>
  <c r="AM307" i="5"/>
  <c r="AM226" i="5"/>
  <c r="AM87" i="5"/>
  <c r="AM188" i="5"/>
  <c r="AM364" i="5"/>
  <c r="AM418" i="5"/>
  <c r="AM272" i="5"/>
  <c r="AM330" i="5"/>
  <c r="AM51" i="5"/>
  <c r="AM182" i="5"/>
  <c r="AM345" i="5"/>
  <c r="AM395" i="5"/>
  <c r="AM278" i="5"/>
  <c r="AM380" i="5"/>
  <c r="AM391" i="5"/>
  <c r="AM121" i="5"/>
  <c r="AM405" i="5"/>
  <c r="AM374" i="5"/>
  <c r="AM390" i="5"/>
  <c r="AM89" i="5"/>
  <c r="AM350" i="5"/>
  <c r="AM124" i="5"/>
  <c r="AM409" i="5"/>
  <c r="AM253" i="5"/>
  <c r="AM487" i="5"/>
  <c r="AM224" i="5"/>
  <c r="AM246" i="5"/>
  <c r="AM534" i="5"/>
  <c r="AM269" i="5"/>
  <c r="AM539" i="5"/>
  <c r="AM351" i="5"/>
  <c r="AM289" i="5"/>
  <c r="AM142" i="5"/>
  <c r="AM48" i="5"/>
  <c r="AM63" i="5"/>
  <c r="AM130" i="5"/>
  <c r="AM204" i="5"/>
  <c r="AM171" i="5"/>
  <c r="AM478" i="5"/>
  <c r="AM8" i="5"/>
  <c r="AM147" i="5"/>
  <c r="AM31" i="5"/>
  <c r="AM211" i="5"/>
  <c r="AM484" i="5"/>
  <c r="AM96" i="5"/>
  <c r="AM133" i="5"/>
  <c r="AM132" i="5"/>
  <c r="AM346" i="5"/>
  <c r="AM191" i="5"/>
  <c r="AM277" i="5"/>
  <c r="AM483" i="5"/>
  <c r="AM7" i="5"/>
  <c r="AM315" i="5"/>
  <c r="AM445" i="5"/>
  <c r="AM531" i="5"/>
  <c r="AM493" i="5"/>
  <c r="AM381" i="5"/>
  <c r="AM201" i="5"/>
  <c r="AM521" i="5"/>
  <c r="AM123" i="5"/>
  <c r="AM296" i="5"/>
  <c r="AM282" i="5"/>
  <c r="AM118" i="5"/>
  <c r="AM91" i="5"/>
  <c r="AM126" i="5"/>
  <c r="AM71" i="5"/>
  <c r="AM406" i="5"/>
  <c r="AM75" i="5"/>
  <c r="AM70" i="5"/>
  <c r="AM507" i="5"/>
  <c r="AM385" i="5"/>
  <c r="AM223" i="5"/>
  <c r="AM501" i="5"/>
  <c r="AM242" i="5"/>
  <c r="AM490" i="5"/>
  <c r="AM423" i="5"/>
  <c r="AM205" i="5"/>
  <c r="AM443" i="5"/>
  <c r="AM378" i="5"/>
  <c r="AM522" i="5"/>
  <c r="AM466" i="5"/>
  <c r="AM74" i="5"/>
  <c r="AM79" i="5"/>
  <c r="AM339" i="5"/>
  <c r="AM549" i="5"/>
  <c r="AM518" i="5"/>
  <c r="AM314" i="5"/>
  <c r="AM379" i="5"/>
  <c r="AM168" i="5"/>
  <c r="AM414" i="5"/>
  <c r="AM550" i="5"/>
  <c r="AM58" i="5"/>
  <c r="AM392" i="5"/>
  <c r="AM285" i="5"/>
  <c r="AM141" i="5"/>
  <c r="AM47" i="5"/>
  <c r="AM388" i="5"/>
  <c r="AM156" i="5"/>
  <c r="AM128" i="5"/>
  <c r="AM538" i="5"/>
  <c r="AM323" i="5"/>
  <c r="AM117" i="5"/>
  <c r="AM214" i="5"/>
  <c r="AM449" i="5"/>
  <c r="AM218" i="5"/>
  <c r="AM268" i="5"/>
  <c r="AM172" i="5"/>
  <c r="AM271" i="5"/>
  <c r="AM520" i="5"/>
  <c r="AM83" i="5"/>
  <c r="AM371" i="5"/>
  <c r="AM119" i="5"/>
  <c r="AM24" i="5"/>
  <c r="AM57" i="5"/>
  <c r="AM231" i="5"/>
  <c r="AM35" i="5"/>
  <c r="AM435" i="5"/>
  <c r="AM305" i="5"/>
  <c r="AM25" i="5"/>
  <c r="AM99" i="5"/>
  <c r="AM407" i="5"/>
  <c r="AM210" i="5"/>
  <c r="AM553" i="5"/>
  <c r="AM161" i="5"/>
  <c r="AM199" i="5"/>
  <c r="AM86" i="5"/>
  <c r="AM254" i="5"/>
  <c r="AM111" i="5"/>
  <c r="AM93" i="5"/>
  <c r="AM341" i="5"/>
  <c r="AM207" i="5"/>
  <c r="AM23" i="5"/>
  <c r="B78" i="5"/>
  <c r="AM76" i="5"/>
  <c r="AM250" i="5"/>
  <c r="AM508" i="5"/>
  <c r="AM331" i="5"/>
  <c r="AM167" i="5"/>
  <c r="AM270" i="5"/>
  <c r="AM238" i="5"/>
  <c r="AM103" i="5"/>
  <c r="AM436" i="5"/>
  <c r="AM361" i="5"/>
  <c r="AM20" i="5"/>
  <c r="AM422" i="5"/>
  <c r="AM122" i="5"/>
  <c r="AM476" i="5"/>
  <c r="AM488" i="5"/>
  <c r="AM180" i="5"/>
  <c r="AM197" i="5"/>
  <c r="AM428" i="5"/>
  <c r="AM471" i="5"/>
  <c r="AM185" i="5"/>
  <c r="AM256" i="5"/>
  <c r="AM480" i="5"/>
  <c r="AM29" i="5"/>
  <c r="AM360" i="5"/>
  <c r="AM511" i="5"/>
  <c r="AM458" i="5"/>
  <c r="AM174" i="5"/>
  <c r="AM527" i="5"/>
  <c r="AM465" i="5"/>
  <c r="AM227" i="5"/>
  <c r="AM540" i="5"/>
  <c r="AM498" i="5"/>
  <c r="AM208" i="5"/>
  <c r="AM347" i="5"/>
  <c r="AM349" i="5"/>
  <c r="AM532" i="5"/>
  <c r="AM506" i="5"/>
  <c r="AM59" i="5"/>
  <c r="AM303" i="5"/>
  <c r="AM300" i="5"/>
  <c r="AM367" i="5"/>
  <c r="AM150" i="5"/>
  <c r="AM528" i="5"/>
  <c r="AM470" i="5"/>
  <c r="AM44" i="5"/>
  <c r="AM49" i="5"/>
  <c r="AM100" i="5"/>
  <c r="AM492" i="5"/>
  <c r="AM472" i="5"/>
  <c r="AM401" i="5"/>
  <c r="AM131" i="5"/>
  <c r="AM468" i="5"/>
  <c r="AM234" i="5"/>
  <c r="AM173" i="5"/>
  <c r="AM359" i="5"/>
  <c r="AM384" i="5"/>
  <c r="AM399" i="5"/>
  <c r="AM137" i="5"/>
  <c r="AM523" i="5"/>
  <c r="AM460" i="5"/>
  <c r="AM496" i="5"/>
  <c r="AM477" i="5"/>
  <c r="AM317" i="5"/>
  <c r="AM203" i="5"/>
  <c r="AM403" i="5"/>
  <c r="AM310" i="5"/>
  <c r="AM43" i="5"/>
  <c r="AM505" i="5"/>
  <c r="AM113" i="5"/>
  <c r="AM294" i="5"/>
  <c r="AM52" i="5"/>
  <c r="AM247" i="5"/>
  <c r="AM45" i="5"/>
  <c r="AM495" i="5"/>
  <c r="AM415" i="5"/>
  <c r="AM475" i="5"/>
  <c r="AM461" i="5"/>
  <c r="AM500" i="5"/>
  <c r="AM67" i="5"/>
  <c r="AM338" i="5"/>
  <c r="AM229" i="5"/>
  <c r="AM138" i="5"/>
  <c r="AM165" i="5"/>
  <c r="AM554" i="5"/>
  <c r="AM559" i="5"/>
  <c r="AM442" i="5"/>
  <c r="AM279" i="5"/>
  <c r="AM352" i="5"/>
  <c r="AM115" i="5"/>
  <c r="AM453" i="5"/>
  <c r="AM97" i="5"/>
  <c r="AM158" i="5"/>
  <c r="AM356" i="5"/>
  <c r="AM220" i="5"/>
  <c r="AM19" i="5"/>
  <c r="AM510" i="5"/>
  <c r="AM389" i="5"/>
  <c r="AM293" i="5"/>
  <c r="AM102" i="5"/>
  <c r="AM90" i="5"/>
  <c r="AM163" i="5"/>
  <c r="AM127" i="5"/>
  <c r="AM94" i="5"/>
  <c r="AM335" i="5"/>
  <c r="AM27" i="5"/>
  <c r="AM291" i="5"/>
  <c r="AM357" i="5"/>
  <c r="AM343" i="5"/>
  <c r="AM382" i="5"/>
  <c r="AM526" i="5"/>
  <c r="AM464" i="5"/>
  <c r="AM320" i="5"/>
  <c r="AM292" i="5"/>
  <c r="AM273" i="5"/>
  <c r="AM519" i="5"/>
  <c r="AM283" i="5"/>
  <c r="AM309" i="5"/>
  <c r="AM408" i="5"/>
  <c r="AM217" i="5"/>
  <c r="AM455" i="5"/>
  <c r="AM469" i="5"/>
  <c r="AM463" i="5"/>
  <c r="AM396" i="5"/>
  <c r="AM66" i="5"/>
  <c r="AM230" i="5"/>
  <c r="AM61" i="5"/>
  <c r="AM513" i="5"/>
  <c r="AM340" i="5"/>
  <c r="AM120" i="5"/>
  <c r="AM497" i="5"/>
  <c r="AM88" i="5"/>
  <c r="AM179" i="5"/>
  <c r="AM42" i="5"/>
  <c r="AM365" i="5"/>
  <c r="AM53" i="5"/>
  <c r="AM136" i="5"/>
  <c r="AM82" i="5"/>
  <c r="AM333" i="5"/>
  <c r="AM543" i="5"/>
  <c r="AM146" i="5"/>
  <c r="AM426" i="5"/>
  <c r="AM129" i="5"/>
  <c r="AM332" i="5"/>
  <c r="AM56" i="5"/>
  <c r="AM354" i="5"/>
  <c r="AM149" i="5"/>
  <c r="AM112" i="5"/>
  <c r="AM125" i="5"/>
  <c r="AM366" i="5"/>
  <c r="AM482" i="5"/>
  <c r="AM255" i="5"/>
  <c r="AM116" i="5"/>
  <c r="AM337" i="5"/>
  <c r="AM393" i="5"/>
  <c r="AM55" i="5"/>
  <c r="AM155" i="5"/>
  <c r="AM459" i="5"/>
  <c r="AM135" i="5"/>
  <c r="AM258" i="5"/>
  <c r="AM32" i="5"/>
  <c r="AM194" i="5"/>
  <c r="AM95" i="5"/>
  <c r="AM263" i="5"/>
  <c r="AM324" i="5"/>
  <c r="AM348" i="5"/>
  <c r="AM259" i="5"/>
  <c r="AM239" i="5"/>
  <c r="AM228" i="5"/>
  <c r="AM287" i="5"/>
  <c r="AM213" i="5"/>
  <c r="AM481" i="5"/>
  <c r="AM299" i="5"/>
  <c r="AM243" i="5"/>
  <c r="AM509" i="5"/>
  <c r="AM10" i="5"/>
  <c r="AM369" i="5"/>
  <c r="AM39" i="5"/>
  <c r="AM537" i="5"/>
  <c r="AM499" i="5"/>
  <c r="AM110" i="5"/>
  <c r="AM81" i="5"/>
  <c r="AM248" i="5"/>
  <c r="AM370" i="5"/>
  <c r="AM437" i="5"/>
  <c r="AM548" i="5"/>
  <c r="AM73" i="5"/>
  <c r="AM206" i="5"/>
  <c r="AM342" i="5"/>
  <c r="AM236" i="5"/>
  <c r="AM485" i="5"/>
  <c r="AM542" i="5"/>
  <c r="AM434" i="5"/>
  <c r="AM517" i="5"/>
  <c r="AM184" i="5"/>
  <c r="AM431" i="5"/>
  <c r="AM456" i="5"/>
  <c r="AM26" i="5"/>
  <c r="AM336" i="5"/>
  <c r="AM50" i="5"/>
  <c r="AM85" i="5"/>
  <c r="AM105" i="5"/>
  <c r="AM302" i="5"/>
  <c r="AM64" i="5"/>
  <c r="AM297" i="5"/>
  <c r="AM327" i="5"/>
  <c r="AM316" i="5"/>
  <c r="AM34" i="5"/>
  <c r="AM264" i="5"/>
  <c r="AM387" i="5"/>
  <c r="AM65" i="5"/>
  <c r="AM198" i="5"/>
  <c r="AM556" i="5"/>
  <c r="AM383" i="5"/>
  <c r="AM363" i="5"/>
  <c r="AM440" i="5"/>
  <c r="AM145" i="5"/>
  <c r="AM107" i="5"/>
  <c r="AM186" i="5"/>
  <c r="AM398" i="5"/>
  <c r="AM169" i="5"/>
  <c r="AM536" i="5"/>
  <c r="AM368" i="5"/>
  <c r="AM400" i="5"/>
  <c r="AM36" i="5"/>
  <c r="AM325" i="5"/>
  <c r="AM386" i="5"/>
  <c r="AM46" i="5"/>
  <c r="AM439" i="5"/>
  <c r="AM144" i="5"/>
  <c r="AM101" i="5"/>
  <c r="AM304" i="5"/>
  <c r="AM362" i="5"/>
  <c r="AM108" i="5"/>
  <c r="AM12" i="5"/>
  <c r="AM457" i="5"/>
  <c r="AM530" i="5"/>
  <c r="AM170" i="5"/>
  <c r="AM419" i="5"/>
  <c r="AM319" i="5"/>
  <c r="AM249" i="5"/>
  <c r="AM196" i="5"/>
  <c r="AM267" i="5"/>
  <c r="AM233" i="5"/>
  <c r="AM552" i="5"/>
  <c r="AM244" i="5"/>
  <c r="AM176" i="5"/>
  <c r="AM502" i="5"/>
  <c r="AM290" i="5"/>
  <c r="AM413" i="5"/>
  <c r="AM462" i="5"/>
  <c r="AM410" i="5"/>
  <c r="AM318" i="5"/>
  <c r="AM515" i="5"/>
  <c r="AM219" i="5"/>
  <c r="AM262" i="5"/>
  <c r="AM334" i="5"/>
  <c r="AM358" i="5"/>
  <c r="AM533" i="5"/>
  <c r="AM555" i="5"/>
  <c r="AM402" i="5"/>
  <c r="AM438" i="5"/>
  <c r="AM284" i="5"/>
  <c r="AM181" i="5"/>
  <c r="AM547" i="5"/>
  <c r="AM535" i="5"/>
  <c r="AM529" i="5"/>
  <c r="AM22" i="5"/>
  <c r="AM311" i="5"/>
  <c r="AM189" i="5"/>
  <c r="AM372" i="5"/>
  <c r="AM433" i="5"/>
  <c r="AM98" i="5"/>
  <c r="AM225" i="5"/>
  <c r="AM444" i="5"/>
  <c r="AM134" i="5"/>
  <c r="AM301" i="5"/>
  <c r="AM153" i="5"/>
  <c r="AM260" i="5"/>
  <c r="AM544" i="5"/>
  <c r="AM326" i="5"/>
  <c r="AM432" i="5"/>
  <c r="AM524" i="5"/>
  <c r="AM512" i="5"/>
  <c r="AM281" i="5"/>
  <c r="AM454" i="5"/>
  <c r="AM154" i="5"/>
  <c r="AM491" i="5"/>
  <c r="AM69" i="5"/>
  <c r="AM178" i="5"/>
  <c r="AM159" i="5"/>
  <c r="AM344" i="5"/>
  <c r="AM195" i="5"/>
  <c r="AM353" i="5"/>
  <c r="AM54" i="5"/>
  <c r="AM545" i="5"/>
  <c r="AM313" i="5"/>
  <c r="AM160" i="5"/>
  <c r="AM416" i="5"/>
  <c r="AM109" i="5"/>
  <c r="AM425" i="5"/>
  <c r="AM275" i="5"/>
  <c r="AM13" i="5"/>
  <c r="AM421" i="5"/>
  <c r="AM276" i="5"/>
  <c r="AM193" i="5"/>
  <c r="AM504" i="5"/>
  <c r="AM306" i="5"/>
  <c r="AM479" i="5"/>
  <c r="AM450" i="5"/>
  <c r="AM541" i="5"/>
  <c r="AM328" i="5"/>
  <c r="AM448" i="5"/>
  <c r="AM295" i="5"/>
  <c r="AM394" i="5"/>
  <c r="AM177" i="5"/>
  <c r="AM312" i="5"/>
  <c r="AM28" i="5"/>
  <c r="AM209" i="5"/>
  <c r="AM215" i="5"/>
  <c r="AM152" i="5"/>
  <c r="AM38" i="5"/>
  <c r="AM192" i="5"/>
  <c r="AM202" i="5"/>
  <c r="AM164" i="5"/>
  <c r="AM474" i="5"/>
  <c r="AM183" i="5"/>
  <c r="AM503" i="5"/>
  <c r="AM72" i="5"/>
  <c r="AM241" i="5"/>
  <c r="AM446" i="5"/>
  <c r="AM473" i="5"/>
  <c r="AM143" i="5"/>
  <c r="AM329" i="5"/>
  <c r="AM240" i="5"/>
  <c r="AM286" i="5"/>
  <c r="AM265" i="5"/>
  <c r="AM140" i="5"/>
  <c r="AM557" i="5"/>
  <c r="AM447" i="5"/>
  <c r="AM452" i="5"/>
  <c r="AM494" i="5"/>
  <c r="AM106" i="5"/>
  <c r="AM427" i="5"/>
  <c r="AM41" i="5"/>
  <c r="AM375" i="5"/>
  <c r="AM84" i="5"/>
  <c r="AM420" i="5"/>
  <c r="AM62" i="5"/>
  <c r="AM412" i="5"/>
  <c r="AM148" i="5"/>
  <c r="AM216" i="5"/>
  <c r="AM30" i="5"/>
  <c r="AM222" i="5"/>
  <c r="AM33" i="5"/>
  <c r="AM187" i="5"/>
  <c r="AM200" i="5"/>
  <c r="AM308" i="5"/>
  <c r="AM266" i="5"/>
  <c r="AM404" i="5"/>
  <c r="AM162" i="5"/>
  <c r="AM377" i="5"/>
  <c r="AM77" i="5"/>
  <c r="AM166" i="5"/>
  <c r="AM355" i="5"/>
  <c r="AM190" i="5"/>
  <c r="AM252" i="5"/>
  <c r="AM558" i="5"/>
  <c r="AM104" i="5"/>
  <c r="AM274" i="5"/>
  <c r="AM68" i="5"/>
  <c r="AM37" i="5"/>
  <c r="AM251" i="5"/>
  <c r="AM451" i="5"/>
  <c r="AM151" i="5"/>
  <c r="AM237" i="5"/>
  <c r="AM551" i="5"/>
  <c r="AM560" i="5"/>
  <c r="AM411" i="5"/>
  <c r="AM397" i="5"/>
  <c r="AM78" i="5"/>
  <c r="Y344" i="5"/>
  <c r="X344" i="5"/>
  <c r="Y494" i="5"/>
  <c r="X494" i="5"/>
  <c r="Y463" i="5"/>
  <c r="X463" i="5"/>
  <c r="Y370" i="5"/>
  <c r="X370" i="5"/>
  <c r="Y13" i="5"/>
  <c r="X13" i="5"/>
  <c r="Y152" i="5"/>
  <c r="X152" i="5"/>
  <c r="X206" i="5"/>
  <c r="Y206" i="5"/>
  <c r="X137" i="5"/>
  <c r="Y137" i="5"/>
  <c r="Y218" i="5"/>
  <c r="X218" i="5"/>
  <c r="Y104" i="5"/>
  <c r="X104" i="5"/>
  <c r="X535" i="5"/>
  <c r="Y535" i="5"/>
  <c r="X230" i="5"/>
  <c r="Y230" i="5"/>
  <c r="Y292" i="5"/>
  <c r="X292" i="5"/>
  <c r="W9" i="5"/>
  <c r="T9" i="5"/>
  <c r="AG9" i="5"/>
  <c r="AZ9" i="5"/>
  <c r="Z9" i="5"/>
  <c r="AW9" i="5"/>
  <c r="AJ9" i="5"/>
  <c r="AT9" i="5"/>
  <c r="AM9" i="5"/>
  <c r="X43" i="5"/>
  <c r="Y43" i="5"/>
  <c r="X174" i="5"/>
  <c r="Y174" i="5"/>
  <c r="X430" i="5"/>
  <c r="Y430" i="5"/>
  <c r="X291" i="5"/>
  <c r="Y291" i="5"/>
  <c r="X260" i="5"/>
  <c r="Y260" i="5"/>
  <c r="Y529" i="5"/>
  <c r="X529" i="5"/>
  <c r="X163" i="5"/>
  <c r="Y163" i="5"/>
  <c r="Y57" i="5"/>
  <c r="X57" i="5"/>
  <c r="X113" i="5"/>
  <c r="Y113" i="5"/>
  <c r="X324" i="5"/>
  <c r="Y324" i="5"/>
  <c r="Y99" i="5"/>
  <c r="X99" i="5"/>
  <c r="Y277" i="5"/>
  <c r="X277" i="5"/>
  <c r="X201" i="5"/>
  <c r="Y201" i="5"/>
  <c r="X128" i="5"/>
  <c r="Y128" i="5"/>
  <c r="X41" i="5"/>
  <c r="Y41" i="5"/>
  <c r="Y479" i="5"/>
  <c r="X479" i="5"/>
  <c r="Y227" i="5"/>
  <c r="X227" i="5"/>
  <c r="X147" i="5"/>
  <c r="Y147" i="5"/>
  <c r="Y234" i="5"/>
  <c r="X234" i="5"/>
  <c r="Y560" i="5"/>
  <c r="X560" i="5"/>
  <c r="X54" i="5"/>
  <c r="Y54" i="5"/>
  <c r="Y559" i="5"/>
  <c r="X559" i="5"/>
  <c r="X285" i="5"/>
  <c r="Y285" i="5"/>
  <c r="X357" i="5"/>
  <c r="Y357" i="5"/>
  <c r="Y396" i="5"/>
  <c r="X396" i="5"/>
  <c r="X126" i="5"/>
  <c r="Y126" i="5"/>
  <c r="Y524" i="5"/>
  <c r="X524" i="5"/>
  <c r="X192" i="5"/>
  <c r="Y192" i="5"/>
  <c r="X8" i="5"/>
  <c r="Y8" i="5"/>
  <c r="Y254" i="5"/>
  <c r="X254" i="5"/>
  <c r="X373" i="5"/>
  <c r="Y373" i="5"/>
  <c r="Y276" i="5"/>
  <c r="X276" i="5"/>
  <c r="Y521" i="5"/>
  <c r="X521" i="5"/>
  <c r="X538" i="5"/>
  <c r="Y538" i="5"/>
  <c r="X484" i="5"/>
  <c r="Y484" i="5"/>
  <c r="Y290" i="5"/>
  <c r="X290" i="5"/>
  <c r="X550" i="5"/>
  <c r="Y550" i="5"/>
  <c r="Y547" i="5"/>
  <c r="X547" i="5"/>
  <c r="X241" i="5"/>
  <c r="Y241" i="5"/>
  <c r="X330" i="5"/>
  <c r="Y330" i="5"/>
  <c r="Y518" i="5"/>
  <c r="X518" i="5"/>
  <c r="X149" i="5"/>
  <c r="Y149" i="5"/>
  <c r="X554" i="5"/>
  <c r="Y554" i="5"/>
  <c r="Y361" i="5"/>
  <c r="X361" i="5"/>
  <c r="Y318" i="5"/>
  <c r="X318" i="5"/>
  <c r="Y455" i="5"/>
  <c r="X455" i="5"/>
  <c r="Y223" i="5"/>
  <c r="X223" i="5"/>
  <c r="X545" i="5"/>
  <c r="Y545" i="5"/>
  <c r="X338" i="5"/>
  <c r="Y338" i="5"/>
  <c r="X157" i="5"/>
  <c r="Y157" i="5"/>
  <c r="X503" i="5"/>
  <c r="Y503" i="5"/>
  <c r="Y558" i="5"/>
  <c r="X558" i="5"/>
  <c r="X119" i="5"/>
  <c r="Y119" i="5"/>
  <c r="Y481" i="5"/>
  <c r="X481" i="5"/>
  <c r="X332" i="5"/>
  <c r="Y332" i="5"/>
  <c r="Y191" i="5"/>
  <c r="X191" i="5"/>
  <c r="X76" i="5"/>
  <c r="Y76" i="5"/>
  <c r="Y281" i="5"/>
  <c r="X281" i="5"/>
  <c r="Y196" i="5"/>
  <c r="X196" i="5"/>
  <c r="Y452" i="5"/>
  <c r="X452" i="5"/>
  <c r="Y298" i="5"/>
  <c r="X298" i="5"/>
  <c r="Y461" i="5"/>
  <c r="X461" i="5"/>
  <c r="Y504" i="5"/>
  <c r="X504" i="5"/>
  <c r="X349" i="5"/>
  <c r="Y349" i="5"/>
  <c r="Y114" i="5"/>
  <c r="X114" i="5"/>
  <c r="Y394" i="5"/>
  <c r="X394" i="5"/>
  <c r="Y220" i="5"/>
  <c r="X220" i="5"/>
  <c r="X224" i="5"/>
  <c r="Y224" i="5"/>
  <c r="Y505" i="5"/>
  <c r="X505" i="5"/>
  <c r="X106" i="5"/>
  <c r="Y106" i="5"/>
  <c r="X302" i="5"/>
  <c r="Y302" i="5"/>
  <c r="X243" i="5"/>
  <c r="Y243" i="5"/>
  <c r="Y492" i="5"/>
  <c r="X492" i="5"/>
  <c r="X214" i="5"/>
  <c r="Y214" i="5"/>
  <c r="X549" i="5"/>
  <c r="Y549" i="5"/>
  <c r="X300" i="5"/>
  <c r="Y300" i="5"/>
  <c r="X37" i="5"/>
  <c r="Y37" i="5"/>
  <c r="Y553" i="5"/>
  <c r="X553" i="5"/>
  <c r="X426" i="5"/>
  <c r="Y426" i="5"/>
  <c r="Y60" i="5"/>
  <c r="X60" i="5"/>
  <c r="X476" i="5"/>
  <c r="Y476" i="5"/>
  <c r="Y70" i="5"/>
  <c r="X70" i="5"/>
  <c r="X69" i="5"/>
  <c r="Y69" i="5"/>
  <c r="X315" i="5"/>
  <c r="Y315" i="5"/>
  <c r="X271" i="5"/>
  <c r="Y271" i="5"/>
  <c r="X242" i="5"/>
  <c r="Y242" i="5"/>
  <c r="X433" i="5"/>
  <c r="Y433" i="5"/>
  <c r="X65" i="5"/>
  <c r="Y65" i="5"/>
  <c r="Y496" i="5"/>
  <c r="X496" i="5"/>
  <c r="Y80" i="5"/>
  <c r="X80" i="5"/>
  <c r="X556" i="5"/>
  <c r="Y556" i="5"/>
  <c r="X331" i="5"/>
  <c r="Y331" i="5"/>
  <c r="X238" i="5"/>
  <c r="Y238" i="5"/>
  <c r="X335" i="5"/>
  <c r="Y335" i="5"/>
  <c r="Y555" i="5"/>
  <c r="X555" i="5"/>
  <c r="X248" i="5"/>
  <c r="Y248" i="5"/>
  <c r="X352" i="5"/>
  <c r="Y352" i="5"/>
  <c r="Y440" i="5"/>
  <c r="X440" i="5"/>
  <c r="Y209" i="5"/>
  <c r="X209" i="5"/>
  <c r="X395" i="5"/>
  <c r="Y395" i="5"/>
  <c r="X507" i="5"/>
  <c r="Y507" i="5"/>
  <c r="X482" i="5"/>
  <c r="Y482" i="5"/>
  <c r="Y295" i="5"/>
  <c r="X295" i="5"/>
  <c r="X25" i="5"/>
  <c r="Y25" i="5"/>
  <c r="X296" i="5"/>
  <c r="Y296" i="5"/>
  <c r="X393" i="5"/>
  <c r="Y393" i="5"/>
  <c r="X121" i="5"/>
  <c r="Y121" i="5"/>
  <c r="Y166" i="5"/>
  <c r="X166" i="5"/>
  <c r="X30" i="5"/>
  <c r="Y30" i="5"/>
  <c r="Y198" i="5"/>
  <c r="X198" i="5"/>
  <c r="X36" i="5"/>
  <c r="Y36" i="5"/>
  <c r="Y110" i="5"/>
  <c r="X110" i="5"/>
  <c r="X415" i="5"/>
  <c r="Y415" i="5"/>
  <c r="Y217" i="5"/>
  <c r="X217" i="5"/>
  <c r="X253" i="5"/>
  <c r="Y253" i="5"/>
  <c r="Y115" i="5"/>
  <c r="X115" i="5"/>
  <c r="X381" i="5"/>
  <c r="Y381" i="5"/>
  <c r="X541" i="5"/>
  <c r="Y541" i="5"/>
  <c r="Y317" i="5"/>
  <c r="X317" i="5"/>
  <c r="X83" i="5"/>
  <c r="Y83" i="5"/>
  <c r="Y109" i="5"/>
  <c r="X109" i="5"/>
  <c r="X20" i="5"/>
  <c r="Y20" i="5"/>
  <c r="X249" i="5"/>
  <c r="Y249" i="5"/>
  <c r="AV81" i="4"/>
  <c r="U81" i="4"/>
  <c r="AV120" i="4"/>
  <c r="U120" i="4"/>
  <c r="AV117" i="4"/>
  <c r="U117" i="4"/>
  <c r="H29" i="1"/>
  <c r="K94" i="2"/>
  <c r="B84" i="2"/>
  <c r="B86" i="2" s="1"/>
  <c r="B87" i="2" s="1"/>
  <c r="H30" i="1" s="1"/>
  <c r="Y448" i="5"/>
  <c r="X448" i="5"/>
  <c r="X525" i="5"/>
  <c r="Y525" i="5"/>
  <c r="X22" i="5"/>
  <c r="Y22" i="5"/>
  <c r="Y333" i="5"/>
  <c r="X333" i="5"/>
  <c r="X500" i="5"/>
  <c r="Y500" i="5"/>
  <c r="Y103" i="5"/>
  <c r="X103" i="5"/>
  <c r="Y289" i="5"/>
  <c r="X289" i="5"/>
  <c r="Y404" i="5"/>
  <c r="X404" i="5"/>
  <c r="Y170" i="5"/>
  <c r="X170" i="5"/>
  <c r="Y287" i="5"/>
  <c r="X287" i="5"/>
  <c r="X389" i="5"/>
  <c r="Y389" i="5"/>
  <c r="X46" i="5"/>
  <c r="Y46" i="5"/>
  <c r="Y356" i="5"/>
  <c r="X356" i="5"/>
  <c r="X77" i="5"/>
  <c r="Y77" i="5"/>
  <c r="X58" i="5"/>
  <c r="Y58" i="5"/>
  <c r="X534" i="5"/>
  <c r="Y534" i="5"/>
  <c r="X50" i="5"/>
  <c r="Y50" i="5"/>
  <c r="X272" i="5"/>
  <c r="Y272" i="5"/>
  <c r="X355" i="5"/>
  <c r="Y355" i="5"/>
  <c r="X257" i="5"/>
  <c r="Y257" i="5"/>
  <c r="X364" i="5"/>
  <c r="Y364" i="5"/>
  <c r="X251" i="5"/>
  <c r="Y251" i="5"/>
  <c r="Y399" i="5"/>
  <c r="X399" i="5"/>
  <c r="Y464" i="5"/>
  <c r="X464" i="5"/>
  <c r="Y425" i="5"/>
  <c r="X425" i="5"/>
  <c r="Y40" i="5"/>
  <c r="X40" i="5"/>
  <c r="Y226" i="5"/>
  <c r="X226" i="5"/>
  <c r="Y150" i="5"/>
  <c r="X150" i="5"/>
  <c r="Y548" i="5"/>
  <c r="X548" i="5"/>
  <c r="Y105" i="5"/>
  <c r="X105" i="5"/>
  <c r="AV79" i="4"/>
  <c r="U79" i="4"/>
  <c r="AV151" i="4"/>
  <c r="U151" i="4"/>
  <c r="AV83" i="4"/>
  <c r="U83" i="4"/>
  <c r="AV28" i="4"/>
  <c r="U28" i="4"/>
  <c r="Y79" i="5"/>
  <c r="X79" i="5"/>
  <c r="X284" i="5"/>
  <c r="Y284" i="5"/>
  <c r="X96" i="5"/>
  <c r="Y96" i="5"/>
  <c r="X391" i="5"/>
  <c r="Y391" i="5"/>
  <c r="X129" i="5"/>
  <c r="Y129" i="5"/>
  <c r="Y387" i="5"/>
  <c r="X387" i="5"/>
  <c r="X530" i="5"/>
  <c r="Y530" i="5"/>
  <c r="X342" i="5"/>
  <c r="Y342" i="5"/>
  <c r="X528" i="5"/>
  <c r="Y528" i="5"/>
  <c r="X432" i="5"/>
  <c r="Y432" i="5"/>
  <c r="X134" i="5"/>
  <c r="Y134" i="5"/>
  <c r="X162" i="5"/>
  <c r="Y162" i="5"/>
  <c r="Y441" i="5"/>
  <c r="X441" i="5"/>
  <c r="Y194" i="5"/>
  <c r="X194" i="5"/>
  <c r="X252" i="5"/>
  <c r="Y252" i="5"/>
  <c r="X236" i="5"/>
  <c r="Y236" i="5"/>
  <c r="X222" i="5"/>
  <c r="Y222" i="5"/>
  <c r="X48" i="5"/>
  <c r="Y48" i="5"/>
  <c r="X63" i="5"/>
  <c r="Y63" i="5"/>
  <c r="X61" i="5"/>
  <c r="Y61" i="5"/>
  <c r="Y308" i="5"/>
  <c r="X308" i="5"/>
  <c r="X445" i="5"/>
  <c r="Y445" i="5"/>
  <c r="X457" i="5"/>
  <c r="Y457" i="5"/>
  <c r="Y120" i="5"/>
  <c r="X120" i="5"/>
  <c r="Y551" i="5"/>
  <c r="X551" i="5"/>
  <c r="Y509" i="5"/>
  <c r="X509" i="5"/>
  <c r="Y193" i="5"/>
  <c r="X193" i="5"/>
  <c r="X127" i="5"/>
  <c r="Y127" i="5"/>
  <c r="X188" i="5"/>
  <c r="Y188" i="5"/>
  <c r="Y510" i="5"/>
  <c r="X510" i="5"/>
  <c r="Y24" i="5"/>
  <c r="X24" i="5"/>
  <c r="Y539" i="5"/>
  <c r="X539" i="5"/>
  <c r="X161" i="5"/>
  <c r="Y161" i="5"/>
  <c r="Y270" i="5"/>
  <c r="X270" i="5"/>
  <c r="X72" i="5"/>
  <c r="Y72" i="5"/>
  <c r="X490" i="5"/>
  <c r="Y490" i="5"/>
  <c r="X108" i="5"/>
  <c r="Y108" i="5"/>
  <c r="X462" i="5"/>
  <c r="Y462" i="5"/>
  <c r="Y451" i="5"/>
  <c r="X451" i="5"/>
  <c r="Y97" i="5"/>
  <c r="X97" i="5"/>
  <c r="X405" i="5"/>
  <c r="Y405" i="5"/>
  <c r="Y495" i="5"/>
  <c r="X495" i="5"/>
  <c r="X183" i="5"/>
  <c r="Y183" i="5"/>
  <c r="Y82" i="5"/>
  <c r="X82" i="5"/>
  <c r="X33" i="5"/>
  <c r="Y33" i="5"/>
  <c r="X354" i="5"/>
  <c r="Y354" i="5"/>
  <c r="X56" i="5"/>
  <c r="Y56" i="5"/>
  <c r="X475" i="5"/>
  <c r="Y475" i="5"/>
  <c r="X523" i="5"/>
  <c r="Y523" i="5"/>
  <c r="Y299" i="5"/>
  <c r="X299" i="5"/>
  <c r="Y189" i="5"/>
  <c r="X189" i="5"/>
  <c r="Y67" i="5"/>
  <c r="X67" i="5"/>
  <c r="X374" i="5"/>
  <c r="Y374" i="5"/>
  <c r="Y468" i="5"/>
  <c r="X468" i="5"/>
  <c r="Y139" i="5"/>
  <c r="X139" i="5"/>
  <c r="Y421" i="5"/>
  <c r="X421" i="5"/>
  <c r="X469" i="5"/>
  <c r="Y469" i="5"/>
  <c r="X325" i="5"/>
  <c r="Y325" i="5"/>
  <c r="X123" i="5"/>
  <c r="Y123" i="5"/>
  <c r="Y517" i="5"/>
  <c r="X517" i="5"/>
  <c r="X138" i="5"/>
  <c r="Y138" i="5"/>
  <c r="Y59" i="5"/>
  <c r="X59" i="5"/>
  <c r="Y164" i="5"/>
  <c r="X164" i="5"/>
  <c r="X266" i="5"/>
  <c r="Y266" i="5"/>
  <c r="Y382" i="5"/>
  <c r="X382" i="5"/>
  <c r="Y62" i="5"/>
  <c r="X62" i="5"/>
  <c r="X506" i="5"/>
  <c r="Y506" i="5"/>
  <c r="X543" i="5"/>
  <c r="Y543" i="5"/>
  <c r="X282" i="5"/>
  <c r="Y282" i="5"/>
  <c r="X136" i="5"/>
  <c r="Y136" i="5"/>
  <c r="X273" i="5"/>
  <c r="Y273" i="5"/>
  <c r="X390" i="5"/>
  <c r="Y390" i="5"/>
  <c r="X350" i="5"/>
  <c r="Y350" i="5"/>
  <c r="Y228" i="5"/>
  <c r="X228" i="5"/>
  <c r="X467" i="5"/>
  <c r="Y467" i="5"/>
  <c r="X326" i="5"/>
  <c r="Y326" i="5"/>
  <c r="Y75" i="5"/>
  <c r="X75" i="5"/>
  <c r="Y294" i="5"/>
  <c r="X294" i="5"/>
  <c r="X178" i="5"/>
  <c r="Y178" i="5"/>
  <c r="Y491" i="5"/>
  <c r="X491" i="5"/>
  <c r="Y359" i="5"/>
  <c r="X359" i="5"/>
  <c r="Y385" i="5"/>
  <c r="X385" i="5"/>
  <c r="Y68" i="5"/>
  <c r="X68" i="5"/>
  <c r="X38" i="5"/>
  <c r="Y38" i="5"/>
  <c r="X542" i="5"/>
  <c r="Y542" i="5"/>
  <c r="X408" i="5"/>
  <c r="Y408" i="5"/>
  <c r="Y472" i="5"/>
  <c r="X472" i="5"/>
  <c r="X471" i="5"/>
  <c r="Y471" i="5"/>
  <c r="X29" i="5"/>
  <c r="Y29" i="5"/>
  <c r="X322" i="5"/>
  <c r="Y322" i="5"/>
  <c r="Y312" i="5"/>
  <c r="X312" i="5"/>
  <c r="X199" i="5"/>
  <c r="Y199" i="5"/>
  <c r="X34" i="5"/>
  <c r="Y34" i="5"/>
  <c r="X177" i="5"/>
  <c r="Y177" i="5"/>
  <c r="Y301" i="5"/>
  <c r="X301" i="5"/>
  <c r="X145" i="5"/>
  <c r="Y145" i="5"/>
  <c r="X269" i="5"/>
  <c r="Y269" i="5"/>
  <c r="X221" i="5"/>
  <c r="Y221" i="5"/>
  <c r="Y208" i="5"/>
  <c r="X208" i="5"/>
  <c r="X92" i="5"/>
  <c r="Y92" i="5"/>
  <c r="Y437" i="5"/>
  <c r="X437" i="5"/>
  <c r="X334" i="5"/>
  <c r="Y334" i="5"/>
  <c r="X74" i="5"/>
  <c r="Y74" i="5"/>
  <c r="X200" i="5"/>
  <c r="Y200" i="5"/>
  <c r="X246" i="5"/>
  <c r="Y246" i="5"/>
  <c r="Y348" i="5"/>
  <c r="X348" i="5"/>
  <c r="Y485" i="5"/>
  <c r="X485" i="5"/>
  <c r="X311" i="5"/>
  <c r="Y311" i="5"/>
  <c r="Y339" i="5"/>
  <c r="X339" i="5"/>
  <c r="Y160" i="5"/>
  <c r="X160" i="5"/>
  <c r="Y413" i="5"/>
  <c r="X413" i="5"/>
  <c r="Y379" i="5"/>
  <c r="X379" i="5"/>
  <c r="Y140" i="5"/>
  <c r="X140" i="5"/>
  <c r="X89" i="5"/>
  <c r="Y89" i="5"/>
  <c r="X466" i="5"/>
  <c r="Y466" i="5"/>
  <c r="Y229" i="5"/>
  <c r="X229" i="5"/>
  <c r="X168" i="5"/>
  <c r="Y168" i="5"/>
  <c r="Y416" i="5"/>
  <c r="X416" i="5"/>
  <c r="X499" i="5"/>
  <c r="Y499" i="5"/>
  <c r="X148" i="5"/>
  <c r="Y148" i="5"/>
  <c r="Y231" i="5"/>
  <c r="X231" i="5"/>
  <c r="R7" i="5"/>
  <c r="S7" i="5"/>
  <c r="AV74" i="4"/>
  <c r="U74" i="4"/>
  <c r="AV137" i="4"/>
  <c r="U137" i="4"/>
  <c r="AV126" i="4"/>
  <c r="U126" i="4"/>
  <c r="AV147" i="4"/>
  <c r="U147" i="4"/>
  <c r="AV121" i="4"/>
  <c r="U121" i="4"/>
  <c r="AV8" i="4"/>
  <c r="U8" i="4"/>
  <c r="AV94" i="4"/>
  <c r="U94" i="4"/>
  <c r="AV15" i="4"/>
  <c r="U15" i="4"/>
  <c r="AV59" i="4"/>
  <c r="U59" i="4"/>
  <c r="AV30" i="4"/>
  <c r="U30" i="4"/>
  <c r="AV93" i="4"/>
  <c r="U93" i="4"/>
  <c r="AV44" i="4"/>
  <c r="U44" i="4"/>
  <c r="AV145" i="4"/>
  <c r="U145" i="4"/>
  <c r="AV33" i="4"/>
  <c r="U33" i="4"/>
  <c r="AV31" i="4"/>
  <c r="U31" i="4"/>
  <c r="AV141" i="4"/>
  <c r="U141" i="4"/>
  <c r="AV67" i="4"/>
  <c r="U67" i="4"/>
  <c r="AV61" i="4"/>
  <c r="U61" i="4"/>
  <c r="AF11" i="5"/>
  <c r="AF9" i="5"/>
  <c r="AF94" i="5"/>
  <c r="AF395" i="5"/>
  <c r="AF391" i="5"/>
  <c r="AP391" i="5" s="1"/>
  <c r="AF497" i="5"/>
  <c r="AF523" i="5"/>
  <c r="AF342" i="5"/>
  <c r="AF499" i="5"/>
  <c r="AF56" i="5"/>
  <c r="AF258" i="5"/>
  <c r="AF524" i="5"/>
  <c r="AF414" i="5"/>
  <c r="AF33" i="5"/>
  <c r="AF245" i="5"/>
  <c r="AF277" i="5"/>
  <c r="AP277" i="5" s="1"/>
  <c r="AF517" i="5"/>
  <c r="AP517" i="5" s="1"/>
  <c r="AF452" i="5"/>
  <c r="AF496" i="5"/>
  <c r="AF136" i="5"/>
  <c r="AF513" i="5"/>
  <c r="AF461" i="5"/>
  <c r="AF232" i="5"/>
  <c r="AF250" i="5"/>
  <c r="AP250" i="5" s="1"/>
  <c r="AF511" i="5"/>
  <c r="AP511" i="5" s="1"/>
  <c r="AF321" i="5"/>
  <c r="AF167" i="5"/>
  <c r="AF29" i="5"/>
  <c r="AF77" i="5"/>
  <c r="AF440" i="5"/>
  <c r="AF164" i="5"/>
  <c r="AF371" i="5"/>
  <c r="AF281" i="5"/>
  <c r="AF292" i="5"/>
  <c r="AF330" i="5"/>
  <c r="AF43" i="5"/>
  <c r="AF364" i="5"/>
  <c r="AF148" i="5"/>
  <c r="AF454" i="5"/>
  <c r="AF460" i="5"/>
  <c r="AF495" i="5"/>
  <c r="AF98" i="5"/>
  <c r="AF539" i="5"/>
  <c r="AF445" i="5"/>
  <c r="AF55" i="5"/>
  <c r="AF360" i="5"/>
  <c r="AF412" i="5"/>
  <c r="AF427" i="5"/>
  <c r="AF305" i="5"/>
  <c r="AF146" i="5"/>
  <c r="AF288" i="5"/>
  <c r="AF131" i="5"/>
  <c r="AF112" i="5"/>
  <c r="AF189" i="5"/>
  <c r="AF551" i="5"/>
  <c r="AF139" i="5"/>
  <c r="AP139" i="5" s="1"/>
  <c r="AF104" i="5"/>
  <c r="AF177" i="5"/>
  <c r="AF210" i="5"/>
  <c r="AF500" i="5"/>
  <c r="AF243" i="5"/>
  <c r="AF205" i="5"/>
  <c r="AF278" i="5"/>
  <c r="AF172" i="5"/>
  <c r="AP172" i="5" s="1"/>
  <c r="AF393" i="5"/>
  <c r="AF366" i="5"/>
  <c r="AF347" i="5"/>
  <c r="AF127" i="5"/>
  <c r="AF89" i="5"/>
  <c r="AF153" i="5"/>
  <c r="AF208" i="5"/>
  <c r="AF256" i="5"/>
  <c r="AF255" i="5"/>
  <c r="AF234" i="5"/>
  <c r="AF116" i="5"/>
  <c r="AF532" i="5"/>
  <c r="AF415" i="5"/>
  <c r="AF100" i="5"/>
  <c r="AF537" i="5"/>
  <c r="AF544" i="5"/>
  <c r="AF310" i="5"/>
  <c r="AF430" i="5"/>
  <c r="AF142" i="5"/>
  <c r="AF357" i="5"/>
  <c r="AP357" i="5" s="1"/>
  <c r="AF138" i="5"/>
  <c r="AF548" i="5"/>
  <c r="AF318" i="5"/>
  <c r="AF85" i="5"/>
  <c r="AF542" i="5"/>
  <c r="AF370" i="5"/>
  <c r="AF308" i="5"/>
  <c r="AF465" i="5"/>
  <c r="AF467" i="5"/>
  <c r="AF451" i="5"/>
  <c r="AF408" i="5"/>
  <c r="AF163" i="5"/>
  <c r="AF122" i="5"/>
  <c r="AF203" i="5"/>
  <c r="AF76" i="5"/>
  <c r="AF118" i="5"/>
  <c r="AF443" i="5"/>
  <c r="AF257" i="5"/>
  <c r="AF268" i="5"/>
  <c r="AF30" i="5"/>
  <c r="AF401" i="5"/>
  <c r="AF295" i="5"/>
  <c r="AF252" i="5"/>
  <c r="AF550" i="5"/>
  <c r="AF506" i="5"/>
  <c r="AP506" i="5" s="1"/>
  <c r="AF486" i="5"/>
  <c r="AF394" i="5"/>
  <c r="AF425" i="5"/>
  <c r="AF19" i="5"/>
  <c r="AF212" i="5"/>
  <c r="AF135" i="5"/>
  <c r="AF488" i="5"/>
  <c r="AF510" i="5"/>
  <c r="AF231" i="5"/>
  <c r="AP231" i="5" s="1"/>
  <c r="AF490" i="5"/>
  <c r="AF93" i="5"/>
  <c r="AF435" i="5"/>
  <c r="AF267" i="5"/>
  <c r="AF346" i="5"/>
  <c r="AP346" i="5" s="1"/>
  <c r="AF265" i="5"/>
  <c r="AF241" i="5"/>
  <c r="AF140" i="5"/>
  <c r="AP140" i="5" s="1"/>
  <c r="AF507" i="5"/>
  <c r="AP507" i="5" s="1"/>
  <c r="AF62" i="5"/>
  <c r="AF319" i="5"/>
  <c r="AF128" i="5"/>
  <c r="AF291" i="5"/>
  <c r="AP291" i="5" s="1"/>
  <c r="AF32" i="5"/>
  <c r="AF555" i="5"/>
  <c r="AF389" i="5"/>
  <c r="AF156" i="5"/>
  <c r="AF133" i="5"/>
  <c r="AP133" i="5" s="1"/>
  <c r="AF424" i="5"/>
  <c r="AF477" i="5"/>
  <c r="AF260" i="5"/>
  <c r="AF194" i="5"/>
  <c r="AF325" i="5"/>
  <c r="AF242" i="5"/>
  <c r="AF399" i="5"/>
  <c r="AF527" i="5"/>
  <c r="AF63" i="5"/>
  <c r="AF480" i="5"/>
  <c r="AF505" i="5"/>
  <c r="AF458" i="5"/>
  <c r="AF478" i="5"/>
  <c r="AF36" i="5"/>
  <c r="AF201" i="5"/>
  <c r="AF181" i="5"/>
  <c r="AP181" i="5" s="1"/>
  <c r="AF361" i="5"/>
  <c r="AF372" i="5"/>
  <c r="AF52" i="5"/>
  <c r="AF459" i="5"/>
  <c r="AF132" i="5"/>
  <c r="AF190" i="5"/>
  <c r="AF45" i="5"/>
  <c r="AF247" i="5"/>
  <c r="AF279" i="5"/>
  <c r="AF46" i="5"/>
  <c r="AF134" i="5"/>
  <c r="AF368" i="5"/>
  <c r="AP368" i="5" s="1"/>
  <c r="AF123" i="5"/>
  <c r="AF73" i="5"/>
  <c r="AF403" i="5"/>
  <c r="AF538" i="5"/>
  <c r="AF48" i="5"/>
  <c r="AF166" i="5"/>
  <c r="AF26" i="5"/>
  <c r="AF8" i="5"/>
  <c r="AP8" i="5" s="1"/>
  <c r="AF540" i="5"/>
  <c r="AF374" i="5"/>
  <c r="AF326" i="5"/>
  <c r="AF99" i="5"/>
  <c r="AF526" i="5"/>
  <c r="AP526" i="5" s="1"/>
  <c r="AF207" i="5"/>
  <c r="AP207" i="5" s="1"/>
  <c r="AF290" i="5"/>
  <c r="AF546" i="5"/>
  <c r="AP546" i="5" s="1"/>
  <c r="AF334" i="5"/>
  <c r="AF547" i="5"/>
  <c r="AF441" i="5"/>
  <c r="AF58" i="5"/>
  <c r="AF110" i="5"/>
  <c r="AF187" i="5"/>
  <c r="AF312" i="5"/>
  <c r="AF313" i="5"/>
  <c r="AF314" i="5"/>
  <c r="AF417" i="5"/>
  <c r="AF66" i="5"/>
  <c r="AF554" i="5"/>
  <c r="AF385" i="5"/>
  <c r="AF447" i="5"/>
  <c r="AF516" i="5"/>
  <c r="AP516" i="5" s="1"/>
  <c r="AF240" i="5"/>
  <c r="AF323" i="5"/>
  <c r="AF283" i="5"/>
  <c r="AF87" i="5"/>
  <c r="AF178" i="5"/>
  <c r="AF558" i="5"/>
  <c r="AF453" i="5"/>
  <c r="AF31" i="5"/>
  <c r="AF333" i="5"/>
  <c r="AF216" i="5"/>
  <c r="AP216" i="5" s="1"/>
  <c r="AF404" i="5"/>
  <c r="AF350" i="5"/>
  <c r="AF282" i="5"/>
  <c r="AP282" i="5" s="1"/>
  <c r="AF429" i="5"/>
  <c r="AF175" i="5"/>
  <c r="AF154" i="5"/>
  <c r="AF533" i="5"/>
  <c r="AF434" i="5"/>
  <c r="AF126" i="5"/>
  <c r="AF125" i="5"/>
  <c r="AF525" i="5"/>
  <c r="AP525" i="5" s="1"/>
  <c r="AF504" i="5"/>
  <c r="AF348" i="5"/>
  <c r="AF23" i="5"/>
  <c r="AP23" i="5" s="1"/>
  <c r="AF387" i="5"/>
  <c r="AF161" i="5"/>
  <c r="AF42" i="5"/>
  <c r="AF469" i="5"/>
  <c r="AP469" i="5" s="1"/>
  <c r="AF124" i="5"/>
  <c r="AF419" i="5"/>
  <c r="AF158" i="5"/>
  <c r="AF339" i="5"/>
  <c r="AF185" i="5"/>
  <c r="AF222" i="5"/>
  <c r="AF428" i="5"/>
  <c r="AF392" i="5"/>
  <c r="AF448" i="5"/>
  <c r="AF474" i="5"/>
  <c r="AF439" i="5"/>
  <c r="AF108" i="5"/>
  <c r="AP108" i="5" s="1"/>
  <c r="AF302" i="5"/>
  <c r="AF20" i="5"/>
  <c r="AP20" i="5" s="1"/>
  <c r="AF151" i="5"/>
  <c r="AF522" i="5"/>
  <c r="AF472" i="5"/>
  <c r="AF549" i="5"/>
  <c r="AF70" i="5"/>
  <c r="AF237" i="5"/>
  <c r="AP237" i="5" s="1"/>
  <c r="AF317" i="5"/>
  <c r="AF160" i="5"/>
  <c r="AP160" i="5" s="1"/>
  <c r="AF214" i="5"/>
  <c r="AF444" i="5"/>
  <c r="AF179" i="5"/>
  <c r="AF503" i="5"/>
  <c r="AF236" i="5"/>
  <c r="AF307" i="5"/>
  <c r="AF437" i="5"/>
  <c r="AF479" i="5"/>
  <c r="AF191" i="5"/>
  <c r="AP191" i="5" s="1"/>
  <c r="AF41" i="5"/>
  <c r="AF229" i="5"/>
  <c r="AP229" i="5" s="1"/>
  <c r="AF320" i="5"/>
  <c r="AF143" i="5"/>
  <c r="AF249" i="5"/>
  <c r="AF359" i="5"/>
  <c r="AF388" i="5"/>
  <c r="AF211" i="5"/>
  <c r="AF107" i="5"/>
  <c r="AF315" i="5"/>
  <c r="AF462" i="5"/>
  <c r="AF384" i="5"/>
  <c r="AF455" i="5"/>
  <c r="AF200" i="5"/>
  <c r="AF246" i="5"/>
  <c r="AF114" i="5"/>
  <c r="AF433" i="5"/>
  <c r="AF489" i="5"/>
  <c r="AP489" i="5" s="1"/>
  <c r="AF520" i="5"/>
  <c r="AF91" i="5"/>
  <c r="AF529" i="5"/>
  <c r="AF299" i="5"/>
  <c r="AF117" i="5"/>
  <c r="AF294" i="5"/>
  <c r="AF109" i="5"/>
  <c r="AP109" i="5" s="1"/>
  <c r="AF543" i="5"/>
  <c r="AF426" i="5"/>
  <c r="AF121" i="5"/>
  <c r="AF235" i="5"/>
  <c r="AP235" i="5" s="1"/>
  <c r="AF206" i="5"/>
  <c r="AF416" i="5"/>
  <c r="AF369" i="5"/>
  <c r="AF176" i="5"/>
  <c r="AF335" i="5"/>
  <c r="AF223" i="5"/>
  <c r="AF204" i="5"/>
  <c r="AF141" i="5"/>
  <c r="AP141" i="5" s="1"/>
  <c r="AF218" i="5"/>
  <c r="AF51" i="5"/>
  <c r="AF367" i="5"/>
  <c r="AF173" i="5"/>
  <c r="AP173" i="5" s="1"/>
  <c r="AF336" i="5"/>
  <c r="AF88" i="5"/>
  <c r="AP88" i="5" s="1"/>
  <c r="AF103" i="5"/>
  <c r="AP103" i="5" s="1"/>
  <c r="AF483" i="5"/>
  <c r="AP483" i="5" s="1"/>
  <c r="AF39" i="5"/>
  <c r="AF180" i="5"/>
  <c r="AF423" i="5"/>
  <c r="AF261" i="5"/>
  <c r="AP261" i="5" s="1"/>
  <c r="AF402" i="5"/>
  <c r="AF209" i="5"/>
  <c r="AF457" i="5"/>
  <c r="AF251" i="5"/>
  <c r="AF274" i="5"/>
  <c r="AP274" i="5" s="1"/>
  <c r="AF239" i="5"/>
  <c r="AP239" i="5" s="1"/>
  <c r="AF409" i="5"/>
  <c r="AF199" i="5"/>
  <c r="AF196" i="5"/>
  <c r="AF13" i="5"/>
  <c r="AF220" i="5"/>
  <c r="AP220" i="5" s="1"/>
  <c r="AF411" i="5"/>
  <c r="AF309" i="5"/>
  <c r="AF28" i="5"/>
  <c r="AF470" i="5"/>
  <c r="AF188" i="5"/>
  <c r="AF170" i="5"/>
  <c r="AP170" i="5" s="1"/>
  <c r="AF553" i="5"/>
  <c r="AF338" i="5"/>
  <c r="AP338" i="5" s="1"/>
  <c r="AF446" i="5"/>
  <c r="AF145" i="5"/>
  <c r="AF390" i="5"/>
  <c r="AF502" i="5"/>
  <c r="AF501" i="5"/>
  <c r="AF244" i="5"/>
  <c r="AF60" i="5"/>
  <c r="AF287" i="5"/>
  <c r="AF79" i="5"/>
  <c r="AF150" i="5"/>
  <c r="AF54" i="5"/>
  <c r="AF464" i="5"/>
  <c r="AF159" i="5"/>
  <c r="AF80" i="5"/>
  <c r="AF284" i="5"/>
  <c r="AF442" i="5"/>
  <c r="AP442" i="5" s="1"/>
  <c r="AF400" i="5"/>
  <c r="AF183" i="5"/>
  <c r="AP183" i="5" s="1"/>
  <c r="AF491" i="5"/>
  <c r="AF47" i="5"/>
  <c r="AF397" i="5"/>
  <c r="AF171" i="5"/>
  <c r="AP171" i="5" s="1"/>
  <c r="AF262" i="5"/>
  <c r="AF410" i="5"/>
  <c r="AF61" i="5"/>
  <c r="AF345" i="5"/>
  <c r="AP345" i="5" s="1"/>
  <c r="AF82" i="5"/>
  <c r="AF67" i="5"/>
  <c r="AF221" i="5"/>
  <c r="AF168" i="5"/>
  <c r="AF269" i="5"/>
  <c r="AF485" i="5"/>
  <c r="AF119" i="5"/>
  <c r="AF463" i="5"/>
  <c r="AF53" i="5"/>
  <c r="AF137" i="5"/>
  <c r="AF494" i="5"/>
  <c r="AF536" i="5"/>
  <c r="AF50" i="5"/>
  <c r="AF322" i="5"/>
  <c r="AF72" i="5"/>
  <c r="AF431" i="5"/>
  <c r="AP431" i="5" s="1"/>
  <c r="AF92" i="5"/>
  <c r="AF406" i="5"/>
  <c r="AP406" i="5" s="1"/>
  <c r="AF195" i="5"/>
  <c r="AF213" i="5"/>
  <c r="AF353" i="5"/>
  <c r="AF259" i="5"/>
  <c r="AP259" i="5" s="1"/>
  <c r="AF86" i="5"/>
  <c r="AF197" i="5"/>
  <c r="AF271" i="5"/>
  <c r="AF528" i="5"/>
  <c r="AF280" i="5"/>
  <c r="AF436" i="5"/>
  <c r="AP436" i="5" s="1"/>
  <c r="AF186" i="5"/>
  <c r="AF130" i="5"/>
  <c r="AF481" i="5"/>
  <c r="AP481" i="5" s="1"/>
  <c r="AF296" i="5"/>
  <c r="AF398" i="5"/>
  <c r="AP398" i="5" s="1"/>
  <c r="AF456" i="5"/>
  <c r="AF101" i="5"/>
  <c r="AF381" i="5"/>
  <c r="AF450" i="5"/>
  <c r="AF383" i="5"/>
  <c r="AF65" i="5"/>
  <c r="AP65" i="5" s="1"/>
  <c r="AF303" i="5"/>
  <c r="AF147" i="5"/>
  <c r="AF157" i="5"/>
  <c r="AP157" i="5" s="1"/>
  <c r="AF351" i="5"/>
  <c r="AF421" i="5"/>
  <c r="AP421" i="5" s="1"/>
  <c r="AF75" i="5"/>
  <c r="AF306" i="5"/>
  <c r="AF68" i="5"/>
  <c r="AF169" i="5"/>
  <c r="AF521" i="5"/>
  <c r="AP521" i="5" s="1"/>
  <c r="AF219" i="5"/>
  <c r="AF377" i="5"/>
  <c r="AF515" i="5"/>
  <c r="AF354" i="5"/>
  <c r="AF418" i="5"/>
  <c r="AF396" i="5"/>
  <c r="AF129" i="5"/>
  <c r="AF152" i="5"/>
  <c r="AF7" i="5"/>
  <c r="AF59" i="5"/>
  <c r="AF438" i="5"/>
  <c r="AF174" i="5"/>
  <c r="AF289" i="5"/>
  <c r="AF328" i="5"/>
  <c r="AF182" i="5"/>
  <c r="AF484" i="5"/>
  <c r="AF466" i="5"/>
  <c r="AF40" i="5"/>
  <c r="AP40" i="5" s="1"/>
  <c r="AF362" i="5"/>
  <c r="AF230" i="5"/>
  <c r="AF329" i="5"/>
  <c r="AF519" i="5"/>
  <c r="AF78" i="5"/>
  <c r="AF363" i="5"/>
  <c r="AP363" i="5" s="1"/>
  <c r="AF44" i="5"/>
  <c r="AF90" i="5"/>
  <c r="AF253" i="5"/>
  <c r="AF380" i="5"/>
  <c r="AF468" i="5"/>
  <c r="AP468" i="5" s="1"/>
  <c r="AF365" i="5"/>
  <c r="AP365" i="5" s="1"/>
  <c r="AF341" i="5"/>
  <c r="AF297" i="5"/>
  <c r="AF373" i="5"/>
  <c r="AF22" i="5"/>
  <c r="AF304" i="5"/>
  <c r="AF165" i="5"/>
  <c r="AF449" i="5"/>
  <c r="AF331" i="5"/>
  <c r="AF106" i="5"/>
  <c r="AP106" i="5" s="1"/>
  <c r="AF69" i="5"/>
  <c r="AF96" i="5"/>
  <c r="AF115" i="5"/>
  <c r="AF263" i="5"/>
  <c r="AF413" i="5"/>
  <c r="AF508" i="5"/>
  <c r="AF275" i="5"/>
  <c r="AP275" i="5" s="1"/>
  <c r="AF24" i="5"/>
  <c r="AF552" i="5"/>
  <c r="AF530" i="5"/>
  <c r="AF316" i="5"/>
  <c r="AF254" i="5"/>
  <c r="AP254" i="5" s="1"/>
  <c r="AF270" i="5"/>
  <c r="AP270" i="5" s="1"/>
  <c r="AF81" i="5"/>
  <c r="AF83" i="5"/>
  <c r="AP83" i="5" s="1"/>
  <c r="AF405" i="5"/>
  <c r="AF215" i="5"/>
  <c r="AF272" i="5"/>
  <c r="AF337" i="5"/>
  <c r="AF162" i="5"/>
  <c r="AF298" i="5"/>
  <c r="AF25" i="5"/>
  <c r="AF102" i="5"/>
  <c r="AF266" i="5"/>
  <c r="AP266" i="5" s="1"/>
  <c r="AF224" i="5"/>
  <c r="AP224" i="5" s="1"/>
  <c r="AF386" i="5"/>
  <c r="AF476" i="5"/>
  <c r="AP476" i="5" s="1"/>
  <c r="AF286" i="5"/>
  <c r="AP286" i="5" s="1"/>
  <c r="AF541" i="5"/>
  <c r="AF293" i="5"/>
  <c r="AF120" i="5"/>
  <c r="AF560" i="5"/>
  <c r="AF74" i="5"/>
  <c r="AP74" i="5" s="1"/>
  <c r="AF352" i="5"/>
  <c r="AF10" i="5"/>
  <c r="AF38" i="5"/>
  <c r="AF557" i="5"/>
  <c r="AF407" i="5"/>
  <c r="AP407" i="5" s="1"/>
  <c r="AF349" i="5"/>
  <c r="AF311" i="5"/>
  <c r="AF192" i="5"/>
  <c r="AP192" i="5" s="1"/>
  <c r="AF514" i="5"/>
  <c r="AF226" i="5"/>
  <c r="AF498" i="5"/>
  <c r="AF238" i="5"/>
  <c r="AF84" i="5"/>
  <c r="AF471" i="5"/>
  <c r="AF57" i="5"/>
  <c r="AF518" i="5"/>
  <c r="AP518" i="5" s="1"/>
  <c r="AF531" i="5"/>
  <c r="AF422" i="5"/>
  <c r="AF356" i="5"/>
  <c r="AP356" i="5" s="1"/>
  <c r="AF35" i="5"/>
  <c r="AF378" i="5"/>
  <c r="AF276" i="5"/>
  <c r="AF64" i="5"/>
  <c r="AP64" i="5" s="1"/>
  <c r="AF355" i="5"/>
  <c r="AF358" i="5"/>
  <c r="AF332" i="5"/>
  <c r="AF193" i="5"/>
  <c r="AF509" i="5"/>
  <c r="AF225" i="5"/>
  <c r="AF327" i="5"/>
  <c r="AF198" i="5"/>
  <c r="AF482" i="5"/>
  <c r="AP482" i="5" s="1"/>
  <c r="AF264" i="5"/>
  <c r="AF37" i="5"/>
  <c r="AF473" i="5"/>
  <c r="AF144" i="5"/>
  <c r="AF228" i="5"/>
  <c r="AP228" i="5" s="1"/>
  <c r="AF97" i="5"/>
  <c r="AF27" i="5"/>
  <c r="AF379" i="5"/>
  <c r="AF49" i="5"/>
  <c r="AP49" i="5" s="1"/>
  <c r="AF556" i="5"/>
  <c r="AF375" i="5"/>
  <c r="AP375" i="5" s="1"/>
  <c r="AF248" i="5"/>
  <c r="AF71" i="5"/>
  <c r="AF534" i="5"/>
  <c r="AF492" i="5"/>
  <c r="AF559" i="5"/>
  <c r="AF545" i="5"/>
  <c r="AF344" i="5"/>
  <c r="AF111" i="5"/>
  <c r="AF340" i="5"/>
  <c r="AF113" i="5"/>
  <c r="AF512" i="5"/>
  <c r="AF155" i="5"/>
  <c r="AF285" i="5"/>
  <c r="AP285" i="5" s="1"/>
  <c r="AF149" i="5"/>
  <c r="AF12" i="5"/>
  <c r="AF227" i="5"/>
  <c r="AP227" i="5" s="1"/>
  <c r="AF493" i="5"/>
  <c r="AF432" i="5"/>
  <c r="AF105" i="5"/>
  <c r="AP105" i="5" s="1"/>
  <c r="AF34" i="5"/>
  <c r="AF21" i="5"/>
  <c r="AF233" i="5"/>
  <c r="AF273" i="5"/>
  <c r="AF535" i="5"/>
  <c r="AP535" i="5" s="1"/>
  <c r="AF324" i="5"/>
  <c r="AF382" i="5"/>
  <c r="AF343" i="5"/>
  <c r="AF475" i="5"/>
  <c r="AF202" i="5"/>
  <c r="AF300" i="5"/>
  <c r="AF217" i="5"/>
  <c r="AF184" i="5"/>
  <c r="AP184" i="5" s="1"/>
  <c r="AF420" i="5"/>
  <c r="AF376" i="5"/>
  <c r="AP376" i="5" s="1"/>
  <c r="AF301" i="5"/>
  <c r="AF95" i="5"/>
  <c r="AF487" i="5"/>
  <c r="AP487" i="5" s="1"/>
  <c r="Y428" i="5"/>
  <c r="X428" i="5"/>
  <c r="Y336" i="5"/>
  <c r="X336" i="5"/>
  <c r="X449" i="5"/>
  <c r="Y449" i="5"/>
  <c r="X424" i="5"/>
  <c r="Y424" i="5"/>
  <c r="Y456" i="5"/>
  <c r="X456" i="5"/>
  <c r="X340" i="5"/>
  <c r="Y340" i="5"/>
  <c r="X261" i="5"/>
  <c r="Y261" i="5"/>
  <c r="X439" i="5"/>
  <c r="Y439" i="5"/>
  <c r="X460" i="5"/>
  <c r="Y460" i="5"/>
  <c r="X514" i="5"/>
  <c r="Y514" i="5"/>
  <c r="Y213" i="5"/>
  <c r="X213" i="5"/>
  <c r="X444" i="5"/>
  <c r="Y444" i="5"/>
  <c r="Y181" i="5"/>
  <c r="X181" i="5"/>
  <c r="Y345" i="5"/>
  <c r="X345" i="5"/>
  <c r="Y53" i="5"/>
  <c r="X53" i="5"/>
  <c r="X124" i="5"/>
  <c r="Y124" i="5"/>
  <c r="X288" i="5"/>
  <c r="Y288" i="5"/>
  <c r="Y446" i="5"/>
  <c r="X446" i="5"/>
  <c r="X531" i="5"/>
  <c r="Y531" i="5"/>
  <c r="Y458" i="5"/>
  <c r="X458" i="5"/>
  <c r="X406" i="5"/>
  <c r="Y406" i="5"/>
  <c r="Y402" i="5"/>
  <c r="X402" i="5"/>
  <c r="X49" i="5"/>
  <c r="Y49" i="5"/>
  <c r="Y186" i="5"/>
  <c r="X186" i="5"/>
  <c r="X268" i="5"/>
  <c r="Y268" i="5"/>
  <c r="Y450" i="5"/>
  <c r="X450" i="5"/>
  <c r="X526" i="5"/>
  <c r="Y526" i="5"/>
  <c r="X32" i="5"/>
  <c r="Y32" i="5"/>
  <c r="X360" i="5"/>
  <c r="Y360" i="5"/>
  <c r="X392" i="5"/>
  <c r="Y392" i="5"/>
  <c r="Y487" i="5"/>
  <c r="X487" i="5"/>
  <c r="X279" i="5"/>
  <c r="Y279" i="5"/>
  <c r="X532" i="5"/>
  <c r="Y532" i="5"/>
  <c r="X536" i="5"/>
  <c r="Y536" i="5"/>
  <c r="Y447" i="5"/>
  <c r="X447" i="5"/>
  <c r="Y131" i="5"/>
  <c r="X131" i="5"/>
  <c r="X94" i="5"/>
  <c r="Y94" i="5"/>
  <c r="X169" i="5"/>
  <c r="Y169" i="5"/>
  <c r="Y519" i="5"/>
  <c r="X519" i="5"/>
  <c r="Y386" i="5"/>
  <c r="X386" i="5"/>
  <c r="X329" i="5"/>
  <c r="Y329" i="5"/>
  <c r="X93" i="5"/>
  <c r="Y93" i="5"/>
  <c r="Y122" i="5"/>
  <c r="X122" i="5"/>
  <c r="X369" i="5"/>
  <c r="Y369" i="5"/>
  <c r="B182" i="2"/>
  <c r="B171" i="2"/>
  <c r="B179" i="2" s="1"/>
  <c r="B186" i="2" s="1"/>
  <c r="AV85" i="4"/>
  <c r="U85" i="4"/>
  <c r="AV65" i="4"/>
  <c r="U65" i="4"/>
  <c r="AV146" i="4"/>
  <c r="U146" i="4"/>
  <c r="AV99" i="4"/>
  <c r="U99" i="4"/>
  <c r="AV64" i="4"/>
  <c r="U64" i="4"/>
  <c r="AV29" i="4"/>
  <c r="U29" i="4"/>
  <c r="AV98" i="4"/>
  <c r="U98" i="4"/>
  <c r="AV122" i="4"/>
  <c r="U122" i="4"/>
  <c r="AV129" i="4"/>
  <c r="U129" i="4"/>
  <c r="AV89" i="4"/>
  <c r="U89" i="4"/>
  <c r="AV136" i="4"/>
  <c r="U136" i="4"/>
  <c r="AV91" i="4"/>
  <c r="U91" i="4"/>
  <c r="AV109" i="4"/>
  <c r="U109" i="4"/>
  <c r="AV87" i="4"/>
  <c r="U87" i="4"/>
  <c r="AV113" i="4"/>
  <c r="U113" i="4"/>
  <c r="AV53" i="4"/>
  <c r="U53" i="4"/>
  <c r="AV34" i="4"/>
  <c r="U34" i="4"/>
  <c r="AV76" i="4"/>
  <c r="U76" i="4"/>
  <c r="AV41" i="4"/>
  <c r="U41" i="4"/>
  <c r="AV48" i="4"/>
  <c r="U48" i="4"/>
  <c r="AV37" i="4"/>
  <c r="U37" i="4"/>
  <c r="AV96" i="4"/>
  <c r="U96" i="4"/>
  <c r="AV68" i="4"/>
  <c r="U68" i="4"/>
  <c r="AV50" i="4"/>
  <c r="U50" i="4"/>
  <c r="AV56" i="4"/>
  <c r="U56" i="4"/>
  <c r="AV46" i="4"/>
  <c r="U46" i="4"/>
  <c r="AV102" i="4"/>
  <c r="U102" i="4"/>
  <c r="AV62" i="4"/>
  <c r="U62" i="4"/>
  <c r="U108" i="4"/>
  <c r="AV108" i="4"/>
  <c r="AV95" i="4"/>
  <c r="U95" i="4"/>
  <c r="AV39" i="4"/>
  <c r="U39" i="4"/>
  <c r="AV25" i="4"/>
  <c r="U25" i="4"/>
  <c r="U9" i="4"/>
  <c r="AV9" i="4"/>
  <c r="B39" i="5"/>
  <c r="B38" i="5"/>
  <c r="X26" i="5"/>
  <c r="Y26" i="5"/>
  <c r="X263" i="5"/>
  <c r="Y263" i="5"/>
  <c r="X321" i="5"/>
  <c r="Y321" i="5"/>
  <c r="Y102" i="5"/>
  <c r="X102" i="5"/>
  <c r="Y429" i="5"/>
  <c r="X429" i="5"/>
  <c r="X159" i="5"/>
  <c r="Y159" i="5"/>
  <c r="X362" i="5"/>
  <c r="Y362" i="5"/>
  <c r="X427" i="5"/>
  <c r="Y427" i="5"/>
  <c r="X401" i="5"/>
  <c r="Y401" i="5"/>
  <c r="X240" i="5"/>
  <c r="Y240" i="5"/>
  <c r="X153" i="5"/>
  <c r="Y153" i="5"/>
  <c r="Y478" i="5"/>
  <c r="X478" i="5"/>
  <c r="X244" i="5"/>
  <c r="Y244" i="5"/>
  <c r="Y313" i="5"/>
  <c r="X313" i="5"/>
  <c r="Y78" i="5"/>
  <c r="X78" i="5"/>
  <c r="X470" i="5"/>
  <c r="Y470" i="5"/>
  <c r="AV63" i="4"/>
  <c r="U63" i="4"/>
  <c r="AV119" i="4"/>
  <c r="U119" i="4"/>
  <c r="AV100" i="4"/>
  <c r="U100" i="4"/>
  <c r="AV43" i="4"/>
  <c r="U43" i="4"/>
  <c r="AV139" i="4"/>
  <c r="U139" i="4"/>
  <c r="AV130" i="4"/>
  <c r="U130" i="4"/>
  <c r="AV82" i="4"/>
  <c r="U82" i="4"/>
  <c r="U16" i="4"/>
  <c r="AV16" i="4"/>
  <c r="AV78" i="4"/>
  <c r="U78" i="4"/>
  <c r="AV105" i="4"/>
  <c r="U105" i="4"/>
  <c r="AV104" i="4"/>
  <c r="U104" i="4"/>
  <c r="AV55" i="4"/>
  <c r="U55" i="4"/>
  <c r="AV47" i="4"/>
  <c r="U47" i="4"/>
  <c r="AV135" i="4"/>
  <c r="U135" i="4"/>
  <c r="AV27" i="4"/>
  <c r="U27" i="4"/>
  <c r="AV20" i="4"/>
  <c r="U20" i="4"/>
  <c r="AV69" i="4"/>
  <c r="U69" i="4"/>
  <c r="AV140" i="4"/>
  <c r="U140" i="4"/>
  <c r="AV114" i="4"/>
  <c r="U114" i="4"/>
  <c r="AV88" i="4"/>
  <c r="U88" i="4"/>
  <c r="AV97" i="4"/>
  <c r="U97" i="4"/>
  <c r="AV106" i="4"/>
  <c r="U106" i="4"/>
  <c r="AV118" i="4"/>
  <c r="U118" i="4"/>
  <c r="AV128" i="4"/>
  <c r="U128" i="4"/>
  <c r="AV35" i="4"/>
  <c r="U35" i="4"/>
  <c r="AV144" i="4"/>
  <c r="U144" i="4"/>
  <c r="U24" i="4"/>
  <c r="AV24" i="4"/>
  <c r="AV84" i="4"/>
  <c r="U84" i="4"/>
  <c r="AV10" i="4"/>
  <c r="U10" i="4"/>
  <c r="AV148" i="4"/>
  <c r="U148" i="4"/>
  <c r="AV51" i="4"/>
  <c r="U51" i="4"/>
  <c r="AV70" i="4"/>
  <c r="U70" i="4"/>
  <c r="AV138" i="4"/>
  <c r="U138" i="4"/>
  <c r="AV57" i="4"/>
  <c r="U57" i="4"/>
  <c r="U54" i="4"/>
  <c r="AV54" i="4"/>
  <c r="AV150" i="4"/>
  <c r="U150" i="4"/>
  <c r="AV80" i="4"/>
  <c r="U80" i="4"/>
  <c r="U142" i="4"/>
  <c r="AV142" i="4"/>
  <c r="AC7" i="5"/>
  <c r="Y135" i="5"/>
  <c r="X135" i="5"/>
  <c r="X175" i="5"/>
  <c r="Y175" i="5"/>
  <c r="Y156" i="5"/>
  <c r="X156" i="5"/>
  <c r="X112" i="5"/>
  <c r="Y112" i="5"/>
  <c r="Y527" i="5"/>
  <c r="X527" i="5"/>
  <c r="Y411" i="5"/>
  <c r="X411" i="5"/>
  <c r="X116" i="5"/>
  <c r="Y116" i="5"/>
  <c r="X544" i="5"/>
  <c r="Y544" i="5"/>
  <c r="X398" i="5"/>
  <c r="Y398" i="5"/>
  <c r="X483" i="5"/>
  <c r="Y483" i="5"/>
  <c r="Y66" i="5"/>
  <c r="X66" i="5"/>
  <c r="Y397" i="5"/>
  <c r="X397" i="5"/>
  <c r="X81" i="5"/>
  <c r="Y81" i="5"/>
  <c r="Y27" i="5"/>
  <c r="X27" i="5"/>
  <c r="X190" i="5"/>
  <c r="Y190" i="5"/>
  <c r="X520" i="5"/>
  <c r="Y520" i="5"/>
  <c r="X55" i="5"/>
  <c r="Y55" i="5"/>
  <c r="Y210" i="5"/>
  <c r="X210" i="5"/>
  <c r="Y417" i="5"/>
  <c r="X417" i="5"/>
  <c r="X384" i="5"/>
  <c r="Y384" i="5"/>
  <c r="X337" i="5"/>
  <c r="Y337" i="5"/>
  <c r="X195" i="5"/>
  <c r="Y195" i="5"/>
  <c r="X219" i="5"/>
  <c r="Y219" i="5"/>
  <c r="Y118" i="5"/>
  <c r="X118" i="5"/>
  <c r="X378" i="5"/>
  <c r="Y378" i="5"/>
  <c r="X546" i="5"/>
  <c r="Y546" i="5"/>
  <c r="X275" i="5"/>
  <c r="Y275" i="5"/>
  <c r="X280" i="5"/>
  <c r="Y280" i="5"/>
  <c r="X372" i="5"/>
  <c r="Y372" i="5"/>
  <c r="X143" i="5"/>
  <c r="Y143" i="5"/>
  <c r="X493" i="5"/>
  <c r="Y493" i="5"/>
  <c r="X516" i="5"/>
  <c r="Y516" i="5"/>
  <c r="X155" i="5"/>
  <c r="Y155" i="5"/>
  <c r="X419" i="5"/>
  <c r="Y419" i="5"/>
  <c r="Y498" i="5"/>
  <c r="X498" i="5"/>
  <c r="Y283" i="5"/>
  <c r="X283" i="5"/>
  <c r="Y341" i="5"/>
  <c r="X341" i="5"/>
  <c r="Y205" i="5"/>
  <c r="X205" i="5"/>
  <c r="X319" i="5"/>
  <c r="Y319" i="5"/>
  <c r="X274" i="5"/>
  <c r="Y274" i="5"/>
  <c r="X259" i="5"/>
  <c r="Y259" i="5"/>
  <c r="Y184" i="5"/>
  <c r="X184" i="5"/>
  <c r="Y365" i="5"/>
  <c r="X365" i="5"/>
  <c r="X130" i="5"/>
  <c r="Y130" i="5"/>
  <c r="Y353" i="5"/>
  <c r="X353" i="5"/>
  <c r="Y320" i="5"/>
  <c r="X320" i="5"/>
  <c r="X171" i="5"/>
  <c r="Y171" i="5"/>
  <c r="X45" i="5"/>
  <c r="Y45" i="5"/>
  <c r="Y86" i="5"/>
  <c r="X86" i="5"/>
  <c r="Y146" i="5"/>
  <c r="X146" i="5"/>
  <c r="X377" i="5"/>
  <c r="Y377" i="5"/>
  <c r="X286" i="5"/>
  <c r="Y286" i="5"/>
  <c r="X477" i="5"/>
  <c r="Y477" i="5"/>
  <c r="Y557" i="5"/>
  <c r="X557" i="5"/>
  <c r="Y383" i="5"/>
  <c r="X383" i="5"/>
  <c r="X21" i="5"/>
  <c r="Y21" i="5"/>
  <c r="Y73" i="5"/>
  <c r="X73" i="5"/>
  <c r="X39" i="5"/>
  <c r="Y39" i="5"/>
  <c r="X366" i="5"/>
  <c r="Y366" i="5"/>
  <c r="X328" i="5"/>
  <c r="Y328" i="5"/>
  <c r="Y306" i="5"/>
  <c r="X306" i="5"/>
  <c r="X125" i="5"/>
  <c r="Y125" i="5"/>
  <c r="Y71" i="5"/>
  <c r="X71" i="5"/>
  <c r="Y403" i="5"/>
  <c r="X403" i="5"/>
  <c r="X88" i="5"/>
  <c r="Y88" i="5"/>
  <c r="X304" i="5"/>
  <c r="Y304" i="5"/>
  <c r="X488" i="5"/>
  <c r="Y488" i="5"/>
  <c r="Y346" i="5"/>
  <c r="X346" i="5"/>
  <c r="X265" i="5"/>
  <c r="Y265" i="5"/>
  <c r="Y309" i="5"/>
  <c r="X309" i="5"/>
  <c r="Y85" i="5"/>
  <c r="X85" i="5"/>
  <c r="X459" i="5"/>
  <c r="Y459" i="5"/>
  <c r="Y442" i="5"/>
  <c r="X442" i="5"/>
  <c r="Y307" i="5"/>
  <c r="X307" i="5"/>
  <c r="X64" i="5"/>
  <c r="Y64" i="5"/>
  <c r="Y247" i="5"/>
  <c r="X247" i="5"/>
  <c r="X167" i="5"/>
  <c r="Y167" i="5"/>
  <c r="X465" i="5"/>
  <c r="Y465" i="5"/>
  <c r="Y435" i="5"/>
  <c r="X435" i="5"/>
  <c r="X420" i="5"/>
  <c r="Y420" i="5"/>
  <c r="Y47" i="5"/>
  <c r="X47" i="5"/>
  <c r="X235" i="5"/>
  <c r="Y235" i="5"/>
  <c r="X245" i="5"/>
  <c r="Y245" i="5"/>
  <c r="Y31" i="5"/>
  <c r="X31" i="5"/>
  <c r="X216" i="5"/>
  <c r="Y216" i="5"/>
  <c r="X204" i="5"/>
  <c r="Y204" i="5"/>
  <c r="X371" i="5"/>
  <c r="Y371" i="5"/>
  <c r="X117" i="5"/>
  <c r="Y117" i="5"/>
  <c r="Y486" i="5"/>
  <c r="X486" i="5"/>
  <c r="X358" i="5"/>
  <c r="Y358" i="5"/>
  <c r="X434" i="5"/>
  <c r="Y434" i="5"/>
  <c r="Y256" i="5"/>
  <c r="X256" i="5"/>
  <c r="Y454" i="5"/>
  <c r="X454" i="5"/>
  <c r="X44" i="5"/>
  <c r="Y44" i="5"/>
  <c r="X158" i="5"/>
  <c r="Y158" i="5"/>
  <c r="X537" i="5"/>
  <c r="Y537" i="5"/>
  <c r="Y453" i="5"/>
  <c r="X453" i="5"/>
  <c r="X423" i="5"/>
  <c r="Y423" i="5"/>
  <c r="X90" i="5"/>
  <c r="Y90" i="5"/>
  <c r="X154" i="5"/>
  <c r="Y154" i="5"/>
  <c r="X182" i="5"/>
  <c r="Y182" i="5"/>
  <c r="X508" i="5"/>
  <c r="Y508" i="5"/>
  <c r="Y87" i="5"/>
  <c r="X87" i="5"/>
  <c r="X375" i="5"/>
  <c r="Y375" i="5"/>
  <c r="Y474" i="5"/>
  <c r="X474" i="5"/>
  <c r="X380" i="5"/>
  <c r="Y380" i="5"/>
  <c r="Y473" i="5"/>
  <c r="X473" i="5"/>
  <c r="X409" i="5"/>
  <c r="Y409" i="5"/>
  <c r="Y327" i="5"/>
  <c r="X327" i="5"/>
  <c r="Y412" i="5"/>
  <c r="X412" i="5"/>
  <c r="Y314" i="5"/>
  <c r="X314" i="5"/>
  <c r="X540" i="5"/>
  <c r="Y540" i="5"/>
  <c r="Y52" i="5"/>
  <c r="X52" i="5"/>
  <c r="X438" i="5"/>
  <c r="Y438" i="5"/>
  <c r="X351" i="5"/>
  <c r="Y351" i="5"/>
  <c r="X278" i="5"/>
  <c r="Y278" i="5"/>
  <c r="Y142" i="5"/>
  <c r="X142" i="5"/>
  <c r="Y133" i="5"/>
  <c r="X133" i="5"/>
  <c r="X443" i="5"/>
  <c r="Y443" i="5"/>
  <c r="X84" i="5"/>
  <c r="Y84" i="5"/>
  <c r="X414" i="5"/>
  <c r="Y414" i="5"/>
  <c r="Y552" i="5"/>
  <c r="X552" i="5"/>
  <c r="Y422" i="5"/>
  <c r="X422" i="5"/>
  <c r="Y42" i="5"/>
  <c r="X42" i="5"/>
  <c r="X144" i="5"/>
  <c r="Y144" i="5"/>
  <c r="Y297" i="5"/>
  <c r="X297" i="5"/>
  <c r="X293" i="5"/>
  <c r="Y293" i="5"/>
  <c r="X207" i="5"/>
  <c r="Y207" i="5"/>
  <c r="Y497" i="5"/>
  <c r="X497" i="5"/>
  <c r="X239" i="5"/>
  <c r="Y239" i="5"/>
  <c r="X305" i="5"/>
  <c r="Y305" i="5"/>
  <c r="Y212" i="5"/>
  <c r="X212" i="5"/>
  <c r="X511" i="5"/>
  <c r="Y511" i="5"/>
  <c r="Y262" i="5"/>
  <c r="X262" i="5"/>
  <c r="X410" i="5"/>
  <c r="Y410" i="5"/>
  <c r="X436" i="5"/>
  <c r="Y436" i="5"/>
  <c r="AP456" i="5" l="1"/>
  <c r="AP541" i="5"/>
  <c r="AP53" i="5"/>
  <c r="AP467" i="5"/>
  <c r="AP213" i="5"/>
  <c r="AP336" i="5"/>
  <c r="AP178" i="5"/>
  <c r="AP21" i="5"/>
  <c r="AP379" i="5"/>
  <c r="AP380" i="5"/>
  <c r="AP92" i="5"/>
  <c r="BI92" i="5" s="1"/>
  <c r="AP478" i="5"/>
  <c r="AP415" i="5"/>
  <c r="AP112" i="5"/>
  <c r="AP253" i="5"/>
  <c r="AP515" i="5"/>
  <c r="AP344" i="5"/>
  <c r="AP331" i="5"/>
  <c r="AP298" i="5"/>
  <c r="AP550" i="5"/>
  <c r="AP339" i="5"/>
  <c r="AP399" i="5"/>
  <c r="AP490" i="5"/>
  <c r="BI490" i="5" s="1"/>
  <c r="AP128" i="5"/>
  <c r="AP480" i="5"/>
  <c r="AP536" i="5"/>
  <c r="AP292" i="5"/>
  <c r="AP418" i="5"/>
  <c r="AP367" i="5"/>
  <c r="AP241" i="5"/>
  <c r="AP244" i="5"/>
  <c r="AP387" i="5"/>
  <c r="AP358" i="5"/>
  <c r="AP82" i="5"/>
  <c r="AQ82" i="5" s="1"/>
  <c r="AP117" i="5"/>
  <c r="AR117" i="5" s="1"/>
  <c r="AP222" i="5"/>
  <c r="AR222" i="5" s="1"/>
  <c r="AP243" i="5"/>
  <c r="AQ243" i="5" s="1"/>
  <c r="AP414" i="5"/>
  <c r="AP560" i="5"/>
  <c r="AP86" i="5"/>
  <c r="AP31" i="5"/>
  <c r="AP508" i="5"/>
  <c r="AP306" i="5"/>
  <c r="AP135" i="5"/>
  <c r="AP101" i="5"/>
  <c r="AP263" i="5"/>
  <c r="BI263" i="5" s="1"/>
  <c r="AP129" i="5"/>
  <c r="AQ129" i="5" s="1"/>
  <c r="AP124" i="5"/>
  <c r="BI124" i="5" s="1"/>
  <c r="AP99" i="5"/>
  <c r="AR99" i="5" s="1"/>
  <c r="AP397" i="5"/>
  <c r="AR397" i="5" s="1"/>
  <c r="AP134" i="5"/>
  <c r="AP496" i="5"/>
  <c r="AP512" i="5"/>
  <c r="AP119" i="5"/>
  <c r="AP287" i="5"/>
  <c r="AQ287" i="5" s="1"/>
  <c r="AP175" i="5"/>
  <c r="BI175" i="5" s="1"/>
  <c r="AP477" i="5"/>
  <c r="BI477" i="5" s="1"/>
  <c r="AP215" i="5"/>
  <c r="BI215" i="5" s="1"/>
  <c r="AP420" i="5"/>
  <c r="AQ420" i="5" s="1"/>
  <c r="AP111" i="5"/>
  <c r="BI111" i="5" s="1"/>
  <c r="AP27" i="5"/>
  <c r="AQ27" i="5" s="1"/>
  <c r="AP193" i="5"/>
  <c r="AQ193" i="5" s="1"/>
  <c r="AP543" i="5"/>
  <c r="AP147" i="5"/>
  <c r="AP471" i="5"/>
  <c r="AP400" i="5"/>
  <c r="AP26" i="5"/>
  <c r="BI26" i="5" s="1"/>
  <c r="AP246" i="5"/>
  <c r="AQ246" i="5" s="1"/>
  <c r="AP432" i="5"/>
  <c r="AR432" i="5" s="1"/>
  <c r="AP352" i="5"/>
  <c r="AR352" i="5" s="1"/>
  <c r="AP449" i="5"/>
  <c r="AQ449" i="5" s="1"/>
  <c r="AP289" i="5"/>
  <c r="BI289" i="5" s="1"/>
  <c r="AP528" i="5"/>
  <c r="AR528" i="5" s="1"/>
  <c r="AP203" i="5"/>
  <c r="AR203" i="5" s="1"/>
  <c r="AP559" i="5"/>
  <c r="AP223" i="5"/>
  <c r="AP132" i="5"/>
  <c r="AP138" i="5"/>
  <c r="AP493" i="5"/>
  <c r="AQ493" i="5" s="1"/>
  <c r="AP473" i="5"/>
  <c r="AQ473" i="5" s="1"/>
  <c r="AP304" i="5"/>
  <c r="BI304" i="5" s="1"/>
  <c r="AP438" i="5"/>
  <c r="AQ438" i="5" s="1"/>
  <c r="AP197" i="5"/>
  <c r="BI197" i="5" s="1"/>
  <c r="AP80" i="5"/>
  <c r="BI80" i="5" s="1"/>
  <c r="AP472" i="5"/>
  <c r="AR472" i="5" s="1"/>
  <c r="AP538" i="5"/>
  <c r="BI538" i="5" s="1"/>
  <c r="AP256" i="5"/>
  <c r="AP43" i="5"/>
  <c r="AP202" i="5"/>
  <c r="AP343" i="5"/>
  <c r="AP534" i="5"/>
  <c r="AQ534" i="5" s="1"/>
  <c r="AP519" i="5"/>
  <c r="AR519" i="5" s="1"/>
  <c r="AP522" i="5"/>
  <c r="BI522" i="5" s="1"/>
  <c r="AP52" i="5"/>
  <c r="AQ52" i="5" s="1"/>
  <c r="AP330" i="5"/>
  <c r="AQ330" i="5" s="1"/>
  <c r="AP143" i="5"/>
  <c r="BI143" i="5" s="1"/>
  <c r="AP98" i="5"/>
  <c r="BI98" i="5" s="1"/>
  <c r="AP470" i="5"/>
  <c r="AQ470" i="5" s="1"/>
  <c r="AP70" i="5"/>
  <c r="AP146" i="5"/>
  <c r="AP321" i="5"/>
  <c r="AP466" i="5"/>
  <c r="AP96" i="5"/>
  <c r="AQ96" i="5" s="1"/>
  <c r="AP95" i="5"/>
  <c r="AQ95" i="5" s="1"/>
  <c r="AP34" i="5"/>
  <c r="AQ34" i="5" s="1"/>
  <c r="AP198" i="5"/>
  <c r="AR198" i="5" s="1"/>
  <c r="AP57" i="5"/>
  <c r="BI57" i="5" s="1"/>
  <c r="AP341" i="5"/>
  <c r="AQ341" i="5" s="1"/>
  <c r="AP182" i="5"/>
  <c r="AR182" i="5" s="1"/>
  <c r="AP303" i="5"/>
  <c r="AR303" i="5" s="1"/>
  <c r="AP463" i="5"/>
  <c r="AP150" i="5"/>
  <c r="AP309" i="5"/>
  <c r="AP317" i="5"/>
  <c r="AP302" i="5"/>
  <c r="AR302" i="5" s="1"/>
  <c r="AP533" i="5"/>
  <c r="AR533" i="5" s="1"/>
  <c r="AP194" i="5"/>
  <c r="BI194" i="5" s="1"/>
  <c r="AP465" i="5"/>
  <c r="AQ465" i="5" s="1"/>
  <c r="AP131" i="5"/>
  <c r="AQ131" i="5" s="1"/>
  <c r="AP445" i="5"/>
  <c r="BI445" i="5" s="1"/>
  <c r="AP29" i="5"/>
  <c r="AR29" i="5" s="1"/>
  <c r="AP395" i="5"/>
  <c r="AQ395" i="5" s="1"/>
  <c r="AP378" i="5"/>
  <c r="AP293" i="5"/>
  <c r="AP81" i="5"/>
  <c r="AP130" i="5"/>
  <c r="AP121" i="5"/>
  <c r="BI121" i="5" s="1"/>
  <c r="AP236" i="5"/>
  <c r="AQ236" i="5" s="1"/>
  <c r="AP439" i="5"/>
  <c r="BI439" i="5" s="1"/>
  <c r="AP158" i="5"/>
  <c r="AR158" i="5" s="1"/>
  <c r="AP453" i="5"/>
  <c r="AR453" i="5" s="1"/>
  <c r="AP212" i="5"/>
  <c r="AQ212" i="5" s="1"/>
  <c r="AP370" i="5"/>
  <c r="AQ370" i="5" s="1"/>
  <c r="AP234" i="5"/>
  <c r="AR234" i="5" s="1"/>
  <c r="AP382" i="5"/>
  <c r="AP509" i="5"/>
  <c r="AP35" i="5"/>
  <c r="AP238" i="5"/>
  <c r="AP557" i="5"/>
  <c r="BI557" i="5" s="1"/>
  <c r="AP230" i="5"/>
  <c r="AR230" i="5" s="1"/>
  <c r="AP174" i="5"/>
  <c r="AR174" i="5" s="1"/>
  <c r="AP354" i="5"/>
  <c r="AR354" i="5" s="1"/>
  <c r="AP450" i="5"/>
  <c r="AQ450" i="5" s="1"/>
  <c r="AP50" i="5"/>
  <c r="BI50" i="5" s="1"/>
  <c r="AP269" i="5"/>
  <c r="AR269" i="5" s="1"/>
  <c r="AP426" i="5"/>
  <c r="BI426" i="5" s="1"/>
  <c r="AP474" i="5"/>
  <c r="AP385" i="5"/>
  <c r="AP48" i="5"/>
  <c r="AP279" i="5"/>
  <c r="AP361" i="5"/>
  <c r="AR361" i="5" s="1"/>
  <c r="AP63" i="5"/>
  <c r="AR63" i="5" s="1"/>
  <c r="AP424" i="5"/>
  <c r="AR424" i="5" s="1"/>
  <c r="AP319" i="5"/>
  <c r="AQ319" i="5" s="1"/>
  <c r="AP19" i="5"/>
  <c r="AR19" i="5" s="1"/>
  <c r="AP122" i="5"/>
  <c r="BI122" i="5" s="1"/>
  <c r="AP310" i="5"/>
  <c r="AR310" i="5" s="1"/>
  <c r="AP393" i="5"/>
  <c r="AR393" i="5" s="1"/>
  <c r="AP305" i="5"/>
  <c r="AP499" i="5"/>
  <c r="AP217" i="5"/>
  <c r="AP273" i="5"/>
  <c r="AP332" i="5"/>
  <c r="BI332" i="5" s="1"/>
  <c r="AP226" i="5"/>
  <c r="AQ226" i="5" s="1"/>
  <c r="AP59" i="5"/>
  <c r="BI59" i="5" s="1"/>
  <c r="AP351" i="5"/>
  <c r="AQ351" i="5" s="1"/>
  <c r="AP221" i="5"/>
  <c r="AR221" i="5" s="1"/>
  <c r="AP433" i="5"/>
  <c r="BI433" i="5" s="1"/>
  <c r="AP87" i="5"/>
  <c r="BI87" i="5" s="1"/>
  <c r="AP403" i="5"/>
  <c r="BI403" i="5" s="1"/>
  <c r="AP201" i="5"/>
  <c r="AP268" i="5"/>
  <c r="AP408" i="5"/>
  <c r="AP537" i="5"/>
  <c r="AP208" i="5"/>
  <c r="AR208" i="5" s="1"/>
  <c r="AP412" i="5"/>
  <c r="BI412" i="5" s="1"/>
  <c r="AP245" i="5"/>
  <c r="AR245" i="5" s="1"/>
  <c r="AP233" i="5"/>
  <c r="AQ233" i="5" s="1"/>
  <c r="AP149" i="5"/>
  <c r="BI149" i="5" s="1"/>
  <c r="AP545" i="5"/>
  <c r="AQ545" i="5" s="1"/>
  <c r="AP272" i="5"/>
  <c r="AR272" i="5" s="1"/>
  <c r="AP373" i="5"/>
  <c r="BI373" i="5" s="1"/>
  <c r="AP44" i="5"/>
  <c r="AP137" i="5"/>
  <c r="AP67" i="5"/>
  <c r="AP464" i="5"/>
  <c r="AP502" i="5"/>
  <c r="AR502" i="5" s="1"/>
  <c r="AP423" i="5"/>
  <c r="BI423" i="5" s="1"/>
  <c r="AP114" i="5"/>
  <c r="BI114" i="5" s="1"/>
  <c r="AP214" i="5"/>
  <c r="AQ214" i="5" s="1"/>
  <c r="AP428" i="5"/>
  <c r="AQ428" i="5" s="1"/>
  <c r="AP42" i="5"/>
  <c r="AR42" i="5" s="1"/>
  <c r="AP126" i="5"/>
  <c r="AR126" i="5" s="1"/>
  <c r="AP283" i="5"/>
  <c r="AR283" i="5" s="1"/>
  <c r="AP417" i="5"/>
  <c r="AP374" i="5"/>
  <c r="AP190" i="5"/>
  <c r="AP36" i="5"/>
  <c r="AP389" i="5"/>
  <c r="AQ389" i="5" s="1"/>
  <c r="AP486" i="5"/>
  <c r="BI486" i="5" s="1"/>
  <c r="AP257" i="5"/>
  <c r="BI257" i="5" s="1"/>
  <c r="AP451" i="5"/>
  <c r="AQ451" i="5" s="1"/>
  <c r="AP548" i="5"/>
  <c r="AR548" i="5" s="1"/>
  <c r="AP100" i="5"/>
  <c r="AR100" i="5" s="1"/>
  <c r="AP153" i="5"/>
  <c r="AR153" i="5" s="1"/>
  <c r="AP189" i="5"/>
  <c r="BI189" i="5" s="1"/>
  <c r="AP440" i="5"/>
  <c r="AP461" i="5"/>
  <c r="X80" i="4"/>
  <c r="AJ80" i="4" s="1"/>
  <c r="X91" i="4"/>
  <c r="X33" i="4"/>
  <c r="AA33" i="4" s="1"/>
  <c r="X39" i="4"/>
  <c r="AJ39" i="4" s="1"/>
  <c r="X44" i="4"/>
  <c r="AJ44" i="4" s="1"/>
  <c r="AP10" i="5"/>
  <c r="BI10" i="5" s="1"/>
  <c r="X99" i="4"/>
  <c r="AJ99" i="4" s="1"/>
  <c r="X37" i="4"/>
  <c r="AJ37" i="4" s="1"/>
  <c r="X71" i="4"/>
  <c r="AJ71" i="4" s="1"/>
  <c r="X40" i="4"/>
  <c r="AJ40" i="4" s="1"/>
  <c r="X138" i="4"/>
  <c r="AJ138" i="4" s="1"/>
  <c r="X68" i="4"/>
  <c r="AJ68" i="4" s="1"/>
  <c r="X115" i="4"/>
  <c r="AJ115" i="4" s="1"/>
  <c r="X70" i="4"/>
  <c r="X52" i="4"/>
  <c r="X42" i="4"/>
  <c r="AJ42" i="4" s="1"/>
  <c r="X72" i="4"/>
  <c r="AJ72" i="4" s="1"/>
  <c r="X132" i="4"/>
  <c r="AJ132" i="4" s="1"/>
  <c r="X64" i="4"/>
  <c r="AJ64" i="4" s="1"/>
  <c r="X41" i="4"/>
  <c r="AJ41" i="4" s="1"/>
  <c r="X36" i="4"/>
  <c r="AJ36" i="4" s="1"/>
  <c r="X120" i="4"/>
  <c r="AJ120" i="4" s="1"/>
  <c r="X107" i="4"/>
  <c r="AJ107" i="4" s="1"/>
  <c r="X150" i="4"/>
  <c r="AJ150" i="4" s="1"/>
  <c r="X83" i="4"/>
  <c r="AJ83" i="4" s="1"/>
  <c r="X48" i="4"/>
  <c r="AJ48" i="4" s="1"/>
  <c r="X84" i="4"/>
  <c r="AJ84" i="4" s="1"/>
  <c r="X50" i="4"/>
  <c r="AJ50" i="4" s="1"/>
  <c r="X100" i="4"/>
  <c r="AJ100" i="4" s="1"/>
  <c r="X119" i="4"/>
  <c r="AJ119" i="4" s="1"/>
  <c r="BE10" i="5"/>
  <c r="BD10" i="5"/>
  <c r="X106" i="4"/>
  <c r="AJ106" i="4" s="1"/>
  <c r="Y106" i="4"/>
  <c r="AR106" i="4" s="1"/>
  <c r="X78" i="4"/>
  <c r="AJ78" i="4" s="1"/>
  <c r="Y78" i="4"/>
  <c r="AR78" i="4" s="1"/>
  <c r="X62" i="4"/>
  <c r="Y62" i="4"/>
  <c r="AR62" i="4" s="1"/>
  <c r="X155" i="4"/>
  <c r="AJ155" i="4" s="1"/>
  <c r="Y155" i="4"/>
  <c r="AR155" i="4" s="1"/>
  <c r="X152" i="4"/>
  <c r="AJ152" i="4" s="1"/>
  <c r="Y152" i="4"/>
  <c r="AR152" i="4" s="1"/>
  <c r="X127" i="4"/>
  <c r="AJ127" i="4" s="1"/>
  <c r="Y127" i="4"/>
  <c r="AR127" i="4" s="1"/>
  <c r="X77" i="4"/>
  <c r="AJ77" i="4" s="1"/>
  <c r="Y77" i="4"/>
  <c r="AR77" i="4" s="1"/>
  <c r="X149" i="4"/>
  <c r="AJ149" i="4" s="1"/>
  <c r="Y149" i="4"/>
  <c r="AR149" i="4" s="1"/>
  <c r="X134" i="4"/>
  <c r="Y134" i="4"/>
  <c r="AR134" i="4" s="1"/>
  <c r="X114" i="4"/>
  <c r="AJ114" i="4" s="1"/>
  <c r="Y114" i="4"/>
  <c r="AR114" i="4" s="1"/>
  <c r="X76" i="4"/>
  <c r="AJ76" i="4" s="1"/>
  <c r="Y76" i="4"/>
  <c r="AR76" i="4" s="1"/>
  <c r="X89" i="4"/>
  <c r="AJ89" i="4" s="1"/>
  <c r="Y89" i="4"/>
  <c r="AR89" i="4" s="1"/>
  <c r="X61" i="4"/>
  <c r="Y61" i="4"/>
  <c r="AR61" i="4" s="1"/>
  <c r="X145" i="4"/>
  <c r="AJ145" i="4" s="1"/>
  <c r="Y145" i="4"/>
  <c r="AR145" i="4" s="1"/>
  <c r="X94" i="4"/>
  <c r="Y94" i="4"/>
  <c r="AR94" i="4" s="1"/>
  <c r="X121" i="4"/>
  <c r="AJ121" i="4" s="1"/>
  <c r="Y121" i="4"/>
  <c r="AR121" i="4" s="1"/>
  <c r="X97" i="4"/>
  <c r="AJ97" i="4" s="1"/>
  <c r="Y97" i="4"/>
  <c r="AR97" i="4" s="1"/>
  <c r="AP69" i="5"/>
  <c r="AR69" i="5" s="1"/>
  <c r="AP297" i="5"/>
  <c r="AR297" i="5" s="1"/>
  <c r="AP152" i="5"/>
  <c r="AR152" i="5" s="1"/>
  <c r="AP180" i="5"/>
  <c r="AQ180" i="5" s="1"/>
  <c r="AP51" i="5"/>
  <c r="BI51" i="5" s="1"/>
  <c r="AP520" i="5"/>
  <c r="AP388" i="5"/>
  <c r="AP479" i="5"/>
  <c r="BI479" i="5" s="1"/>
  <c r="AP549" i="5"/>
  <c r="AP434" i="5"/>
  <c r="AP323" i="5"/>
  <c r="BI323" i="5" s="1"/>
  <c r="AP110" i="5"/>
  <c r="BI110" i="5" s="1"/>
  <c r="AP435" i="5"/>
  <c r="BI435" i="5" s="1"/>
  <c r="AP510" i="5"/>
  <c r="AQ510" i="5" s="1"/>
  <c r="AP443" i="5"/>
  <c r="BI443" i="5" s="1"/>
  <c r="AP104" i="5"/>
  <c r="AQ104" i="5" s="1"/>
  <c r="AP364" i="5"/>
  <c r="AQ364" i="5" s="1"/>
  <c r="AP281" i="5"/>
  <c r="X140" i="4"/>
  <c r="Y140" i="4"/>
  <c r="AR140" i="4" s="1"/>
  <c r="X136" i="4"/>
  <c r="AJ136" i="4" s="1"/>
  <c r="Y136" i="4"/>
  <c r="AR136" i="4" s="1"/>
  <c r="X111" i="4"/>
  <c r="AJ111" i="4" s="1"/>
  <c r="Y111" i="4"/>
  <c r="AR111" i="4" s="1"/>
  <c r="X73" i="4"/>
  <c r="AJ73" i="4" s="1"/>
  <c r="Y73" i="4"/>
  <c r="AR73" i="4" s="1"/>
  <c r="X156" i="4"/>
  <c r="Y156" i="4"/>
  <c r="AR156" i="4" s="1"/>
  <c r="X66" i="4"/>
  <c r="AJ66" i="4" s="1"/>
  <c r="Y66" i="4"/>
  <c r="AR66" i="4" s="1"/>
  <c r="X112" i="4"/>
  <c r="Y112" i="4"/>
  <c r="AR112" i="4" s="1"/>
  <c r="X131" i="4"/>
  <c r="AJ131" i="4" s="1"/>
  <c r="Y131" i="4"/>
  <c r="AR131" i="4" s="1"/>
  <c r="X118" i="4"/>
  <c r="AJ118" i="4" s="1"/>
  <c r="Y118" i="4"/>
  <c r="AR118" i="4" s="1"/>
  <c r="X82" i="4"/>
  <c r="AJ82" i="4" s="1"/>
  <c r="Y82" i="4"/>
  <c r="AR82" i="4" s="1"/>
  <c r="X95" i="4"/>
  <c r="AJ95" i="4" s="1"/>
  <c r="Y95" i="4"/>
  <c r="AR95" i="4" s="1"/>
  <c r="X56" i="4"/>
  <c r="AJ56" i="4" s="1"/>
  <c r="Y56" i="4"/>
  <c r="AR56" i="4" s="1"/>
  <c r="X141" i="4"/>
  <c r="Y141" i="4"/>
  <c r="AR141" i="4" s="1"/>
  <c r="X101" i="4"/>
  <c r="AJ101" i="4" s="1"/>
  <c r="Y101" i="4"/>
  <c r="AR101" i="4" s="1"/>
  <c r="X59" i="4"/>
  <c r="AJ59" i="4" s="1"/>
  <c r="Y59" i="4"/>
  <c r="AR59" i="4" s="1"/>
  <c r="X86" i="4"/>
  <c r="AJ86" i="4" s="1"/>
  <c r="Y86" i="4"/>
  <c r="AR86" i="4" s="1"/>
  <c r="X90" i="4"/>
  <c r="AJ90" i="4" s="1"/>
  <c r="Y90" i="4"/>
  <c r="AR90" i="4" s="1"/>
  <c r="X81" i="4"/>
  <c r="AJ81" i="4" s="1"/>
  <c r="Y81" i="4"/>
  <c r="AR81" i="4" s="1"/>
  <c r="X69" i="4"/>
  <c r="AJ69" i="4" s="1"/>
  <c r="Y69" i="4"/>
  <c r="AR69" i="4" s="1"/>
  <c r="X63" i="4"/>
  <c r="AJ63" i="4" s="1"/>
  <c r="Y63" i="4"/>
  <c r="AR63" i="4" s="1"/>
  <c r="X108" i="4"/>
  <c r="AJ108" i="4" s="1"/>
  <c r="Y108" i="4"/>
  <c r="AR108" i="4" s="1"/>
  <c r="X122" i="4"/>
  <c r="AJ122" i="4" s="1"/>
  <c r="Y122" i="4"/>
  <c r="AR122" i="4" s="1"/>
  <c r="AP355" i="5"/>
  <c r="AQ355" i="5" s="1"/>
  <c r="AP475" i="5"/>
  <c r="AR475" i="5" s="1"/>
  <c r="AP155" i="5"/>
  <c r="AR155" i="5" s="1"/>
  <c r="AP492" i="5"/>
  <c r="AP498" i="5"/>
  <c r="AP311" i="5"/>
  <c r="AQ311" i="5" s="1"/>
  <c r="AP38" i="5"/>
  <c r="AP162" i="5"/>
  <c r="AP405" i="5"/>
  <c r="AQ405" i="5" s="1"/>
  <c r="AP24" i="5"/>
  <c r="AR24" i="5" s="1"/>
  <c r="AP78" i="5"/>
  <c r="AR78" i="5" s="1"/>
  <c r="AP362" i="5"/>
  <c r="AQ362" i="5" s="1"/>
  <c r="AP169" i="5"/>
  <c r="BI169" i="5" s="1"/>
  <c r="AP381" i="5"/>
  <c r="BI381" i="5" s="1"/>
  <c r="AP296" i="5"/>
  <c r="AQ296" i="5" s="1"/>
  <c r="AP168" i="5"/>
  <c r="AP145" i="5"/>
  <c r="AP196" i="5"/>
  <c r="BI196" i="5" s="1"/>
  <c r="AP402" i="5"/>
  <c r="AP39" i="5"/>
  <c r="AP218" i="5"/>
  <c r="AR218" i="5" s="1"/>
  <c r="AP335" i="5"/>
  <c r="BI335" i="5" s="1"/>
  <c r="AP206" i="5"/>
  <c r="BI206" i="5" s="1"/>
  <c r="AP299" i="5"/>
  <c r="AR299" i="5" s="1"/>
  <c r="AP200" i="5"/>
  <c r="BI200" i="5" s="1"/>
  <c r="AP315" i="5"/>
  <c r="AR315" i="5" s="1"/>
  <c r="AP359" i="5"/>
  <c r="AR359" i="5" s="1"/>
  <c r="AP437" i="5"/>
  <c r="AP179" i="5"/>
  <c r="AP448" i="5"/>
  <c r="BI448" i="5" s="1"/>
  <c r="AP185" i="5"/>
  <c r="AP333" i="5"/>
  <c r="AP240" i="5"/>
  <c r="BI240" i="5" s="1"/>
  <c r="AP554" i="5"/>
  <c r="AR554" i="5" s="1"/>
  <c r="AP313" i="5"/>
  <c r="BI313" i="5" s="1"/>
  <c r="AP58" i="5"/>
  <c r="BI58" i="5" s="1"/>
  <c r="AP247" i="5"/>
  <c r="AQ247" i="5" s="1"/>
  <c r="AP459" i="5"/>
  <c r="BI459" i="5" s="1"/>
  <c r="AP458" i="5"/>
  <c r="AR458" i="5" s="1"/>
  <c r="AP527" i="5"/>
  <c r="AP32" i="5"/>
  <c r="AP62" i="5"/>
  <c r="AQ62" i="5" s="1"/>
  <c r="AP265" i="5"/>
  <c r="AP93" i="5"/>
  <c r="AP488" i="5"/>
  <c r="AR488" i="5" s="1"/>
  <c r="AP425" i="5"/>
  <c r="AQ425" i="5" s="1"/>
  <c r="AP30" i="5"/>
  <c r="AQ30" i="5" s="1"/>
  <c r="AP118" i="5"/>
  <c r="AQ118" i="5" s="1"/>
  <c r="AP163" i="5"/>
  <c r="AQ163" i="5" s="1"/>
  <c r="AP85" i="5"/>
  <c r="BI85" i="5" s="1"/>
  <c r="AP544" i="5"/>
  <c r="BI544" i="5" s="1"/>
  <c r="AP532" i="5"/>
  <c r="AP460" i="5"/>
  <c r="AP371" i="5"/>
  <c r="AQ371" i="5" s="1"/>
  <c r="AP136" i="5"/>
  <c r="AP342" i="5"/>
  <c r="X57" i="4"/>
  <c r="AJ57" i="4" s="1"/>
  <c r="Y57" i="4"/>
  <c r="AR57" i="4" s="1"/>
  <c r="X130" i="4"/>
  <c r="AJ130" i="4" s="1"/>
  <c r="Y130" i="4"/>
  <c r="AR130" i="4" s="1"/>
  <c r="X46" i="4"/>
  <c r="AJ46" i="4" s="1"/>
  <c r="X87" i="4"/>
  <c r="AJ87" i="4" s="1"/>
  <c r="X98" i="4"/>
  <c r="AJ98" i="4" s="1"/>
  <c r="Y98" i="4"/>
  <c r="AR98" i="4" s="1"/>
  <c r="X65" i="4"/>
  <c r="AJ65" i="4" s="1"/>
  <c r="Y65" i="4"/>
  <c r="AR65" i="4" s="1"/>
  <c r="X103" i="4"/>
  <c r="AJ103" i="4" s="1"/>
  <c r="X49" i="4"/>
  <c r="X92" i="4"/>
  <c r="AJ92" i="4" s="1"/>
  <c r="Y92" i="4"/>
  <c r="AR92" i="4" s="1"/>
  <c r="X133" i="4"/>
  <c r="AJ133" i="4" s="1"/>
  <c r="Y133" i="4"/>
  <c r="AR133" i="4" s="1"/>
  <c r="X38" i="4"/>
  <c r="AJ38" i="4" s="1"/>
  <c r="X124" i="4"/>
  <c r="AJ124" i="4" s="1"/>
  <c r="Y124" i="4"/>
  <c r="AR124" i="4" s="1"/>
  <c r="X58" i="4"/>
  <c r="AJ58" i="4" s="1"/>
  <c r="Y58" i="4"/>
  <c r="AR58" i="4" s="1"/>
  <c r="X125" i="4"/>
  <c r="AJ125" i="4" s="1"/>
  <c r="Y125" i="4"/>
  <c r="AR125" i="4" s="1"/>
  <c r="X105" i="4"/>
  <c r="AJ105" i="4" s="1"/>
  <c r="Y105" i="4"/>
  <c r="AR105" i="4" s="1"/>
  <c r="X43" i="4"/>
  <c r="AJ43" i="4" s="1"/>
  <c r="X154" i="4"/>
  <c r="AJ154" i="4" s="1"/>
  <c r="Y154" i="4"/>
  <c r="AR154" i="4" s="1"/>
  <c r="X93" i="4"/>
  <c r="AJ93" i="4" s="1"/>
  <c r="Y93" i="4"/>
  <c r="AR93" i="4" s="1"/>
  <c r="X126" i="4"/>
  <c r="AJ126" i="4" s="1"/>
  <c r="Y126" i="4"/>
  <c r="AR126" i="4" s="1"/>
  <c r="X116" i="4"/>
  <c r="AJ116" i="4" s="1"/>
  <c r="Y116" i="4"/>
  <c r="AR116" i="4" s="1"/>
  <c r="X148" i="4"/>
  <c r="AJ148" i="4" s="1"/>
  <c r="Y148" i="4"/>
  <c r="AR148" i="4" s="1"/>
  <c r="X128" i="4"/>
  <c r="AJ128" i="4" s="1"/>
  <c r="Y128" i="4"/>
  <c r="AR128" i="4" s="1"/>
  <c r="X88" i="4"/>
  <c r="AJ88" i="4" s="1"/>
  <c r="X104" i="4"/>
  <c r="AJ104" i="4" s="1"/>
  <c r="X139" i="4"/>
  <c r="AJ139" i="4" s="1"/>
  <c r="X53" i="4"/>
  <c r="AJ53" i="4" s="1"/>
  <c r="X109" i="4"/>
  <c r="AJ109" i="4" s="1"/>
  <c r="Y109" i="4"/>
  <c r="AR109" i="4" s="1"/>
  <c r="AP301" i="5"/>
  <c r="AP556" i="5"/>
  <c r="AP90" i="5"/>
  <c r="AP195" i="5"/>
  <c r="AQ195" i="5" s="1"/>
  <c r="AP72" i="5"/>
  <c r="AQ72" i="5" s="1"/>
  <c r="AP501" i="5"/>
  <c r="BI501" i="5" s="1"/>
  <c r="AP199" i="5"/>
  <c r="BI199" i="5" s="1"/>
  <c r="AP251" i="5"/>
  <c r="BI251" i="5" s="1"/>
  <c r="AP455" i="5"/>
  <c r="AR455" i="5" s="1"/>
  <c r="AP249" i="5"/>
  <c r="AQ249" i="5" s="1"/>
  <c r="AP41" i="5"/>
  <c r="AQ41" i="5" s="1"/>
  <c r="AP307" i="5"/>
  <c r="BI307" i="5" s="1"/>
  <c r="AP350" i="5"/>
  <c r="AP66" i="5"/>
  <c r="AP312" i="5"/>
  <c r="AP290" i="5"/>
  <c r="AR290" i="5" s="1"/>
  <c r="AP326" i="5"/>
  <c r="AR326" i="5" s="1"/>
  <c r="AP156" i="5"/>
  <c r="BI156" i="5" s="1"/>
  <c r="AP318" i="5"/>
  <c r="AQ318" i="5" s="1"/>
  <c r="AP116" i="5"/>
  <c r="BI116" i="5" s="1"/>
  <c r="AP278" i="5"/>
  <c r="BI278" i="5" s="1"/>
  <c r="AP210" i="5"/>
  <c r="AR210" i="5" s="1"/>
  <c r="AP551" i="5"/>
  <c r="AR551" i="5" s="1"/>
  <c r="AP288" i="5"/>
  <c r="AQ288" i="5" s="1"/>
  <c r="AP539" i="5"/>
  <c r="AP454" i="5"/>
  <c r="AP164" i="5"/>
  <c r="AP167" i="5"/>
  <c r="BI167" i="5" s="1"/>
  <c r="AP232" i="5"/>
  <c r="AR232" i="5" s="1"/>
  <c r="X142" i="4"/>
  <c r="AJ142" i="4" s="1"/>
  <c r="Y142" i="4"/>
  <c r="AR142" i="4" s="1"/>
  <c r="X51" i="4"/>
  <c r="AJ51" i="4" s="1"/>
  <c r="X55" i="4"/>
  <c r="AJ55" i="4" s="1"/>
  <c r="Y55" i="4"/>
  <c r="AR55" i="4" s="1"/>
  <c r="X129" i="4"/>
  <c r="AJ129" i="4" s="1"/>
  <c r="Y129" i="4"/>
  <c r="AR129" i="4" s="1"/>
  <c r="X146" i="4"/>
  <c r="X157" i="4"/>
  <c r="AJ157" i="4" s="1"/>
  <c r="X75" i="4"/>
  <c r="AJ75" i="4" s="1"/>
  <c r="Y75" i="4"/>
  <c r="AR75" i="4" s="1"/>
  <c r="X110" i="4"/>
  <c r="Y110" i="4"/>
  <c r="AR110" i="4" s="1"/>
  <c r="X123" i="4"/>
  <c r="AJ123" i="4" s="1"/>
  <c r="Y123" i="4"/>
  <c r="AR123" i="4" s="1"/>
  <c r="X60" i="4"/>
  <c r="AJ60" i="4" s="1"/>
  <c r="Y60" i="4"/>
  <c r="AR60" i="4" s="1"/>
  <c r="X153" i="4"/>
  <c r="X54" i="4"/>
  <c r="AJ54" i="4" s="1"/>
  <c r="Y54" i="4"/>
  <c r="AR54" i="4" s="1"/>
  <c r="X144" i="4"/>
  <c r="AJ144" i="4" s="1"/>
  <c r="Y144" i="4"/>
  <c r="AR144" i="4" s="1"/>
  <c r="X47" i="4"/>
  <c r="AJ47" i="4" s="1"/>
  <c r="X102" i="4"/>
  <c r="Y102" i="4"/>
  <c r="AR102" i="4" s="1"/>
  <c r="X96" i="4"/>
  <c r="AJ96" i="4" s="1"/>
  <c r="Y96" i="4"/>
  <c r="AR96" i="4" s="1"/>
  <c r="X113" i="4"/>
  <c r="AJ113" i="4" s="1"/>
  <c r="Y113" i="4"/>
  <c r="AR113" i="4" s="1"/>
  <c r="X85" i="4"/>
  <c r="AJ85" i="4" s="1"/>
  <c r="Y85" i="4"/>
  <c r="AR85" i="4" s="1"/>
  <c r="X67" i="4"/>
  <c r="Y67" i="4"/>
  <c r="AR67" i="4" s="1"/>
  <c r="X143" i="4"/>
  <c r="AJ143" i="4" s="1"/>
  <c r="Y143" i="4"/>
  <c r="AR143" i="4" s="1"/>
  <c r="X117" i="4"/>
  <c r="Y117" i="4"/>
  <c r="AR117" i="4" s="1"/>
  <c r="X147" i="4"/>
  <c r="AJ147" i="4" s="1"/>
  <c r="X45" i="4"/>
  <c r="AJ45" i="4" s="1"/>
  <c r="X137" i="4"/>
  <c r="AJ137" i="4" s="1"/>
  <c r="Y137" i="4"/>
  <c r="AR137" i="4" s="1"/>
  <c r="X74" i="4"/>
  <c r="Y74" i="4"/>
  <c r="AR74" i="4" s="1"/>
  <c r="X135" i="4"/>
  <c r="AJ135" i="4" s="1"/>
  <c r="Y135" i="4"/>
  <c r="AR135" i="4" s="1"/>
  <c r="X151" i="4"/>
  <c r="AJ151" i="4" s="1"/>
  <c r="Y151" i="4"/>
  <c r="AR151" i="4" s="1"/>
  <c r="X79" i="4"/>
  <c r="Y79" i="4"/>
  <c r="AR79" i="4" s="1"/>
  <c r="AP427" i="5"/>
  <c r="AQ427" i="5" s="1"/>
  <c r="AP404" i="5"/>
  <c r="AQ404" i="5" s="1"/>
  <c r="AP447" i="5"/>
  <c r="AQ447" i="5" s="1"/>
  <c r="AP187" i="5"/>
  <c r="AQ187" i="5" s="1"/>
  <c r="AP166" i="5"/>
  <c r="AP177" i="5"/>
  <c r="AP12" i="5"/>
  <c r="AP97" i="5"/>
  <c r="AP37" i="5"/>
  <c r="AR37" i="5" s="1"/>
  <c r="AP327" i="5"/>
  <c r="AP276" i="5"/>
  <c r="AP422" i="5"/>
  <c r="AQ422" i="5" s="1"/>
  <c r="AP349" i="5"/>
  <c r="BI349" i="5" s="1"/>
  <c r="AP120" i="5"/>
  <c r="AR120" i="5" s="1"/>
  <c r="AP102" i="5"/>
  <c r="BI102" i="5" s="1"/>
  <c r="AP337" i="5"/>
  <c r="BI337" i="5" s="1"/>
  <c r="AP316" i="5"/>
  <c r="BI316" i="5" s="1"/>
  <c r="AP115" i="5"/>
  <c r="AP22" i="5"/>
  <c r="AP328" i="5"/>
  <c r="AP396" i="5"/>
  <c r="BI396" i="5" s="1"/>
  <c r="AP377" i="5"/>
  <c r="AP280" i="5"/>
  <c r="AR280" i="5" s="1"/>
  <c r="AP494" i="5"/>
  <c r="BI494" i="5" s="1"/>
  <c r="AP61" i="5"/>
  <c r="AQ61" i="5" s="1"/>
  <c r="AP79" i="5"/>
  <c r="AQ79" i="5" s="1"/>
  <c r="AP188" i="5"/>
  <c r="AR188" i="5" s="1"/>
  <c r="AP107" i="5"/>
  <c r="AR107" i="5" s="1"/>
  <c r="AP392" i="5"/>
  <c r="BI392" i="5" s="1"/>
  <c r="AP125" i="5"/>
  <c r="AP441" i="5"/>
  <c r="AP45" i="5"/>
  <c r="BI45" i="5" s="1"/>
  <c r="AP505" i="5"/>
  <c r="AR505" i="5" s="1"/>
  <c r="AP76" i="5"/>
  <c r="AP308" i="5"/>
  <c r="AR308" i="5" s="1"/>
  <c r="AP142" i="5"/>
  <c r="AR142" i="5" s="1"/>
  <c r="AP347" i="5"/>
  <c r="BI347" i="5" s="1"/>
  <c r="AP258" i="5"/>
  <c r="AR258" i="5" s="1"/>
  <c r="AP523" i="5"/>
  <c r="AQ523" i="5" s="1"/>
  <c r="AP94" i="5"/>
  <c r="AQ94" i="5" s="1"/>
  <c r="AP300" i="5"/>
  <c r="AP113" i="5"/>
  <c r="AP264" i="5"/>
  <c r="AP225" i="5"/>
  <c r="AP531" i="5"/>
  <c r="AQ531" i="5" s="1"/>
  <c r="AP514" i="5"/>
  <c r="AP25" i="5"/>
  <c r="AP530" i="5"/>
  <c r="AQ530" i="5" s="1"/>
  <c r="AP329" i="5"/>
  <c r="AR329" i="5" s="1"/>
  <c r="AP7" i="5"/>
  <c r="AR7" i="5" s="1"/>
  <c r="AP383" i="5"/>
  <c r="BI383" i="5" s="1"/>
  <c r="AP322" i="5"/>
  <c r="AQ322" i="5" s="1"/>
  <c r="AP410" i="5"/>
  <c r="AP47" i="5"/>
  <c r="AP409" i="5"/>
  <c r="AP457" i="5"/>
  <c r="AP204" i="5"/>
  <c r="AR204" i="5" s="1"/>
  <c r="AP369" i="5"/>
  <c r="AP294" i="5"/>
  <c r="AP91" i="5"/>
  <c r="AQ91" i="5" s="1"/>
  <c r="AP384" i="5"/>
  <c r="BI384" i="5" s="1"/>
  <c r="AP211" i="5"/>
  <c r="BI211" i="5" s="1"/>
  <c r="AP348" i="5"/>
  <c r="BI348" i="5" s="1"/>
  <c r="AP547" i="5"/>
  <c r="BI547" i="5" s="1"/>
  <c r="AP46" i="5"/>
  <c r="AP242" i="5"/>
  <c r="AP295" i="5"/>
  <c r="AP430" i="5"/>
  <c r="AP366" i="5"/>
  <c r="AQ366" i="5" s="1"/>
  <c r="AP205" i="5"/>
  <c r="AP360" i="5"/>
  <c r="AP56" i="5"/>
  <c r="BI56" i="5" s="1"/>
  <c r="AP71" i="5"/>
  <c r="AQ71" i="5" s="1"/>
  <c r="AP324" i="5"/>
  <c r="AQ324" i="5" s="1"/>
  <c r="AP340" i="5"/>
  <c r="AR340" i="5" s="1"/>
  <c r="AP248" i="5"/>
  <c r="AR248" i="5" s="1"/>
  <c r="AP144" i="5"/>
  <c r="AP552" i="5"/>
  <c r="AP413" i="5"/>
  <c r="AP165" i="5"/>
  <c r="AP484" i="5"/>
  <c r="BI484" i="5" s="1"/>
  <c r="AP75" i="5"/>
  <c r="AP271" i="5"/>
  <c r="AP353" i="5"/>
  <c r="AQ353" i="5" s="1"/>
  <c r="AP262" i="5"/>
  <c r="BI262" i="5" s="1"/>
  <c r="AP491" i="5"/>
  <c r="AQ491" i="5" s="1"/>
  <c r="AP60" i="5"/>
  <c r="AQ60" i="5" s="1"/>
  <c r="AP390" i="5"/>
  <c r="AQ390" i="5" s="1"/>
  <c r="AP553" i="5"/>
  <c r="AP28" i="5"/>
  <c r="AP320" i="5"/>
  <c r="AP503" i="5"/>
  <c r="AP161" i="5"/>
  <c r="BI161" i="5" s="1"/>
  <c r="AP429" i="5"/>
  <c r="AP558" i="5"/>
  <c r="AP314" i="5"/>
  <c r="AQ314" i="5" s="1"/>
  <c r="AP334" i="5"/>
  <c r="AQ334" i="5" s="1"/>
  <c r="AP540" i="5"/>
  <c r="BI540" i="5" s="1"/>
  <c r="AP123" i="5"/>
  <c r="AQ123" i="5" s="1"/>
  <c r="AP325" i="5"/>
  <c r="AR325" i="5" s="1"/>
  <c r="AP555" i="5"/>
  <c r="AP401" i="5"/>
  <c r="AP542" i="5"/>
  <c r="AP255" i="5"/>
  <c r="AP89" i="5"/>
  <c r="AR89" i="5" s="1"/>
  <c r="AP55" i="5"/>
  <c r="AP495" i="5"/>
  <c r="AP513" i="5"/>
  <c r="BI513" i="5" s="1"/>
  <c r="AQ535" i="5"/>
  <c r="BI535" i="5"/>
  <c r="AR535" i="5"/>
  <c r="BI356" i="5"/>
  <c r="AR356" i="5"/>
  <c r="AQ356" i="5"/>
  <c r="BI38" i="5"/>
  <c r="AQ38" i="5"/>
  <c r="AR38" i="5"/>
  <c r="AQ162" i="5"/>
  <c r="BI162" i="5"/>
  <c r="AR162" i="5"/>
  <c r="AQ106" i="5"/>
  <c r="AR106" i="5"/>
  <c r="BI106" i="5"/>
  <c r="AQ515" i="5"/>
  <c r="AR515" i="5"/>
  <c r="BI515" i="5"/>
  <c r="AR463" i="5"/>
  <c r="AQ463" i="5"/>
  <c r="BI463" i="5"/>
  <c r="AQ183" i="5"/>
  <c r="BI183" i="5"/>
  <c r="AR183" i="5"/>
  <c r="BI145" i="5"/>
  <c r="AR145" i="5"/>
  <c r="AQ145" i="5"/>
  <c r="BI274" i="5"/>
  <c r="AQ274" i="5"/>
  <c r="AR274" i="5"/>
  <c r="AQ299" i="5"/>
  <c r="AR489" i="5"/>
  <c r="BI489" i="5"/>
  <c r="AQ489" i="5"/>
  <c r="AR229" i="5"/>
  <c r="BI229" i="5"/>
  <c r="AQ229" i="5"/>
  <c r="AQ437" i="5"/>
  <c r="BI437" i="5"/>
  <c r="AR437" i="5"/>
  <c r="AR179" i="5"/>
  <c r="BI179" i="5"/>
  <c r="AQ179" i="5"/>
  <c r="AQ317" i="5"/>
  <c r="AR317" i="5"/>
  <c r="BI317" i="5"/>
  <c r="AQ185" i="5"/>
  <c r="AR185" i="5"/>
  <c r="BI185" i="5"/>
  <c r="AQ387" i="5"/>
  <c r="BI387" i="5"/>
  <c r="AR387" i="5"/>
  <c r="AQ525" i="5"/>
  <c r="AR525" i="5"/>
  <c r="BI525" i="5"/>
  <c r="AR282" i="5"/>
  <c r="BI282" i="5"/>
  <c r="AQ282" i="5"/>
  <c r="AQ333" i="5"/>
  <c r="BI333" i="5"/>
  <c r="AR333" i="5"/>
  <c r="AR178" i="5"/>
  <c r="BI178" i="5"/>
  <c r="AQ178" i="5"/>
  <c r="AQ546" i="5"/>
  <c r="BI546" i="5"/>
  <c r="AR546" i="5"/>
  <c r="AQ8" i="5"/>
  <c r="AR8" i="5"/>
  <c r="BI8" i="5"/>
  <c r="BI368" i="5"/>
  <c r="AQ368" i="5"/>
  <c r="AR368" i="5"/>
  <c r="AQ181" i="5"/>
  <c r="BI181" i="5"/>
  <c r="AR181" i="5"/>
  <c r="AR527" i="5"/>
  <c r="BI527" i="5"/>
  <c r="AQ527" i="5"/>
  <c r="AN411" i="5"/>
  <c r="AO411" i="5"/>
  <c r="AO151" i="5"/>
  <c r="AN151" i="5"/>
  <c r="AO68" i="5"/>
  <c r="AN68" i="5"/>
  <c r="AO252" i="5"/>
  <c r="AN252" i="5"/>
  <c r="AO77" i="5"/>
  <c r="AN77" i="5"/>
  <c r="AO266" i="5"/>
  <c r="AN266" i="5"/>
  <c r="AO33" i="5"/>
  <c r="AN33" i="5"/>
  <c r="AN148" i="5"/>
  <c r="AO148" i="5"/>
  <c r="AO84" i="5"/>
  <c r="AN84" i="5"/>
  <c r="AO106" i="5"/>
  <c r="AN106" i="5"/>
  <c r="AN557" i="5"/>
  <c r="AO557" i="5"/>
  <c r="AN240" i="5"/>
  <c r="AO240" i="5"/>
  <c r="AN446" i="5"/>
  <c r="AO446" i="5"/>
  <c r="AN183" i="5"/>
  <c r="AO183" i="5"/>
  <c r="AO192" i="5"/>
  <c r="AN192" i="5"/>
  <c r="AO209" i="5"/>
  <c r="AN209" i="5"/>
  <c r="AN394" i="5"/>
  <c r="AO394" i="5"/>
  <c r="AO541" i="5"/>
  <c r="AN541" i="5"/>
  <c r="AN504" i="5"/>
  <c r="AO504" i="5"/>
  <c r="AN13" i="5"/>
  <c r="AO13" i="5"/>
  <c r="AO416" i="5"/>
  <c r="AN416" i="5"/>
  <c r="AN54" i="5"/>
  <c r="AO54" i="5"/>
  <c r="AN159" i="5"/>
  <c r="AO159" i="5"/>
  <c r="AO154" i="5"/>
  <c r="AN154" i="5"/>
  <c r="AO524" i="5"/>
  <c r="AN524" i="5"/>
  <c r="AN260" i="5"/>
  <c r="AO260" i="5"/>
  <c r="AO444" i="5"/>
  <c r="AN444" i="5"/>
  <c r="AN372" i="5"/>
  <c r="AO372" i="5"/>
  <c r="AN529" i="5"/>
  <c r="AO529" i="5"/>
  <c r="AN284" i="5"/>
  <c r="AO284" i="5"/>
  <c r="AO533" i="5"/>
  <c r="AN533" i="5"/>
  <c r="AO219" i="5"/>
  <c r="AN219" i="5"/>
  <c r="AO462" i="5"/>
  <c r="AN462" i="5"/>
  <c r="AN176" i="5"/>
  <c r="AO176" i="5"/>
  <c r="AO267" i="5"/>
  <c r="AN267" i="5"/>
  <c r="AN419" i="5"/>
  <c r="AO419" i="5"/>
  <c r="AO12" i="5"/>
  <c r="AN12" i="5"/>
  <c r="AO101" i="5"/>
  <c r="AN101" i="5"/>
  <c r="AO386" i="5"/>
  <c r="AN386" i="5"/>
  <c r="AO368" i="5"/>
  <c r="AN368" i="5"/>
  <c r="AO186" i="5"/>
  <c r="AN186" i="5"/>
  <c r="AO363" i="5"/>
  <c r="AN363" i="5"/>
  <c r="AO65" i="5"/>
  <c r="AN65" i="5"/>
  <c r="AO316" i="5"/>
  <c r="AN316" i="5"/>
  <c r="AO302" i="5"/>
  <c r="AN302" i="5"/>
  <c r="AO336" i="5"/>
  <c r="AN336" i="5"/>
  <c r="AN184" i="5"/>
  <c r="AO184" i="5"/>
  <c r="AN485" i="5"/>
  <c r="AO485" i="5"/>
  <c r="AO73" i="5"/>
  <c r="AN73" i="5"/>
  <c r="AO248" i="5"/>
  <c r="AN248" i="5"/>
  <c r="AH16" i="4"/>
  <c r="AE16" i="4"/>
  <c r="Z16" i="4"/>
  <c r="X16" i="4" s="1"/>
  <c r="AJ16" i="4" s="1"/>
  <c r="AH9" i="4"/>
  <c r="Z9" i="4"/>
  <c r="X9" i="4" s="1"/>
  <c r="AJ9" i="4" s="1"/>
  <c r="AE9" i="4"/>
  <c r="AR95" i="5"/>
  <c r="AR492" i="5"/>
  <c r="BI492" i="5"/>
  <c r="AQ492" i="5"/>
  <c r="AR286" i="5"/>
  <c r="AQ286" i="5"/>
  <c r="BI286" i="5"/>
  <c r="AQ254" i="5"/>
  <c r="AR254" i="5"/>
  <c r="BI254" i="5"/>
  <c r="AQ213" i="5"/>
  <c r="BI213" i="5"/>
  <c r="AR213" i="5"/>
  <c r="AQ168" i="5"/>
  <c r="AR168" i="5"/>
  <c r="BI168" i="5"/>
  <c r="AR170" i="5"/>
  <c r="BI170" i="5"/>
  <c r="AQ170" i="5"/>
  <c r="BI402" i="5"/>
  <c r="AR402" i="5"/>
  <c r="AQ402" i="5"/>
  <c r="AH80" i="4"/>
  <c r="AE80" i="4"/>
  <c r="Z80" i="4"/>
  <c r="AA80" i="4"/>
  <c r="AH138" i="4"/>
  <c r="AE138" i="4"/>
  <c r="Z138" i="4"/>
  <c r="AA138" i="4"/>
  <c r="AH10" i="4"/>
  <c r="AE10" i="4"/>
  <c r="Z10" i="4"/>
  <c r="X10" i="4" s="1"/>
  <c r="AJ10" i="4" s="1"/>
  <c r="AH35" i="4"/>
  <c r="AE35" i="4"/>
  <c r="Z35" i="4"/>
  <c r="X35" i="4" s="1"/>
  <c r="AJ35" i="4" s="1"/>
  <c r="AH97" i="4"/>
  <c r="AE97" i="4"/>
  <c r="AE27" i="4"/>
  <c r="AH27" i="4"/>
  <c r="Z27" i="4"/>
  <c r="X27" i="4" s="1"/>
  <c r="AJ27" i="4" s="1"/>
  <c r="AH47" i="4"/>
  <c r="AA47" i="4"/>
  <c r="AE47" i="4"/>
  <c r="Z47" i="4"/>
  <c r="AE78" i="4"/>
  <c r="AH78" i="4"/>
  <c r="AH82" i="4"/>
  <c r="AE82" i="4"/>
  <c r="AE63" i="4"/>
  <c r="AH63" i="4"/>
  <c r="AH25" i="4"/>
  <c r="AE25" i="4"/>
  <c r="Z25" i="4"/>
  <c r="X25" i="4" s="1"/>
  <c r="AJ25" i="4" s="1"/>
  <c r="AJ62" i="4"/>
  <c r="AE62" i="4"/>
  <c r="AH62" i="4"/>
  <c r="AE96" i="4"/>
  <c r="AH96" i="4"/>
  <c r="AH76" i="4"/>
  <c r="AE76" i="4"/>
  <c r="AH87" i="4"/>
  <c r="AE87" i="4"/>
  <c r="AA87" i="4"/>
  <c r="Z87" i="4"/>
  <c r="AE89" i="4"/>
  <c r="AH89" i="4"/>
  <c r="AE29" i="4"/>
  <c r="AH29" i="4"/>
  <c r="Z29" i="4"/>
  <c r="X29" i="4" s="1"/>
  <c r="AH65" i="4"/>
  <c r="AE65" i="4"/>
  <c r="AR301" i="5"/>
  <c r="BI301" i="5"/>
  <c r="AQ301" i="5"/>
  <c r="BI343" i="5"/>
  <c r="AQ343" i="5"/>
  <c r="AR343" i="5"/>
  <c r="AR105" i="5"/>
  <c r="AQ105" i="5"/>
  <c r="BI105" i="5"/>
  <c r="AQ512" i="5"/>
  <c r="AR512" i="5"/>
  <c r="BI512" i="5"/>
  <c r="BI534" i="5"/>
  <c r="AR97" i="5"/>
  <c r="BI97" i="5"/>
  <c r="AQ97" i="5"/>
  <c r="AQ327" i="5"/>
  <c r="AR327" i="5"/>
  <c r="BI327" i="5"/>
  <c r="AR332" i="5"/>
  <c r="BI471" i="5"/>
  <c r="AR471" i="5"/>
  <c r="AQ471" i="5"/>
  <c r="AR476" i="5"/>
  <c r="BI476" i="5"/>
  <c r="AQ476" i="5"/>
  <c r="AR83" i="5"/>
  <c r="AQ83" i="5"/>
  <c r="BI83" i="5"/>
  <c r="AQ275" i="5"/>
  <c r="BI275" i="5"/>
  <c r="AR275" i="5"/>
  <c r="AR115" i="5"/>
  <c r="AQ115" i="5"/>
  <c r="BI115" i="5"/>
  <c r="AR331" i="5"/>
  <c r="BI331" i="5"/>
  <c r="AQ331" i="5"/>
  <c r="BI22" i="5"/>
  <c r="AQ22" i="5"/>
  <c r="AR22" i="5"/>
  <c r="AR365" i="5"/>
  <c r="AQ365" i="5"/>
  <c r="BI365" i="5"/>
  <c r="AQ90" i="5"/>
  <c r="BI90" i="5"/>
  <c r="AR90" i="5"/>
  <c r="AQ519" i="5"/>
  <c r="AQ40" i="5"/>
  <c r="BI40" i="5"/>
  <c r="AR40" i="5"/>
  <c r="AQ328" i="5"/>
  <c r="BI328" i="5"/>
  <c r="AR328" i="5"/>
  <c r="AQ396" i="5"/>
  <c r="AQ377" i="5"/>
  <c r="BI377" i="5"/>
  <c r="AR377" i="5"/>
  <c r="AP68" i="5"/>
  <c r="BI65" i="5"/>
  <c r="AQ65" i="5"/>
  <c r="AR65" i="5"/>
  <c r="BI101" i="5"/>
  <c r="AR101" i="5"/>
  <c r="AQ101" i="5"/>
  <c r="BI481" i="5"/>
  <c r="AQ481" i="5"/>
  <c r="AR481" i="5"/>
  <c r="BI86" i="5"/>
  <c r="AR86" i="5"/>
  <c r="AQ86" i="5"/>
  <c r="BI195" i="5"/>
  <c r="BI119" i="5"/>
  <c r="AR119" i="5"/>
  <c r="AQ119" i="5"/>
  <c r="AQ400" i="5"/>
  <c r="BI400" i="5"/>
  <c r="AR400" i="5"/>
  <c r="AP159" i="5"/>
  <c r="AP446" i="5"/>
  <c r="AQ188" i="5"/>
  <c r="AP411" i="5"/>
  <c r="AQ261" i="5"/>
  <c r="BI261" i="5"/>
  <c r="AR261" i="5"/>
  <c r="AR483" i="5"/>
  <c r="BI483" i="5"/>
  <c r="AQ483" i="5"/>
  <c r="BI173" i="5"/>
  <c r="AR173" i="5"/>
  <c r="AQ173" i="5"/>
  <c r="AR141" i="5"/>
  <c r="AQ141" i="5"/>
  <c r="BI141" i="5"/>
  <c r="AP176" i="5"/>
  <c r="AQ235" i="5"/>
  <c r="BI235" i="5"/>
  <c r="AR235" i="5"/>
  <c r="AR109" i="5"/>
  <c r="AQ109" i="5"/>
  <c r="BI109" i="5"/>
  <c r="AP529" i="5"/>
  <c r="AR433" i="5"/>
  <c r="AR41" i="5"/>
  <c r="AP444" i="5"/>
  <c r="AR237" i="5"/>
  <c r="BI237" i="5"/>
  <c r="AQ237" i="5"/>
  <c r="AQ108" i="5"/>
  <c r="AR108" i="5"/>
  <c r="BI108" i="5"/>
  <c r="BI339" i="5"/>
  <c r="AQ339" i="5"/>
  <c r="AR339" i="5"/>
  <c r="BI469" i="5"/>
  <c r="AQ469" i="5"/>
  <c r="AR469" i="5"/>
  <c r="BI23" i="5"/>
  <c r="AQ23" i="5"/>
  <c r="AR23" i="5"/>
  <c r="AQ125" i="5"/>
  <c r="AR125" i="5"/>
  <c r="BI125" i="5"/>
  <c r="AP154" i="5"/>
  <c r="AQ350" i="5"/>
  <c r="BI350" i="5"/>
  <c r="AR350" i="5"/>
  <c r="BI31" i="5"/>
  <c r="AQ31" i="5"/>
  <c r="AR31" i="5"/>
  <c r="AR87" i="5"/>
  <c r="AQ516" i="5"/>
  <c r="BI516" i="5"/>
  <c r="AR516" i="5"/>
  <c r="AQ66" i="5"/>
  <c r="BI66" i="5"/>
  <c r="AR66" i="5"/>
  <c r="AQ312" i="5"/>
  <c r="BI312" i="5"/>
  <c r="AR312" i="5"/>
  <c r="AQ441" i="5"/>
  <c r="BI441" i="5"/>
  <c r="AR441" i="5"/>
  <c r="BI326" i="5"/>
  <c r="AR403" i="5"/>
  <c r="AQ134" i="5"/>
  <c r="BI134" i="5"/>
  <c r="AR134" i="5"/>
  <c r="AQ45" i="5"/>
  <c r="BI201" i="5"/>
  <c r="AQ201" i="5"/>
  <c r="AR201" i="5"/>
  <c r="AQ505" i="5"/>
  <c r="AR399" i="5"/>
  <c r="BI399" i="5"/>
  <c r="AQ399" i="5"/>
  <c r="AP260" i="5"/>
  <c r="AQ291" i="5"/>
  <c r="AR291" i="5"/>
  <c r="BI291" i="5"/>
  <c r="AR507" i="5"/>
  <c r="AQ507" i="5"/>
  <c r="BI507" i="5"/>
  <c r="BI346" i="5"/>
  <c r="AQ346" i="5"/>
  <c r="AR346" i="5"/>
  <c r="AR135" i="5"/>
  <c r="BI135" i="5"/>
  <c r="AQ135" i="5"/>
  <c r="AP394" i="5"/>
  <c r="AP252" i="5"/>
  <c r="AQ268" i="5"/>
  <c r="BI268" i="5"/>
  <c r="AR268" i="5"/>
  <c r="AR76" i="5"/>
  <c r="AQ76" i="5"/>
  <c r="BI76" i="5"/>
  <c r="BI408" i="5"/>
  <c r="AR408" i="5"/>
  <c r="AQ408" i="5"/>
  <c r="AQ537" i="5"/>
  <c r="AR537" i="5"/>
  <c r="BI537" i="5"/>
  <c r="AQ208" i="5"/>
  <c r="BI210" i="5"/>
  <c r="AQ551" i="5"/>
  <c r="BI551" i="5"/>
  <c r="AR539" i="5"/>
  <c r="AQ539" i="5"/>
  <c r="BI539" i="5"/>
  <c r="BI454" i="5"/>
  <c r="AQ454" i="5"/>
  <c r="AR454" i="5"/>
  <c r="AR164" i="5"/>
  <c r="AQ164" i="5"/>
  <c r="BI164" i="5"/>
  <c r="AQ496" i="5"/>
  <c r="BI496" i="5"/>
  <c r="AR496" i="5"/>
  <c r="BI245" i="5"/>
  <c r="AR523" i="5"/>
  <c r="AE120" i="4"/>
  <c r="AA120" i="4"/>
  <c r="Z120" i="4"/>
  <c r="AH120" i="4"/>
  <c r="AK9" i="5"/>
  <c r="AL9" i="5"/>
  <c r="AI9" i="5"/>
  <c r="AH9" i="5"/>
  <c r="AE142" i="4"/>
  <c r="AH142" i="4"/>
  <c r="AQ184" i="5"/>
  <c r="AR184" i="5"/>
  <c r="BI184" i="5"/>
  <c r="AQ227" i="5"/>
  <c r="BI227" i="5"/>
  <c r="AR227" i="5"/>
  <c r="AR27" i="5"/>
  <c r="AQ64" i="5"/>
  <c r="AR64" i="5"/>
  <c r="BI64" i="5"/>
  <c r="AQ266" i="5"/>
  <c r="BI266" i="5"/>
  <c r="AR266" i="5"/>
  <c r="BI182" i="5"/>
  <c r="AQ421" i="5"/>
  <c r="AR421" i="5"/>
  <c r="BI421" i="5"/>
  <c r="BI436" i="5"/>
  <c r="AQ436" i="5"/>
  <c r="AR436" i="5"/>
  <c r="AR536" i="5"/>
  <c r="BI536" i="5"/>
  <c r="AQ536" i="5"/>
  <c r="BI171" i="5"/>
  <c r="AQ171" i="5"/>
  <c r="AR171" i="5"/>
  <c r="AR244" i="5"/>
  <c r="BI244" i="5"/>
  <c r="AQ244" i="5"/>
  <c r="AR336" i="5"/>
  <c r="BI336" i="5"/>
  <c r="AQ336" i="5"/>
  <c r="AQ543" i="5"/>
  <c r="BI543" i="5"/>
  <c r="AR543" i="5"/>
  <c r="AE51" i="4"/>
  <c r="AH51" i="4"/>
  <c r="AA51" i="4"/>
  <c r="Z51" i="4"/>
  <c r="AE118" i="4"/>
  <c r="AH118" i="4"/>
  <c r="AE114" i="4"/>
  <c r="AH114" i="4"/>
  <c r="AE69" i="4"/>
  <c r="AH69" i="4"/>
  <c r="AH104" i="4"/>
  <c r="Z104" i="4"/>
  <c r="AA104" i="4"/>
  <c r="AE104" i="4"/>
  <c r="AH139" i="4"/>
  <c r="AA139" i="4"/>
  <c r="Z139" i="4"/>
  <c r="AE139" i="4"/>
  <c r="AH100" i="4"/>
  <c r="AE100" i="4"/>
  <c r="AA100" i="4"/>
  <c r="Z100" i="4"/>
  <c r="P44" i="5"/>
  <c r="P46" i="5"/>
  <c r="P297" i="5"/>
  <c r="P541" i="5"/>
  <c r="P28" i="5"/>
  <c r="P348" i="5"/>
  <c r="P524" i="5"/>
  <c r="P29" i="5"/>
  <c r="P19" i="5"/>
  <c r="P256" i="5"/>
  <c r="P85" i="5"/>
  <c r="P282" i="5"/>
  <c r="P137" i="5"/>
  <c r="P468" i="5"/>
  <c r="P281" i="5"/>
  <c r="P76" i="5"/>
  <c r="P431" i="5"/>
  <c r="P405" i="5"/>
  <c r="P97" i="5"/>
  <c r="P21" i="5"/>
  <c r="P542" i="5"/>
  <c r="P37" i="5"/>
  <c r="P410" i="5"/>
  <c r="P70" i="5"/>
  <c r="P341" i="5"/>
  <c r="P77" i="5"/>
  <c r="P326" i="5"/>
  <c r="P258" i="5"/>
  <c r="P328" i="5"/>
  <c r="P560" i="5"/>
  <c r="P49" i="5"/>
  <c r="P166" i="5"/>
  <c r="P144" i="5"/>
  <c r="P62" i="5"/>
  <c r="P358" i="5"/>
  <c r="P210" i="5"/>
  <c r="P415" i="5"/>
  <c r="P559" i="5"/>
  <c r="P81" i="5"/>
  <c r="P522" i="5"/>
  <c r="P181" i="5"/>
  <c r="P514" i="5"/>
  <c r="P419" i="5"/>
  <c r="P558" i="5"/>
  <c r="P110" i="5"/>
  <c r="P272" i="5"/>
  <c r="P225" i="5"/>
  <c r="P507" i="5"/>
  <c r="P88" i="5"/>
  <c r="P466" i="5"/>
  <c r="P260" i="5"/>
  <c r="P437" i="5"/>
  <c r="P421" i="5"/>
  <c r="P299" i="5"/>
  <c r="P430" i="5"/>
  <c r="P309" i="5"/>
  <c r="P209" i="5"/>
  <c r="P242" i="5"/>
  <c r="P377" i="5"/>
  <c r="P187" i="5"/>
  <c r="P500" i="5"/>
  <c r="P119" i="5"/>
  <c r="P213" i="5"/>
  <c r="P51" i="5"/>
  <c r="P8" i="5"/>
  <c r="P34" i="5"/>
  <c r="P38" i="5"/>
  <c r="P372" i="5"/>
  <c r="P473" i="5"/>
  <c r="P180" i="5"/>
  <c r="P448" i="5"/>
  <c r="P316" i="5"/>
  <c r="P353" i="5"/>
  <c r="P504" i="5"/>
  <c r="P445" i="5"/>
  <c r="P234" i="5"/>
  <c r="P164" i="5"/>
  <c r="P373" i="5"/>
  <c r="P90" i="5"/>
  <c r="P83" i="5"/>
  <c r="P254" i="5"/>
  <c r="P149" i="5"/>
  <c r="P141" i="5"/>
  <c r="P549" i="5"/>
  <c r="P277" i="5"/>
  <c r="P27" i="5"/>
  <c r="P286" i="5"/>
  <c r="P551" i="5"/>
  <c r="P87" i="5"/>
  <c r="P115" i="5"/>
  <c r="P362" i="5"/>
  <c r="P352" i="5"/>
  <c r="P554" i="5"/>
  <c r="P369" i="5"/>
  <c r="P475" i="5"/>
  <c r="P236" i="5"/>
  <c r="P370" i="5"/>
  <c r="P350" i="5"/>
  <c r="P45" i="5"/>
  <c r="P150" i="5"/>
  <c r="P324" i="5"/>
  <c r="P447" i="5"/>
  <c r="P485" i="5"/>
  <c r="P331" i="5"/>
  <c r="P458" i="5"/>
  <c r="P521" i="5"/>
  <c r="P125" i="5"/>
  <c r="P393" i="5"/>
  <c r="P329" i="5"/>
  <c r="P537" i="5"/>
  <c r="P443" i="5"/>
  <c r="P93" i="5"/>
  <c r="P245" i="5"/>
  <c r="P123" i="5"/>
  <c r="P265" i="5"/>
  <c r="P279" i="5"/>
  <c r="P402" i="5"/>
  <c r="P64" i="5"/>
  <c r="P160" i="5"/>
  <c r="P41" i="5"/>
  <c r="P301" i="5"/>
  <c r="P42" i="5"/>
  <c r="P292" i="5"/>
  <c r="P424" i="5"/>
  <c r="P195" i="5"/>
  <c r="P462" i="5"/>
  <c r="P98" i="5"/>
  <c r="P474" i="5"/>
  <c r="P243" i="5"/>
  <c r="P442" i="5"/>
  <c r="P531" i="5"/>
  <c r="P207" i="5"/>
  <c r="P162" i="5"/>
  <c r="P69" i="5"/>
  <c r="P406" i="5"/>
  <c r="P381" i="5"/>
  <c r="P153" i="5"/>
  <c r="P300" i="5"/>
  <c r="P36" i="5"/>
  <c r="P322" i="5"/>
  <c r="P349" i="5"/>
  <c r="P319" i="5"/>
  <c r="P31" i="5"/>
  <c r="P191" i="5"/>
  <c r="P429" i="5"/>
  <c r="P13" i="5"/>
  <c r="P513" i="5"/>
  <c r="P11" i="5"/>
  <c r="P124" i="5"/>
  <c r="P364" i="5"/>
  <c r="P332" i="5"/>
  <c r="P220" i="5"/>
  <c r="P74" i="5"/>
  <c r="P109" i="5"/>
  <c r="P214" i="5"/>
  <c r="P453" i="5"/>
  <c r="P339" i="5"/>
  <c r="P416" i="5"/>
  <c r="P440" i="5"/>
  <c r="P203" i="5"/>
  <c r="P482" i="5"/>
  <c r="P438" i="5"/>
  <c r="P134" i="5"/>
  <c r="P128" i="5"/>
  <c r="P171" i="5"/>
  <c r="P91" i="5"/>
  <c r="P515" i="5"/>
  <c r="P487" i="5"/>
  <c r="P399" i="5"/>
  <c r="P56" i="5"/>
  <c r="P132" i="5"/>
  <c r="P488" i="5"/>
  <c r="P417" i="5"/>
  <c r="P441" i="5"/>
  <c r="P401" i="5"/>
  <c r="P486" i="5"/>
  <c r="P185" i="5"/>
  <c r="P451" i="5"/>
  <c r="P104" i="5"/>
  <c r="P544" i="5"/>
  <c r="P457" i="5"/>
  <c r="P384" i="5"/>
  <c r="P217" i="5"/>
  <c r="P289" i="5"/>
  <c r="P346" i="5"/>
  <c r="P528" i="5"/>
  <c r="P320" i="5"/>
  <c r="P120" i="5"/>
  <c r="P262" i="5"/>
  <c r="P175" i="5"/>
  <c r="P403" i="5"/>
  <c r="P95" i="5"/>
  <c r="P112" i="5"/>
  <c r="P276" i="5"/>
  <c r="P479" i="5"/>
  <c r="P287" i="5"/>
  <c r="P435" i="5"/>
  <c r="P518" i="5"/>
  <c r="P72" i="5"/>
  <c r="P271" i="5"/>
  <c r="P82" i="5"/>
  <c r="P116" i="5"/>
  <c r="P509" i="5"/>
  <c r="P450" i="5"/>
  <c r="P412" i="5"/>
  <c r="P408" i="5"/>
  <c r="P465" i="5"/>
  <c r="P333" i="5"/>
  <c r="P538" i="5"/>
  <c r="P379" i="5"/>
  <c r="P122" i="5"/>
  <c r="P432" i="5"/>
  <c r="P535" i="5"/>
  <c r="P172" i="5"/>
  <c r="P543" i="5"/>
  <c r="P425" i="5"/>
  <c r="P33" i="5"/>
  <c r="P40" i="5"/>
  <c r="P79" i="5"/>
  <c r="P47" i="5"/>
  <c r="P495" i="5"/>
  <c r="P337" i="5"/>
  <c r="P492" i="5"/>
  <c r="P545" i="5"/>
  <c r="P231" i="5"/>
  <c r="P30" i="5"/>
  <c r="P383" i="5"/>
  <c r="P253" i="5"/>
  <c r="P449" i="5"/>
  <c r="P101" i="5"/>
  <c r="P194" i="5"/>
  <c r="P65" i="5"/>
  <c r="P323" i="5"/>
  <c r="P360" i="5"/>
  <c r="P269" i="5"/>
  <c r="P539" i="5"/>
  <c r="P394" i="5"/>
  <c r="P43" i="5"/>
  <c r="P61" i="5"/>
  <c r="P378" i="5"/>
  <c r="P477" i="5"/>
  <c r="P489" i="5"/>
  <c r="P519" i="5"/>
  <c r="P295" i="5"/>
  <c r="P121" i="5"/>
  <c r="P391" i="5"/>
  <c r="P268" i="5"/>
  <c r="P68" i="5"/>
  <c r="P155" i="5"/>
  <c r="P107" i="5"/>
  <c r="P22" i="5"/>
  <c r="P314" i="5"/>
  <c r="P229" i="5"/>
  <c r="P148" i="5"/>
  <c r="P411" i="5"/>
  <c r="P67" i="5"/>
  <c r="P526" i="5"/>
  <c r="P113" i="5"/>
  <c r="P470" i="5"/>
  <c r="P452" i="5"/>
  <c r="P307" i="5"/>
  <c r="P409" i="5"/>
  <c r="P55" i="5"/>
  <c r="P343" i="5"/>
  <c r="P223" i="5"/>
  <c r="P298" i="5"/>
  <c r="P230" i="5"/>
  <c r="P303" i="5"/>
  <c r="P99" i="5"/>
  <c r="P499" i="5"/>
  <c r="P555" i="5"/>
  <c r="P275" i="5"/>
  <c r="P290" i="5"/>
  <c r="P380" i="5"/>
  <c r="P139" i="5"/>
  <c r="P512" i="5"/>
  <c r="P266" i="5"/>
  <c r="P385" i="5"/>
  <c r="P325" i="5"/>
  <c r="P156" i="5"/>
  <c r="P335" i="5"/>
  <c r="P498" i="5"/>
  <c r="P178" i="5"/>
  <c r="P264" i="5"/>
  <c r="P159" i="5"/>
  <c r="P294" i="5"/>
  <c r="P240" i="5"/>
  <c r="P151" i="5"/>
  <c r="P168" i="5"/>
  <c r="P84" i="5"/>
  <c r="P208" i="5"/>
  <c r="P53" i="5"/>
  <c r="P476" i="5"/>
  <c r="P197" i="5"/>
  <c r="P327" i="5"/>
  <c r="P100" i="5"/>
  <c r="P389" i="5"/>
  <c r="P184" i="5"/>
  <c r="P414" i="5"/>
  <c r="P505" i="5"/>
  <c r="P523" i="5"/>
  <c r="P422" i="5"/>
  <c r="P204" i="5"/>
  <c r="P483" i="5"/>
  <c r="P252" i="5"/>
  <c r="P108" i="5"/>
  <c r="P308" i="5"/>
  <c r="P388" i="5"/>
  <c r="P267" i="5"/>
  <c r="P183" i="5"/>
  <c r="P73" i="5"/>
  <c r="P130" i="5"/>
  <c r="P530" i="5"/>
  <c r="P387" i="5"/>
  <c r="P397" i="5"/>
  <c r="P427" i="5"/>
  <c r="P532" i="5"/>
  <c r="P376" i="5"/>
  <c r="P222" i="5"/>
  <c r="P25" i="5"/>
  <c r="P426" i="5"/>
  <c r="P463" i="5"/>
  <c r="P510" i="5"/>
  <c r="P288" i="5"/>
  <c r="P285" i="5"/>
  <c r="P478" i="5"/>
  <c r="P296" i="5"/>
  <c r="P497" i="5"/>
  <c r="P154" i="5"/>
  <c r="P464" i="5"/>
  <c r="P201" i="5"/>
  <c r="P105" i="5"/>
  <c r="P237" i="5"/>
  <c r="P278" i="5"/>
  <c r="P506" i="5"/>
  <c r="P433" i="5"/>
  <c r="P491" i="5"/>
  <c r="P80" i="5"/>
  <c r="P552" i="5"/>
  <c r="P351" i="5"/>
  <c r="P263" i="5"/>
  <c r="P368" i="5"/>
  <c r="P66" i="5"/>
  <c r="P480" i="5"/>
  <c r="P347" i="5"/>
  <c r="P202" i="5"/>
  <c r="P118" i="5"/>
  <c r="P374" i="5"/>
  <c r="P274" i="5"/>
  <c r="P165" i="5"/>
  <c r="P434" i="5"/>
  <c r="P199" i="5"/>
  <c r="P342" i="5"/>
  <c r="P550" i="5"/>
  <c r="P182" i="5"/>
  <c r="P547" i="5"/>
  <c r="P255" i="5"/>
  <c r="P436" i="5"/>
  <c r="P366" i="5"/>
  <c r="P291" i="5"/>
  <c r="P306" i="5"/>
  <c r="P158" i="5"/>
  <c r="P190" i="5"/>
  <c r="P177" i="5"/>
  <c r="P359" i="5"/>
  <c r="P446" i="5"/>
  <c r="P246" i="5"/>
  <c r="P472" i="5"/>
  <c r="P321" i="5"/>
  <c r="P226" i="5"/>
  <c r="P20" i="5"/>
  <c r="P493" i="5"/>
  <c r="P23" i="5"/>
  <c r="P26" i="5"/>
  <c r="P186" i="5"/>
  <c r="P490" i="5"/>
  <c r="P305" i="5"/>
  <c r="P467" i="5"/>
  <c r="P508" i="5"/>
  <c r="P57" i="5"/>
  <c r="P136" i="5"/>
  <c r="P221" i="5"/>
  <c r="P533" i="5"/>
  <c r="P211" i="5"/>
  <c r="P481" i="5"/>
  <c r="P338" i="5"/>
  <c r="P516" i="5"/>
  <c r="P428" i="5"/>
  <c r="P138" i="5"/>
  <c r="P52" i="5"/>
  <c r="P63" i="5"/>
  <c r="P143" i="5"/>
  <c r="P536" i="5"/>
  <c r="P102" i="5"/>
  <c r="P247" i="5"/>
  <c r="P89" i="5"/>
  <c r="P548" i="5"/>
  <c r="P553" i="5"/>
  <c r="P511" i="5"/>
  <c r="P471" i="5"/>
  <c r="P54" i="5"/>
  <c r="P390" i="5"/>
  <c r="P205" i="5"/>
  <c r="P48" i="5"/>
  <c r="P365" i="5"/>
  <c r="P361" i="5"/>
  <c r="P396" i="5"/>
  <c r="P420" i="5"/>
  <c r="P196" i="5"/>
  <c r="P502" i="5"/>
  <c r="P501" i="5"/>
  <c r="P407" i="5"/>
  <c r="P189" i="5"/>
  <c r="P357" i="5"/>
  <c r="P86" i="5"/>
  <c r="P241" i="5"/>
  <c r="P219" i="5"/>
  <c r="P375" i="5"/>
  <c r="P106" i="5"/>
  <c r="P117" i="5"/>
  <c r="P340" i="5"/>
  <c r="P103" i="5"/>
  <c r="P284" i="5"/>
  <c r="P251" i="5"/>
  <c r="P215" i="5"/>
  <c r="P400" i="5"/>
  <c r="P176" i="5"/>
  <c r="P395" i="5"/>
  <c r="P146" i="5"/>
  <c r="P540" i="5"/>
  <c r="P114" i="5"/>
  <c r="P469" i="5"/>
  <c r="P317" i="5"/>
  <c r="P131" i="5"/>
  <c r="P318" i="5"/>
  <c r="P173" i="5"/>
  <c r="P216" i="5"/>
  <c r="P140" i="5"/>
  <c r="P293" i="5"/>
  <c r="P152" i="5"/>
  <c r="P78" i="5"/>
  <c r="P147" i="5"/>
  <c r="P461" i="5"/>
  <c r="P198" i="5"/>
  <c r="P169" i="5"/>
  <c r="P273" i="5"/>
  <c r="P161" i="5"/>
  <c r="P174" i="5"/>
  <c r="P163" i="5"/>
  <c r="P257" i="5"/>
  <c r="P334" i="5"/>
  <c r="P228" i="5"/>
  <c r="P179" i="5"/>
  <c r="P206" i="5"/>
  <c r="P12" i="5"/>
  <c r="P336" i="5"/>
  <c r="P192" i="5"/>
  <c r="P312" i="5"/>
  <c r="P126" i="5"/>
  <c r="P460" i="5"/>
  <c r="P520" i="5"/>
  <c r="P71" i="5"/>
  <c r="P227" i="5"/>
  <c r="P484" i="5"/>
  <c r="P200" i="5"/>
  <c r="P24" i="5"/>
  <c r="P157" i="5"/>
  <c r="P94" i="5"/>
  <c r="P398" i="5"/>
  <c r="P261" i="5"/>
  <c r="P259" i="5"/>
  <c r="P557" i="5"/>
  <c r="P404" i="5"/>
  <c r="P439" i="5"/>
  <c r="P145" i="5"/>
  <c r="P371" i="5"/>
  <c r="P310" i="5"/>
  <c r="P111" i="5"/>
  <c r="P212" i="5"/>
  <c r="P546" i="5"/>
  <c r="P250" i="5"/>
  <c r="P224" i="5"/>
  <c r="P503" i="5"/>
  <c r="P456" i="5"/>
  <c r="P354" i="5"/>
  <c r="P142" i="5"/>
  <c r="P10" i="5"/>
  <c r="P283" i="5"/>
  <c r="P355" i="5"/>
  <c r="P135" i="5"/>
  <c r="P270" i="5"/>
  <c r="P356" i="5"/>
  <c r="P59" i="5"/>
  <c r="P423" i="5"/>
  <c r="P127" i="5"/>
  <c r="P244" i="5"/>
  <c r="P392" i="5"/>
  <c r="P313" i="5"/>
  <c r="P232" i="5"/>
  <c r="P413" i="5"/>
  <c r="P529" i="5"/>
  <c r="P50" i="5"/>
  <c r="P32" i="5"/>
  <c r="P280" i="5"/>
  <c r="P386" i="5"/>
  <c r="P330" i="5"/>
  <c r="P238" i="5"/>
  <c r="P193" i="5"/>
  <c r="P39" i="5"/>
  <c r="P58" i="5"/>
  <c r="P233" i="5"/>
  <c r="P75" i="5"/>
  <c r="P188" i="5"/>
  <c r="P363" i="5"/>
  <c r="P345" i="5"/>
  <c r="P92" i="5"/>
  <c r="P239" i="5"/>
  <c r="P459" i="5"/>
  <c r="P556" i="5"/>
  <c r="P454" i="5"/>
  <c r="P302" i="5"/>
  <c r="P534" i="5"/>
  <c r="P494" i="5"/>
  <c r="P133" i="5"/>
  <c r="P496" i="5"/>
  <c r="P311" i="5"/>
  <c r="P304" i="5"/>
  <c r="P315" i="5"/>
  <c r="P60" i="5"/>
  <c r="P382" i="5"/>
  <c r="P525" i="5"/>
  <c r="P527" i="5"/>
  <c r="P367" i="5"/>
  <c r="P96" i="5"/>
  <c r="P218" i="5"/>
  <c r="P170" i="5"/>
  <c r="P444" i="5"/>
  <c r="P344" i="5"/>
  <c r="P418" i="5"/>
  <c r="P167" i="5"/>
  <c r="P517" i="5"/>
  <c r="P455" i="5"/>
  <c r="P235" i="5"/>
  <c r="P249" i="5"/>
  <c r="P35" i="5"/>
  <c r="P9" i="5"/>
  <c r="P248" i="5"/>
  <c r="P129" i="5"/>
  <c r="AE95" i="4"/>
  <c r="AH95" i="4"/>
  <c r="AE46" i="4"/>
  <c r="AH46" i="4"/>
  <c r="AA46" i="4"/>
  <c r="Z46" i="4"/>
  <c r="AA50" i="4"/>
  <c r="AE50" i="4"/>
  <c r="AH50" i="4"/>
  <c r="Z50" i="4"/>
  <c r="AA48" i="4"/>
  <c r="AH48" i="4"/>
  <c r="AE48" i="4"/>
  <c r="Z48" i="4"/>
  <c r="AH53" i="4"/>
  <c r="AE53" i="4"/>
  <c r="AA53" i="4"/>
  <c r="Z53" i="4"/>
  <c r="AJ91" i="4"/>
  <c r="AE91" i="4"/>
  <c r="AA91" i="4"/>
  <c r="AH91" i="4"/>
  <c r="Z91" i="4"/>
  <c r="AH122" i="4"/>
  <c r="AE122" i="4"/>
  <c r="AH99" i="4"/>
  <c r="AA99" i="4"/>
  <c r="AE99" i="4"/>
  <c r="Z99" i="4"/>
  <c r="B185" i="2"/>
  <c r="B219" i="2"/>
  <c r="H64" i="1" s="1"/>
  <c r="AQ217" i="5"/>
  <c r="AR217" i="5"/>
  <c r="BI217" i="5"/>
  <c r="BI273" i="5"/>
  <c r="AR273" i="5"/>
  <c r="AQ273" i="5"/>
  <c r="AQ12" i="5"/>
  <c r="BI12" i="5"/>
  <c r="AR12" i="5"/>
  <c r="AQ344" i="5"/>
  <c r="BI344" i="5"/>
  <c r="AR344" i="5"/>
  <c r="AR556" i="5"/>
  <c r="BI556" i="5"/>
  <c r="AQ556" i="5"/>
  <c r="BI37" i="5"/>
  <c r="AQ276" i="5"/>
  <c r="AR276" i="5"/>
  <c r="BI276" i="5"/>
  <c r="AE7" i="5"/>
  <c r="BF7" i="5"/>
  <c r="AD7" i="5"/>
  <c r="B184" i="2" s="1"/>
  <c r="AE54" i="4"/>
  <c r="AH54" i="4"/>
  <c r="AH24" i="4"/>
  <c r="AE24" i="4"/>
  <c r="Z24" i="4"/>
  <c r="X24" i="4" s="1"/>
  <c r="AJ24" i="4" s="1"/>
  <c r="O11" i="5"/>
  <c r="Q408" i="5"/>
  <c r="Q53" i="5"/>
  <c r="Q154" i="5"/>
  <c r="Q150" i="5"/>
  <c r="Q287" i="5"/>
  <c r="Q385" i="5"/>
  <c r="Q464" i="5"/>
  <c r="Q459" i="5"/>
  <c r="Q418" i="5"/>
  <c r="Q424" i="5"/>
  <c r="Q402" i="5"/>
  <c r="Q495" i="5"/>
  <c r="Q177" i="5"/>
  <c r="Q404" i="5"/>
  <c r="Q45" i="5"/>
  <c r="Q504" i="5"/>
  <c r="Q392" i="5"/>
  <c r="Q325" i="5"/>
  <c r="Q292" i="5"/>
  <c r="Q416" i="5"/>
  <c r="Q471" i="5"/>
  <c r="Q339" i="5"/>
  <c r="Q131" i="5"/>
  <c r="Q400" i="5"/>
  <c r="Q48" i="5"/>
  <c r="Q79" i="5"/>
  <c r="Q488" i="5"/>
  <c r="Q69" i="5"/>
  <c r="Q421" i="5"/>
  <c r="Q455" i="5"/>
  <c r="Q233" i="5"/>
  <c r="Q137" i="5"/>
  <c r="Q366" i="5"/>
  <c r="Q214" i="5"/>
  <c r="Q281" i="5"/>
  <c r="Q168" i="5"/>
  <c r="Q143" i="5"/>
  <c r="Q285" i="5"/>
  <c r="Q442" i="5"/>
  <c r="B40" i="5"/>
  <c r="Q133" i="5"/>
  <c r="Q194" i="5"/>
  <c r="Q386" i="5"/>
  <c r="Q123" i="5"/>
  <c r="Q158" i="5"/>
  <c r="Q534" i="5"/>
  <c r="Q134" i="5"/>
  <c r="Q460" i="5"/>
  <c r="Q103" i="5"/>
  <c r="Q33" i="5"/>
  <c r="Q244" i="5"/>
  <c r="Q269" i="5"/>
  <c r="Q531" i="5"/>
  <c r="Q117" i="5"/>
  <c r="Q451" i="5"/>
  <c r="Q542" i="5"/>
  <c r="Q362" i="5"/>
  <c r="Q517" i="5"/>
  <c r="Q452" i="5"/>
  <c r="Q111" i="5"/>
  <c r="Q540" i="5"/>
  <c r="Q173" i="5"/>
  <c r="Q363" i="5"/>
  <c r="Q350" i="5"/>
  <c r="Q55" i="5"/>
  <c r="Q286" i="5"/>
  <c r="Q81" i="5"/>
  <c r="Q529" i="5"/>
  <c r="Q119" i="5"/>
  <c r="Q317" i="5"/>
  <c r="Q156" i="5"/>
  <c r="Q389" i="5"/>
  <c r="Q274" i="5"/>
  <c r="Q458" i="5"/>
  <c r="Q466" i="5"/>
  <c r="Q72" i="5"/>
  <c r="Q465" i="5"/>
  <c r="Q89" i="5"/>
  <c r="Q12" i="5"/>
  <c r="Q461" i="5"/>
  <c r="Q144" i="5"/>
  <c r="Q70" i="5"/>
  <c r="Q113" i="5"/>
  <c r="Q434" i="5"/>
  <c r="Q503" i="5"/>
  <c r="Q322" i="5"/>
  <c r="Q390" i="5"/>
  <c r="Q66" i="5"/>
  <c r="Q124" i="5"/>
  <c r="Q547" i="5"/>
  <c r="Q24" i="5"/>
  <c r="Q412" i="5"/>
  <c r="Q361" i="5"/>
  <c r="Q161" i="5"/>
  <c r="Q283" i="5"/>
  <c r="Q506" i="5"/>
  <c r="Q146" i="5"/>
  <c r="Q217" i="5"/>
  <c r="Q246" i="5"/>
  <c r="Q187" i="5"/>
  <c r="Q108" i="5"/>
  <c r="Q513" i="5"/>
  <c r="Q238" i="5"/>
  <c r="Q204" i="5"/>
  <c r="Q97" i="5"/>
  <c r="Q96" i="5"/>
  <c r="Q273" i="5"/>
  <c r="Q149" i="5"/>
  <c r="Q104" i="5"/>
  <c r="Q272" i="5"/>
  <c r="Q212" i="5"/>
  <c r="Q393" i="5"/>
  <c r="Q52" i="5"/>
  <c r="Q215" i="5"/>
  <c r="Q301" i="5"/>
  <c r="Q346" i="5"/>
  <c r="Q224" i="5"/>
  <c r="Q327" i="5"/>
  <c r="Q99" i="5"/>
  <c r="Q296" i="5"/>
  <c r="Q388" i="5"/>
  <c r="Q321" i="5"/>
  <c r="Q356" i="5"/>
  <c r="Q535" i="5"/>
  <c r="Q23" i="5"/>
  <c r="Q62" i="5"/>
  <c r="Q110" i="5"/>
  <c r="Q315" i="5"/>
  <c r="Q448" i="5"/>
  <c r="Q132" i="5"/>
  <c r="Q39" i="5"/>
  <c r="Q82" i="5"/>
  <c r="Q328" i="5"/>
  <c r="Q336" i="5"/>
  <c r="Q359" i="5"/>
  <c r="Q19" i="5"/>
  <c r="Q348" i="5"/>
  <c r="Q207" i="5"/>
  <c r="Q538" i="5"/>
  <c r="Q197" i="5"/>
  <c r="Q184" i="5"/>
  <c r="Q463" i="5"/>
  <c r="Q333" i="5"/>
  <c r="Q349" i="5"/>
  <c r="Q58" i="5"/>
  <c r="Q326" i="5"/>
  <c r="Q530" i="5"/>
  <c r="Q172" i="5"/>
  <c r="Q26" i="5"/>
  <c r="Q293" i="5"/>
  <c r="Q266" i="5"/>
  <c r="Q320" i="5"/>
  <c r="Q304" i="5"/>
  <c r="Q518" i="5"/>
  <c r="Q29" i="5"/>
  <c r="Q163" i="5"/>
  <c r="Q211" i="5"/>
  <c r="Q438" i="5"/>
  <c r="Q515" i="5"/>
  <c r="Q261" i="5"/>
  <c r="Q27" i="5"/>
  <c r="Q382" i="5"/>
  <c r="Q505" i="5"/>
  <c r="Q248" i="5"/>
  <c r="Q409" i="5"/>
  <c r="Q114" i="5"/>
  <c r="Q64" i="5"/>
  <c r="Q74" i="5"/>
  <c r="Q484" i="5"/>
  <c r="Q543" i="5"/>
  <c r="Q351" i="5"/>
  <c r="Q473" i="5"/>
  <c r="Q199" i="5"/>
  <c r="Q428" i="5"/>
  <c r="Q279" i="5"/>
  <c r="Q427" i="5"/>
  <c r="Q73" i="5"/>
  <c r="Q387" i="5"/>
  <c r="Q480" i="5"/>
  <c r="Q414" i="5"/>
  <c r="Q501" i="5"/>
  <c r="Q541" i="5"/>
  <c r="Q157" i="5"/>
  <c r="Q467" i="5"/>
  <c r="Q213" i="5"/>
  <c r="Q8" i="5"/>
  <c r="Q396" i="5"/>
  <c r="Q140" i="5"/>
  <c r="Q411" i="5"/>
  <c r="Q78" i="5"/>
  <c r="Q46" i="5"/>
  <c r="Q552" i="5"/>
  <c r="Q477" i="5"/>
  <c r="Q344" i="5"/>
  <c r="Q61" i="5"/>
  <c r="Q370" i="5"/>
  <c r="Q528" i="5"/>
  <c r="Q288" i="5"/>
  <c r="Q202" i="5"/>
  <c r="Q164" i="5"/>
  <c r="Q250" i="5"/>
  <c r="Q300" i="5"/>
  <c r="Q334" i="5"/>
  <c r="Q228" i="5"/>
  <c r="Q364" i="5"/>
  <c r="Q219" i="5"/>
  <c r="Q309" i="5"/>
  <c r="Q200" i="5"/>
  <c r="Q38" i="5"/>
  <c r="Q28" i="5"/>
  <c r="Q44" i="5"/>
  <c r="Q379" i="5"/>
  <c r="Q377" i="5"/>
  <c r="Q499" i="5"/>
  <c r="Q453" i="5"/>
  <c r="Q446" i="5"/>
  <c r="Q329" i="5"/>
  <c r="Q88" i="5"/>
  <c r="Q40" i="5"/>
  <c r="Q553" i="5"/>
  <c r="Q399" i="5"/>
  <c r="Q263" i="5"/>
  <c r="Q368" i="5"/>
  <c r="Q429" i="5"/>
  <c r="Q456" i="5"/>
  <c r="Q185" i="5"/>
  <c r="Q278" i="5"/>
  <c r="Q431" i="5"/>
  <c r="Q130" i="5"/>
  <c r="Q159" i="5"/>
  <c r="Q496" i="5"/>
  <c r="Q494" i="5"/>
  <c r="Q338" i="5"/>
  <c r="Q291" i="5"/>
  <c r="Q155" i="5"/>
  <c r="Q106" i="5"/>
  <c r="Q492" i="5"/>
  <c r="Q176" i="5"/>
  <c r="Q384" i="5"/>
  <c r="Q433" i="5"/>
  <c r="Q472" i="5"/>
  <c r="Q347" i="5"/>
  <c r="Q255" i="5"/>
  <c r="Q230" i="5"/>
  <c r="Q243" i="5"/>
  <c r="Q332" i="5"/>
  <c r="Q95" i="5"/>
  <c r="Q31" i="5"/>
  <c r="Q251" i="5"/>
  <c r="Q167" i="5"/>
  <c r="Q372" i="5"/>
  <c r="Q171" i="5"/>
  <c r="Q175" i="5"/>
  <c r="Q277" i="5"/>
  <c r="Q479" i="5"/>
  <c r="Q239" i="5"/>
  <c r="Q440" i="5"/>
  <c r="Q397" i="5"/>
  <c r="Q549" i="5"/>
  <c r="Q258" i="5"/>
  <c r="Q422" i="5"/>
  <c r="Q236" i="5"/>
  <c r="Q229" i="5"/>
  <c r="Q189" i="5"/>
  <c r="Q548" i="5"/>
  <c r="Q136" i="5"/>
  <c r="Q474" i="5"/>
  <c r="Q312" i="5"/>
  <c r="Q10" i="5"/>
  <c r="Q554" i="5"/>
  <c r="Q523" i="5"/>
  <c r="Q525" i="5"/>
  <c r="Q51" i="5"/>
  <c r="Q470" i="5"/>
  <c r="Q483" i="5"/>
  <c r="Q437" i="5"/>
  <c r="Q352" i="5"/>
  <c r="Q245" i="5"/>
  <c r="Q75" i="5"/>
  <c r="Q100" i="5"/>
  <c r="Q498" i="5"/>
  <c r="Q275" i="5"/>
  <c r="Q371" i="5"/>
  <c r="Q307" i="5"/>
  <c r="Q305" i="5"/>
  <c r="Q524" i="5"/>
  <c r="Q330" i="5"/>
  <c r="Q160" i="5"/>
  <c r="Q545" i="5"/>
  <c r="Q139" i="5"/>
  <c r="Q345" i="5"/>
  <c r="Q262" i="5"/>
  <c r="Q101" i="5"/>
  <c r="Q43" i="5"/>
  <c r="Q558" i="5"/>
  <c r="Q198" i="5"/>
  <c r="Q166" i="5"/>
  <c r="Q208" i="5"/>
  <c r="Q247" i="5"/>
  <c r="Q358" i="5"/>
  <c r="Q254" i="5"/>
  <c r="Q365" i="5"/>
  <c r="Q487" i="5"/>
  <c r="Q77" i="5"/>
  <c r="Q314" i="5"/>
  <c r="Q92" i="5"/>
  <c r="Q290" i="5"/>
  <c r="Q403" i="5"/>
  <c r="Q308" i="5"/>
  <c r="Q54" i="5"/>
  <c r="Q374" i="5"/>
  <c r="Q511" i="5"/>
  <c r="Q417" i="5"/>
  <c r="Q485" i="5"/>
  <c r="Q341" i="5"/>
  <c r="Q84" i="5"/>
  <c r="Q32" i="5"/>
  <c r="Q449" i="5"/>
  <c r="Q115" i="5"/>
  <c r="Q216" i="5"/>
  <c r="Q220" i="5"/>
  <c r="Q551" i="5"/>
  <c r="Q445" i="5"/>
  <c r="Q153" i="5"/>
  <c r="Q192" i="5"/>
  <c r="Q30" i="5"/>
  <c r="Q76" i="5"/>
  <c r="Q297" i="5"/>
  <c r="Q122" i="5"/>
  <c r="Q284" i="5"/>
  <c r="Q482" i="5"/>
  <c r="Q469" i="5"/>
  <c r="Q354" i="5"/>
  <c r="Q170" i="5"/>
  <c r="Q174" i="5"/>
  <c r="Q380" i="5"/>
  <c r="Q430" i="5"/>
  <c r="Q294" i="5"/>
  <c r="Q475" i="5"/>
  <c r="Q340" i="5"/>
  <c r="Q410" i="5"/>
  <c r="Q165" i="5"/>
  <c r="Q426" i="5"/>
  <c r="Q491" i="5"/>
  <c r="Q241" i="5"/>
  <c r="Q186" i="5"/>
  <c r="Q468" i="5"/>
  <c r="Q205" i="5"/>
  <c r="Q502" i="5"/>
  <c r="Q436" i="5"/>
  <c r="Q337" i="5"/>
  <c r="Q196" i="5"/>
  <c r="Q260" i="5"/>
  <c r="Q42" i="5"/>
  <c r="Q276" i="5"/>
  <c r="Q83" i="5"/>
  <c r="Q87" i="5"/>
  <c r="Q405" i="5"/>
  <c r="Q268" i="5"/>
  <c r="Q519" i="5"/>
  <c r="Q478" i="5"/>
  <c r="Q407" i="5"/>
  <c r="Q532" i="5"/>
  <c r="Q49" i="5"/>
  <c r="Q86" i="5"/>
  <c r="Q526" i="5"/>
  <c r="Q450" i="5"/>
  <c r="Q270" i="5"/>
  <c r="Q310" i="5"/>
  <c r="Q360" i="5"/>
  <c r="Q490" i="5"/>
  <c r="Q406" i="5"/>
  <c r="Q316" i="5"/>
  <c r="Q447" i="5"/>
  <c r="Q521" i="5"/>
  <c r="Q41" i="5"/>
  <c r="Q353" i="5"/>
  <c r="Q90" i="5"/>
  <c r="Q313" i="5"/>
  <c r="Q420" i="5"/>
  <c r="Q493" i="5"/>
  <c r="Q148" i="5"/>
  <c r="Q152" i="5"/>
  <c r="Q162" i="5"/>
  <c r="Q112" i="5"/>
  <c r="Q395" i="5"/>
  <c r="Q127" i="5"/>
  <c r="Q232" i="5"/>
  <c r="Q94" i="5"/>
  <c r="Q439" i="5"/>
  <c r="Q271" i="5"/>
  <c r="Q147" i="5"/>
  <c r="Q226" i="5"/>
  <c r="Q227" i="5"/>
  <c r="Q355" i="5"/>
  <c r="Q203" i="5"/>
  <c r="Q235" i="5"/>
  <c r="Q221" i="5"/>
  <c r="Q510" i="5"/>
  <c r="Q59" i="5"/>
  <c r="Q383" i="5"/>
  <c r="Q481" i="5"/>
  <c r="Q22" i="5"/>
  <c r="Q546" i="5"/>
  <c r="Q67" i="5"/>
  <c r="Q457" i="5"/>
  <c r="Q280" i="5"/>
  <c r="Q556" i="5"/>
  <c r="Q188" i="5"/>
  <c r="Q516" i="5"/>
  <c r="Q335" i="5"/>
  <c r="Q85" i="5"/>
  <c r="Q252" i="5"/>
  <c r="Q169" i="5"/>
  <c r="Q145" i="5"/>
  <c r="Q126" i="5"/>
  <c r="Q50" i="5"/>
  <c r="Q142" i="5"/>
  <c r="Q560" i="5"/>
  <c r="Q178" i="5"/>
  <c r="Q376" i="5"/>
  <c r="Q295" i="5"/>
  <c r="Q544" i="5"/>
  <c r="Q195" i="5"/>
  <c r="Q539" i="5"/>
  <c r="Q193" i="5"/>
  <c r="Q425" i="5"/>
  <c r="Q486" i="5"/>
  <c r="Q218" i="5"/>
  <c r="Q319" i="5"/>
  <c r="Q98" i="5"/>
  <c r="Q20" i="5"/>
  <c r="Q342" i="5"/>
  <c r="Q500" i="5"/>
  <c r="Q21" i="5"/>
  <c r="Q259" i="5"/>
  <c r="Q231" i="5"/>
  <c r="Q537" i="5"/>
  <c r="Q559" i="5"/>
  <c r="Q289" i="5"/>
  <c r="Q391" i="5"/>
  <c r="Q190" i="5"/>
  <c r="Q138" i="5"/>
  <c r="Q444" i="5"/>
  <c r="Q206" i="5"/>
  <c r="Q225" i="5"/>
  <c r="Q398" i="5"/>
  <c r="Q508" i="5"/>
  <c r="Q306" i="5"/>
  <c r="Q514" i="5"/>
  <c r="Q181" i="5"/>
  <c r="Q324" i="5"/>
  <c r="Q462" i="5"/>
  <c r="Q68" i="5"/>
  <c r="Q413" i="5"/>
  <c r="Q489" i="5"/>
  <c r="Q476" i="5"/>
  <c r="Q415" i="5"/>
  <c r="Q57" i="5"/>
  <c r="Q536" i="5"/>
  <c r="Q65" i="5"/>
  <c r="Q441" i="5"/>
  <c r="Q234" i="5"/>
  <c r="Q401" i="5"/>
  <c r="Q120" i="5"/>
  <c r="Q201" i="5"/>
  <c r="Q507" i="5"/>
  <c r="Q37" i="5"/>
  <c r="Q71" i="5"/>
  <c r="Q209" i="5"/>
  <c r="Q520" i="5"/>
  <c r="Q343" i="5"/>
  <c r="Q249" i="5"/>
  <c r="Q435" i="5"/>
  <c r="Q299" i="5"/>
  <c r="Q533" i="5"/>
  <c r="Q116" i="5"/>
  <c r="Q357" i="5"/>
  <c r="Q102" i="5"/>
  <c r="Q419" i="5"/>
  <c r="Q180" i="5"/>
  <c r="Q512" i="5"/>
  <c r="Q47" i="5"/>
  <c r="Q253" i="5"/>
  <c r="Q60" i="5"/>
  <c r="Q105" i="5"/>
  <c r="Q36" i="5"/>
  <c r="Q128" i="5"/>
  <c r="Q527" i="5"/>
  <c r="Q557" i="5"/>
  <c r="Q25" i="5"/>
  <c r="Q125" i="5"/>
  <c r="Q93" i="5"/>
  <c r="Q267" i="5"/>
  <c r="Q121" i="5"/>
  <c r="Q223" i="5"/>
  <c r="Q237" i="5"/>
  <c r="Q331" i="5"/>
  <c r="Q80" i="5"/>
  <c r="Q378" i="5"/>
  <c r="Q91" i="5"/>
  <c r="Q394" i="5"/>
  <c r="Q141" i="5"/>
  <c r="Q257" i="5"/>
  <c r="Q191" i="5"/>
  <c r="Q555" i="5"/>
  <c r="Q56" i="5"/>
  <c r="Q454" i="5"/>
  <c r="Q497" i="5"/>
  <c r="Q182" i="5"/>
  <c r="Q109" i="5"/>
  <c r="Q34" i="5"/>
  <c r="Q298" i="5"/>
  <c r="Q256" i="5"/>
  <c r="Q373" i="5"/>
  <c r="Q240" i="5"/>
  <c r="Q509" i="5"/>
  <c r="Q423" i="5"/>
  <c r="Q369" i="5"/>
  <c r="Q107" i="5"/>
  <c r="Q210" i="5"/>
  <c r="Q118" i="5"/>
  <c r="Q323" i="5"/>
  <c r="Q222" i="5"/>
  <c r="Q443" i="5"/>
  <c r="Q367" i="5"/>
  <c r="Q265" i="5"/>
  <c r="Q129" i="5"/>
  <c r="Q303" i="5"/>
  <c r="Q242" i="5"/>
  <c r="Q264" i="5"/>
  <c r="Q151" i="5"/>
  <c r="Q318" i="5"/>
  <c r="Q302" i="5"/>
  <c r="Q375" i="5"/>
  <c r="Q381" i="5"/>
  <c r="Q522" i="5"/>
  <c r="Q13" i="5"/>
  <c r="Q550" i="5"/>
  <c r="Q432" i="5"/>
  <c r="Q282" i="5"/>
  <c r="Q183" i="5"/>
  <c r="Q35" i="5"/>
  <c r="Q135" i="5"/>
  <c r="Q63" i="5"/>
  <c r="Q311" i="5"/>
  <c r="Q179" i="5"/>
  <c r="Q9" i="5"/>
  <c r="AQ376" i="5"/>
  <c r="AR376" i="5"/>
  <c r="BI376" i="5"/>
  <c r="AQ300" i="5"/>
  <c r="AR300" i="5"/>
  <c r="BI300" i="5"/>
  <c r="AQ382" i="5"/>
  <c r="BI382" i="5"/>
  <c r="AR382" i="5"/>
  <c r="BI432" i="5"/>
  <c r="BI113" i="5"/>
  <c r="AR113" i="5"/>
  <c r="AQ113" i="5"/>
  <c r="AQ49" i="5"/>
  <c r="BI49" i="5"/>
  <c r="AR49" i="5"/>
  <c r="AQ228" i="5"/>
  <c r="AR228" i="5"/>
  <c r="BI228" i="5"/>
  <c r="AR264" i="5"/>
  <c r="BI264" i="5"/>
  <c r="AQ264" i="5"/>
  <c r="AR225" i="5"/>
  <c r="BI225" i="5"/>
  <c r="AQ225" i="5"/>
  <c r="AQ358" i="5"/>
  <c r="AR358" i="5"/>
  <c r="BI358" i="5"/>
  <c r="AR378" i="5"/>
  <c r="AQ378" i="5"/>
  <c r="BI378" i="5"/>
  <c r="AP84" i="5"/>
  <c r="AQ514" i="5"/>
  <c r="AR514" i="5"/>
  <c r="BI514" i="5"/>
  <c r="BI407" i="5"/>
  <c r="AR407" i="5"/>
  <c r="AQ407" i="5"/>
  <c r="AR293" i="5"/>
  <c r="BI293" i="5"/>
  <c r="AQ293" i="5"/>
  <c r="AP386" i="5"/>
  <c r="AQ25" i="5"/>
  <c r="BI25" i="5"/>
  <c r="AR25" i="5"/>
  <c r="BI81" i="5"/>
  <c r="AR81" i="5"/>
  <c r="AQ81" i="5"/>
  <c r="AQ508" i="5"/>
  <c r="AR508" i="5"/>
  <c r="BI508" i="5"/>
  <c r="AR373" i="5"/>
  <c r="AR468" i="5"/>
  <c r="BI468" i="5"/>
  <c r="AQ468" i="5"/>
  <c r="AR44" i="5"/>
  <c r="AQ44" i="5"/>
  <c r="BI44" i="5"/>
  <c r="AQ466" i="5"/>
  <c r="BI466" i="5"/>
  <c r="AR466" i="5"/>
  <c r="AR418" i="5"/>
  <c r="BI418" i="5"/>
  <c r="AQ418" i="5"/>
  <c r="AP219" i="5"/>
  <c r="AR306" i="5"/>
  <c r="AQ306" i="5"/>
  <c r="BI306" i="5"/>
  <c r="AQ157" i="5"/>
  <c r="AR157" i="5"/>
  <c r="BI157" i="5"/>
  <c r="AR383" i="5"/>
  <c r="BI456" i="5"/>
  <c r="AQ456" i="5"/>
  <c r="AR456" i="5"/>
  <c r="AQ130" i="5"/>
  <c r="AR130" i="5"/>
  <c r="BI130" i="5"/>
  <c r="AQ259" i="5"/>
  <c r="BI259" i="5"/>
  <c r="AR259" i="5"/>
  <c r="BI406" i="5"/>
  <c r="AQ406" i="5"/>
  <c r="AR406" i="5"/>
  <c r="BI137" i="5"/>
  <c r="AR137" i="5"/>
  <c r="AQ137" i="5"/>
  <c r="AP485" i="5"/>
  <c r="AQ67" i="5"/>
  <c r="BI67" i="5"/>
  <c r="AR67" i="5"/>
  <c r="AR410" i="5"/>
  <c r="BI410" i="5"/>
  <c r="AQ410" i="5"/>
  <c r="BI47" i="5"/>
  <c r="AQ47" i="5"/>
  <c r="AR47" i="5"/>
  <c r="AR442" i="5"/>
  <c r="AQ442" i="5"/>
  <c r="BI442" i="5"/>
  <c r="AR464" i="5"/>
  <c r="AQ464" i="5"/>
  <c r="BI464" i="5"/>
  <c r="AQ502" i="5"/>
  <c r="BI338" i="5"/>
  <c r="AQ338" i="5"/>
  <c r="AR338" i="5"/>
  <c r="BI220" i="5"/>
  <c r="AR220" i="5"/>
  <c r="AQ220" i="5"/>
  <c r="AR409" i="5"/>
  <c r="BI409" i="5"/>
  <c r="AQ409" i="5"/>
  <c r="AR457" i="5"/>
  <c r="BI457" i="5"/>
  <c r="AQ457" i="5"/>
  <c r="BI103" i="5"/>
  <c r="AQ103" i="5"/>
  <c r="AR103" i="5"/>
  <c r="AQ367" i="5"/>
  <c r="BI367" i="5"/>
  <c r="AR367" i="5"/>
  <c r="AQ204" i="5"/>
  <c r="AQ369" i="5"/>
  <c r="BI369" i="5"/>
  <c r="AR369" i="5"/>
  <c r="AR294" i="5"/>
  <c r="AQ294" i="5"/>
  <c r="BI294" i="5"/>
  <c r="AQ191" i="5"/>
  <c r="BI191" i="5"/>
  <c r="AR191" i="5"/>
  <c r="AR70" i="5"/>
  <c r="AQ70" i="5"/>
  <c r="BI70" i="5"/>
  <c r="AP151" i="5"/>
  <c r="AR348" i="5"/>
  <c r="BI126" i="5"/>
  <c r="AR404" i="5"/>
  <c r="BI447" i="5"/>
  <c r="BI417" i="5"/>
  <c r="AQ417" i="5"/>
  <c r="AR417" i="5"/>
  <c r="AR187" i="5"/>
  <c r="BI207" i="5"/>
  <c r="AQ207" i="5"/>
  <c r="AR207" i="5"/>
  <c r="AQ374" i="5"/>
  <c r="BI374" i="5"/>
  <c r="AR374" i="5"/>
  <c r="AQ166" i="5"/>
  <c r="AR166" i="5"/>
  <c r="BI166" i="5"/>
  <c r="AP73" i="5"/>
  <c r="BI46" i="5"/>
  <c r="AQ46" i="5"/>
  <c r="AR46" i="5"/>
  <c r="AQ190" i="5"/>
  <c r="AR190" i="5"/>
  <c r="BI190" i="5"/>
  <c r="AP372" i="5"/>
  <c r="AR36" i="5"/>
  <c r="BI36" i="5"/>
  <c r="AQ36" i="5"/>
  <c r="AQ480" i="5"/>
  <c r="BI480" i="5"/>
  <c r="AR480" i="5"/>
  <c r="AQ242" i="5"/>
  <c r="AR242" i="5"/>
  <c r="BI242" i="5"/>
  <c r="AR477" i="5"/>
  <c r="AE108" i="4"/>
  <c r="AH108" i="4"/>
  <c r="AQ375" i="5"/>
  <c r="BI375" i="5"/>
  <c r="AR375" i="5"/>
  <c r="BI193" i="5"/>
  <c r="AR498" i="5"/>
  <c r="AQ498" i="5"/>
  <c r="BI498" i="5"/>
  <c r="AQ560" i="5"/>
  <c r="AR560" i="5"/>
  <c r="BI560" i="5"/>
  <c r="AR253" i="5"/>
  <c r="AQ253" i="5"/>
  <c r="BI253" i="5"/>
  <c r="AQ431" i="5"/>
  <c r="AR431" i="5"/>
  <c r="BI431" i="5"/>
  <c r="AR345" i="5"/>
  <c r="BI345" i="5"/>
  <c r="AQ345" i="5"/>
  <c r="AR150" i="5"/>
  <c r="BI150" i="5"/>
  <c r="AQ150" i="5"/>
  <c r="BI309" i="5"/>
  <c r="AQ309" i="5"/>
  <c r="AR309" i="5"/>
  <c r="AR39" i="5"/>
  <c r="BI39" i="5"/>
  <c r="AQ39" i="5"/>
  <c r="AE150" i="4"/>
  <c r="AH150" i="4"/>
  <c r="Z150" i="4"/>
  <c r="AA150" i="4"/>
  <c r="AE57" i="4"/>
  <c r="AH57" i="4"/>
  <c r="AJ70" i="4"/>
  <c r="AA70" i="4"/>
  <c r="Z70" i="4"/>
  <c r="AE70" i="4"/>
  <c r="AH70" i="4"/>
  <c r="Z148" i="4"/>
  <c r="AH148" i="4"/>
  <c r="AE148" i="4"/>
  <c r="AA84" i="4"/>
  <c r="AH84" i="4"/>
  <c r="AE84" i="4"/>
  <c r="Z84" i="4"/>
  <c r="AH144" i="4"/>
  <c r="AE144" i="4"/>
  <c r="AE128" i="4"/>
  <c r="AH128" i="4"/>
  <c r="AH106" i="4"/>
  <c r="AE106" i="4"/>
  <c r="AE88" i="4"/>
  <c r="AA88" i="4"/>
  <c r="Z88" i="4"/>
  <c r="AH88" i="4"/>
  <c r="AH140" i="4"/>
  <c r="AJ140" i="4"/>
  <c r="AE140" i="4"/>
  <c r="AH20" i="4"/>
  <c r="Z20" i="4"/>
  <c r="X20" i="4" s="1"/>
  <c r="AJ20" i="4" s="1"/>
  <c r="AE20" i="4"/>
  <c r="AE135" i="4"/>
  <c r="AH135" i="4"/>
  <c r="AH55" i="4"/>
  <c r="AE55" i="4"/>
  <c r="AE105" i="4"/>
  <c r="AH105" i="4"/>
  <c r="AE130" i="4"/>
  <c r="AH130" i="4"/>
  <c r="AE43" i="4"/>
  <c r="AA43" i="4"/>
  <c r="AH43" i="4"/>
  <c r="Z43" i="4"/>
  <c r="AA119" i="4"/>
  <c r="AH119" i="4"/>
  <c r="Z119" i="4"/>
  <c r="AE119" i="4"/>
  <c r="AH39" i="4"/>
  <c r="AE39" i="4"/>
  <c r="Z39" i="4"/>
  <c r="AA39" i="4"/>
  <c r="AH102" i="4"/>
  <c r="AJ102" i="4"/>
  <c r="AE102" i="4"/>
  <c r="AE56" i="4"/>
  <c r="AH56" i="4"/>
  <c r="Z68" i="4"/>
  <c r="AH68" i="4"/>
  <c r="AE68" i="4"/>
  <c r="AA68" i="4"/>
  <c r="AE37" i="4"/>
  <c r="AH37" i="4"/>
  <c r="AA37" i="4"/>
  <c r="Z37" i="4"/>
  <c r="AA41" i="4"/>
  <c r="AH41" i="4"/>
  <c r="AE41" i="4"/>
  <c r="Z41" i="4"/>
  <c r="AE34" i="4"/>
  <c r="AH34" i="4"/>
  <c r="Z34" i="4"/>
  <c r="X34" i="4" s="1"/>
  <c r="AH113" i="4"/>
  <c r="AE113" i="4"/>
  <c r="AE109" i="4"/>
  <c r="AH109" i="4"/>
  <c r="AH136" i="4"/>
  <c r="AE136" i="4"/>
  <c r="AE129" i="4"/>
  <c r="AH129" i="4"/>
  <c r="AE98" i="4"/>
  <c r="AH98" i="4"/>
  <c r="AH64" i="4"/>
  <c r="AE64" i="4"/>
  <c r="AA64" i="4"/>
  <c r="Z64" i="4"/>
  <c r="AE146" i="4"/>
  <c r="AJ146" i="4"/>
  <c r="Z146" i="4"/>
  <c r="AA146" i="4"/>
  <c r="AH146" i="4"/>
  <c r="AE85" i="4"/>
  <c r="AH85" i="4"/>
  <c r="AR487" i="5"/>
  <c r="AQ487" i="5"/>
  <c r="BI487" i="5"/>
  <c r="AQ202" i="5"/>
  <c r="BI202" i="5"/>
  <c r="AR202" i="5"/>
  <c r="AR324" i="5"/>
  <c r="AR21" i="5"/>
  <c r="AQ21" i="5"/>
  <c r="BI21" i="5"/>
  <c r="AR493" i="5"/>
  <c r="BI493" i="5"/>
  <c r="AR285" i="5"/>
  <c r="BI285" i="5"/>
  <c r="AQ285" i="5"/>
  <c r="BI559" i="5"/>
  <c r="AQ559" i="5"/>
  <c r="AR559" i="5"/>
  <c r="AR379" i="5"/>
  <c r="BI379" i="5"/>
  <c r="AQ379" i="5"/>
  <c r="AR144" i="5"/>
  <c r="AQ144" i="5"/>
  <c r="BI144" i="5"/>
  <c r="BI482" i="5"/>
  <c r="AQ482" i="5"/>
  <c r="AR482" i="5"/>
  <c r="BI509" i="5"/>
  <c r="AQ509" i="5"/>
  <c r="AR509" i="5"/>
  <c r="AR355" i="5"/>
  <c r="AR35" i="5"/>
  <c r="AQ35" i="5"/>
  <c r="BI35" i="5"/>
  <c r="AQ518" i="5"/>
  <c r="BI518" i="5"/>
  <c r="AR518" i="5"/>
  <c r="AR238" i="5"/>
  <c r="AQ238" i="5"/>
  <c r="BI238" i="5"/>
  <c r="AQ192" i="5"/>
  <c r="BI192" i="5"/>
  <c r="AR192" i="5"/>
  <c r="AQ74" i="5"/>
  <c r="AR74" i="5"/>
  <c r="BI74" i="5"/>
  <c r="BI541" i="5"/>
  <c r="AQ541" i="5"/>
  <c r="AR541" i="5"/>
  <c r="AR224" i="5"/>
  <c r="AQ224" i="5"/>
  <c r="BI224" i="5"/>
  <c r="AQ298" i="5"/>
  <c r="AR298" i="5"/>
  <c r="BI298" i="5"/>
  <c r="AR270" i="5"/>
  <c r="BI270" i="5"/>
  <c r="AQ270" i="5"/>
  <c r="AR552" i="5"/>
  <c r="BI552" i="5"/>
  <c r="AQ552" i="5"/>
  <c r="AR413" i="5"/>
  <c r="AQ413" i="5"/>
  <c r="BI413" i="5"/>
  <c r="BI165" i="5"/>
  <c r="AR165" i="5"/>
  <c r="AQ165" i="5"/>
  <c r="AQ380" i="5"/>
  <c r="BI380" i="5"/>
  <c r="AR380" i="5"/>
  <c r="AR363" i="5"/>
  <c r="AQ363" i="5"/>
  <c r="BI363" i="5"/>
  <c r="AR484" i="5"/>
  <c r="AR521" i="5"/>
  <c r="BI521" i="5"/>
  <c r="AQ521" i="5"/>
  <c r="AQ75" i="5"/>
  <c r="AR75" i="5"/>
  <c r="BI75" i="5"/>
  <c r="AQ147" i="5"/>
  <c r="BI147" i="5"/>
  <c r="AR147" i="5"/>
  <c r="AQ398" i="5"/>
  <c r="AR398" i="5"/>
  <c r="BI398" i="5"/>
  <c r="AP186" i="5"/>
  <c r="BI271" i="5"/>
  <c r="AR271" i="5"/>
  <c r="AQ271" i="5"/>
  <c r="AQ50" i="5"/>
  <c r="AR53" i="5"/>
  <c r="BI53" i="5"/>
  <c r="AQ53" i="5"/>
  <c r="BI269" i="5"/>
  <c r="AP284" i="5"/>
  <c r="AP54" i="5"/>
  <c r="BI60" i="5"/>
  <c r="AQ553" i="5"/>
  <c r="BI553" i="5"/>
  <c r="AR553" i="5"/>
  <c r="AQ28" i="5"/>
  <c r="AR28" i="5"/>
  <c r="BI28" i="5"/>
  <c r="AP13" i="5"/>
  <c r="AQ239" i="5"/>
  <c r="AR239" i="5"/>
  <c r="BI239" i="5"/>
  <c r="AP209" i="5"/>
  <c r="AQ88" i="5"/>
  <c r="BI88" i="5"/>
  <c r="AR88" i="5"/>
  <c r="AQ51" i="5"/>
  <c r="BI223" i="5"/>
  <c r="AR223" i="5"/>
  <c r="AQ223" i="5"/>
  <c r="AP416" i="5"/>
  <c r="AR520" i="5"/>
  <c r="BI520" i="5"/>
  <c r="AQ520" i="5"/>
  <c r="AP462" i="5"/>
  <c r="AQ388" i="5"/>
  <c r="BI388" i="5"/>
  <c r="AR388" i="5"/>
  <c r="BI320" i="5"/>
  <c r="AR320" i="5"/>
  <c r="AQ320" i="5"/>
  <c r="AR503" i="5"/>
  <c r="AQ503" i="5"/>
  <c r="BI503" i="5"/>
  <c r="BI160" i="5"/>
  <c r="AQ160" i="5"/>
  <c r="AR160" i="5"/>
  <c r="BI549" i="5"/>
  <c r="AQ549" i="5"/>
  <c r="AR549" i="5"/>
  <c r="BI20" i="5"/>
  <c r="AR20" i="5"/>
  <c r="AQ20" i="5"/>
  <c r="BI474" i="5"/>
  <c r="AQ474" i="5"/>
  <c r="AR474" i="5"/>
  <c r="BI222" i="5"/>
  <c r="AP419" i="5"/>
  <c r="AP504" i="5"/>
  <c r="AQ434" i="5"/>
  <c r="BI434" i="5"/>
  <c r="AR434" i="5"/>
  <c r="BI429" i="5"/>
  <c r="AQ429" i="5"/>
  <c r="AR429" i="5"/>
  <c r="AQ216" i="5"/>
  <c r="BI216" i="5"/>
  <c r="AR216" i="5"/>
  <c r="BI558" i="5"/>
  <c r="AR558" i="5"/>
  <c r="AQ558" i="5"/>
  <c r="AR385" i="5"/>
  <c r="BI385" i="5"/>
  <c r="AQ385" i="5"/>
  <c r="AR526" i="5"/>
  <c r="BI526" i="5"/>
  <c r="AQ526" i="5"/>
  <c r="AR540" i="5"/>
  <c r="BI48" i="5"/>
  <c r="AQ48" i="5"/>
  <c r="AR48" i="5"/>
  <c r="AR123" i="5"/>
  <c r="AR279" i="5"/>
  <c r="BI279" i="5"/>
  <c r="AQ279" i="5"/>
  <c r="AR132" i="5"/>
  <c r="AQ132" i="5"/>
  <c r="BI132" i="5"/>
  <c r="BI361" i="5"/>
  <c r="AQ361" i="5"/>
  <c r="AR478" i="5"/>
  <c r="BI478" i="5"/>
  <c r="AQ478" i="5"/>
  <c r="BI555" i="5"/>
  <c r="AR555" i="5"/>
  <c r="AQ555" i="5"/>
  <c r="AR241" i="5"/>
  <c r="AQ241" i="5"/>
  <c r="BI241" i="5"/>
  <c r="BI506" i="5"/>
  <c r="AQ506" i="5"/>
  <c r="AR506" i="5"/>
  <c r="AQ401" i="5"/>
  <c r="BI401" i="5"/>
  <c r="AR401" i="5"/>
  <c r="AR443" i="5"/>
  <c r="BI467" i="5"/>
  <c r="AR467" i="5"/>
  <c r="AQ467" i="5"/>
  <c r="AR542" i="5"/>
  <c r="AQ542" i="5"/>
  <c r="BI542" i="5"/>
  <c r="AQ138" i="5"/>
  <c r="BI138" i="5"/>
  <c r="AR138" i="5"/>
  <c r="AQ310" i="5"/>
  <c r="AR415" i="5"/>
  <c r="AQ415" i="5"/>
  <c r="BI415" i="5"/>
  <c r="AQ255" i="5"/>
  <c r="AR255" i="5"/>
  <c r="BI255" i="5"/>
  <c r="BI89" i="5"/>
  <c r="BI243" i="5"/>
  <c r="BI112" i="5"/>
  <c r="AR112" i="5"/>
  <c r="AQ112" i="5"/>
  <c r="AR305" i="5"/>
  <c r="BI305" i="5"/>
  <c r="AQ305" i="5"/>
  <c r="BI55" i="5"/>
  <c r="AR55" i="5"/>
  <c r="AQ55" i="5"/>
  <c r="AR495" i="5"/>
  <c r="AQ495" i="5"/>
  <c r="BI495" i="5"/>
  <c r="AR281" i="5"/>
  <c r="AQ281" i="5"/>
  <c r="BI281" i="5"/>
  <c r="AP77" i="5"/>
  <c r="AR511" i="5"/>
  <c r="BI511" i="5"/>
  <c r="AQ511" i="5"/>
  <c r="BI517" i="5"/>
  <c r="AQ517" i="5"/>
  <c r="AR517" i="5"/>
  <c r="AR414" i="5"/>
  <c r="BI414" i="5"/>
  <c r="AQ414" i="5"/>
  <c r="BI499" i="5"/>
  <c r="AQ499" i="5"/>
  <c r="AR499" i="5"/>
  <c r="AR391" i="5"/>
  <c r="AQ391" i="5"/>
  <c r="BI391" i="5"/>
  <c r="AE117" i="4"/>
  <c r="AJ117" i="4"/>
  <c r="AH117" i="4"/>
  <c r="AE81" i="4"/>
  <c r="AH81" i="4"/>
  <c r="AO537" i="5"/>
  <c r="AN537" i="5"/>
  <c r="AO509" i="5"/>
  <c r="AN509" i="5"/>
  <c r="AN213" i="5"/>
  <c r="AO213" i="5"/>
  <c r="AN259" i="5"/>
  <c r="AO259" i="5"/>
  <c r="AN95" i="5"/>
  <c r="AO95" i="5"/>
  <c r="AO135" i="5"/>
  <c r="AN135" i="5"/>
  <c r="AO393" i="5"/>
  <c r="AN393" i="5"/>
  <c r="AN482" i="5"/>
  <c r="AO482" i="5"/>
  <c r="AN149" i="5"/>
  <c r="AO149" i="5"/>
  <c r="AN129" i="5"/>
  <c r="AO129" i="5"/>
  <c r="AO333" i="5"/>
  <c r="AN333" i="5"/>
  <c r="AO365" i="5"/>
  <c r="AN365" i="5"/>
  <c r="AO497" i="5"/>
  <c r="AN497" i="5"/>
  <c r="AN61" i="5"/>
  <c r="AO61" i="5"/>
  <c r="AO463" i="5"/>
  <c r="AN463" i="5"/>
  <c r="AO408" i="5"/>
  <c r="AN408" i="5"/>
  <c r="AN273" i="5"/>
  <c r="AO273" i="5"/>
  <c r="AO526" i="5"/>
  <c r="AN526" i="5"/>
  <c r="AN291" i="5"/>
  <c r="AO291" i="5"/>
  <c r="AN127" i="5"/>
  <c r="AO127" i="5"/>
  <c r="AO293" i="5"/>
  <c r="AN293" i="5"/>
  <c r="AN220" i="5"/>
  <c r="AO220" i="5"/>
  <c r="AO453" i="5"/>
  <c r="AN453" i="5"/>
  <c r="AN442" i="5"/>
  <c r="AO442" i="5"/>
  <c r="AN138" i="5"/>
  <c r="AO138" i="5"/>
  <c r="AO500" i="5"/>
  <c r="AN500" i="5"/>
  <c r="AO495" i="5"/>
  <c r="AN495" i="5"/>
  <c r="AN294" i="5"/>
  <c r="AO294" i="5"/>
  <c r="AO310" i="5"/>
  <c r="AN310" i="5"/>
  <c r="AO477" i="5"/>
  <c r="AN477" i="5"/>
  <c r="AO137" i="5"/>
  <c r="AN137" i="5"/>
  <c r="AO173" i="5"/>
  <c r="AN173" i="5"/>
  <c r="AO401" i="5"/>
  <c r="AN401" i="5"/>
  <c r="AO49" i="5"/>
  <c r="AN49" i="5"/>
  <c r="AN150" i="5"/>
  <c r="AO150" i="5"/>
  <c r="AO59" i="5"/>
  <c r="AN59" i="5"/>
  <c r="AO347" i="5"/>
  <c r="AN347" i="5"/>
  <c r="AN227" i="5"/>
  <c r="AO227" i="5"/>
  <c r="AN458" i="5"/>
  <c r="AO458" i="5"/>
  <c r="AN480" i="5"/>
  <c r="AO480" i="5"/>
  <c r="AN428" i="5"/>
  <c r="AO428" i="5"/>
  <c r="AN476" i="5"/>
  <c r="AO476" i="5"/>
  <c r="AN361" i="5"/>
  <c r="AO361" i="5"/>
  <c r="AN270" i="5"/>
  <c r="AO270" i="5"/>
  <c r="AN250" i="5"/>
  <c r="AO250" i="5"/>
  <c r="AN207" i="5"/>
  <c r="AO207" i="5"/>
  <c r="AN254" i="5"/>
  <c r="AO254" i="5"/>
  <c r="AO553" i="5"/>
  <c r="AN553" i="5"/>
  <c r="AN25" i="5"/>
  <c r="AO25" i="5"/>
  <c r="AN231" i="5"/>
  <c r="AO231" i="5"/>
  <c r="AO371" i="5"/>
  <c r="AN371" i="5"/>
  <c r="AO172" i="5"/>
  <c r="AN172" i="5"/>
  <c r="AN214" i="5"/>
  <c r="AO214" i="5"/>
  <c r="AO128" i="5"/>
  <c r="AN128" i="5"/>
  <c r="AN141" i="5"/>
  <c r="AO141" i="5"/>
  <c r="AN550" i="5"/>
  <c r="AO550" i="5"/>
  <c r="AN314" i="5"/>
  <c r="AO314" i="5"/>
  <c r="AN79" i="5"/>
  <c r="AO79" i="5"/>
  <c r="AO378" i="5"/>
  <c r="AN378" i="5"/>
  <c r="AO490" i="5"/>
  <c r="AN490" i="5"/>
  <c r="AO385" i="5"/>
  <c r="AN385" i="5"/>
  <c r="AO406" i="5"/>
  <c r="AN406" i="5"/>
  <c r="AN118" i="5"/>
  <c r="AO118" i="5"/>
  <c r="AO521" i="5"/>
  <c r="AN521" i="5"/>
  <c r="AO531" i="5"/>
  <c r="AN531" i="5"/>
  <c r="AO483" i="5"/>
  <c r="AN483" i="5"/>
  <c r="AO132" i="5"/>
  <c r="AN132" i="5"/>
  <c r="AO211" i="5"/>
  <c r="AN211" i="5"/>
  <c r="AN478" i="5"/>
  <c r="AO478" i="5"/>
  <c r="AO63" i="5"/>
  <c r="AN63" i="5"/>
  <c r="AN351" i="5"/>
  <c r="AO351" i="5"/>
  <c r="AN246" i="5"/>
  <c r="AO246" i="5"/>
  <c r="AN409" i="5"/>
  <c r="AO409" i="5"/>
  <c r="AO390" i="5"/>
  <c r="AN390" i="5"/>
  <c r="AO391" i="5"/>
  <c r="AN391" i="5"/>
  <c r="AO345" i="5"/>
  <c r="AN345" i="5"/>
  <c r="AN272" i="5"/>
  <c r="AO272" i="5"/>
  <c r="AO87" i="5"/>
  <c r="AN87" i="5"/>
  <c r="AN525" i="5"/>
  <c r="AO525" i="5"/>
  <c r="AO514" i="5"/>
  <c r="AN514" i="5"/>
  <c r="AO21" i="5"/>
  <c r="AN21" i="5"/>
  <c r="AO489" i="5"/>
  <c r="AN489" i="5"/>
  <c r="AO424" i="5"/>
  <c r="AN424" i="5"/>
  <c r="AN157" i="5"/>
  <c r="AO157" i="5"/>
  <c r="AN257" i="5"/>
  <c r="AO257" i="5"/>
  <c r="AO175" i="5"/>
  <c r="AN175" i="5"/>
  <c r="AO417" i="5"/>
  <c r="AN417" i="5"/>
  <c r="AH264" i="5"/>
  <c r="AI264" i="5"/>
  <c r="AI513" i="5"/>
  <c r="AH513" i="5"/>
  <c r="AI524" i="5"/>
  <c r="AH524" i="5"/>
  <c r="AI194" i="5"/>
  <c r="AH194" i="5"/>
  <c r="AI546" i="5"/>
  <c r="AH546" i="5"/>
  <c r="AI460" i="5"/>
  <c r="AH460" i="5"/>
  <c r="AH375" i="5"/>
  <c r="AI375" i="5"/>
  <c r="AH484" i="5"/>
  <c r="AI484" i="5"/>
  <c r="AH401" i="5"/>
  <c r="AI401" i="5"/>
  <c r="AI229" i="5"/>
  <c r="AH229" i="5"/>
  <c r="AH536" i="5"/>
  <c r="AI536" i="5"/>
  <c r="AI280" i="5"/>
  <c r="AH280" i="5"/>
  <c r="AH384" i="5"/>
  <c r="AI384" i="5"/>
  <c r="AH328" i="5"/>
  <c r="AI328" i="5"/>
  <c r="AI254" i="5"/>
  <c r="AH254" i="5"/>
  <c r="AI248" i="5"/>
  <c r="AH248" i="5"/>
  <c r="AH368" i="5"/>
  <c r="AI368" i="5"/>
  <c r="AI427" i="5"/>
  <c r="AH427" i="5"/>
  <c r="AH409" i="5"/>
  <c r="AI409" i="5"/>
  <c r="AH204" i="5"/>
  <c r="AI204" i="5"/>
  <c r="AI113" i="5"/>
  <c r="AH113" i="5"/>
  <c r="AH558" i="5"/>
  <c r="AI558" i="5"/>
  <c r="AI308" i="5"/>
  <c r="AH308" i="5"/>
  <c r="AI28" i="5"/>
  <c r="AH28" i="5"/>
  <c r="AI342" i="5"/>
  <c r="AH342" i="5"/>
  <c r="AI225" i="5"/>
  <c r="AH225" i="5"/>
  <c r="AI56" i="5"/>
  <c r="AH56" i="5"/>
  <c r="AI77" i="5"/>
  <c r="AH77" i="5"/>
  <c r="AI250" i="5"/>
  <c r="AH250" i="5"/>
  <c r="AH91" i="5"/>
  <c r="AI91" i="5"/>
  <c r="AH161" i="5"/>
  <c r="AI161" i="5"/>
  <c r="AH125" i="5"/>
  <c r="AI125" i="5"/>
  <c r="AH7" i="5"/>
  <c r="AI7" i="5"/>
  <c r="AI413" i="5"/>
  <c r="AH413" i="5"/>
  <c r="AH356" i="5"/>
  <c r="AI356" i="5"/>
  <c r="AI316" i="5"/>
  <c r="AH316" i="5"/>
  <c r="AH347" i="5"/>
  <c r="AI347" i="5"/>
  <c r="AI255" i="5"/>
  <c r="AH255" i="5"/>
  <c r="AH327" i="5"/>
  <c r="AI327" i="5"/>
  <c r="AH242" i="5"/>
  <c r="AI242" i="5"/>
  <c r="AI57" i="5"/>
  <c r="AH57" i="5"/>
  <c r="AH523" i="5"/>
  <c r="AI523" i="5"/>
  <c r="AI294" i="5"/>
  <c r="AH294" i="5"/>
  <c r="AH381" i="5"/>
  <c r="AI381" i="5"/>
  <c r="AH102" i="5"/>
  <c r="AI102" i="5"/>
  <c r="AI123" i="5"/>
  <c r="AH123" i="5"/>
  <c r="AH300" i="5"/>
  <c r="AI300" i="5"/>
  <c r="AH320" i="5"/>
  <c r="AI320" i="5"/>
  <c r="AI392" i="5"/>
  <c r="AH392" i="5"/>
  <c r="AI337" i="5"/>
  <c r="AH337" i="5"/>
  <c r="AH60" i="5"/>
  <c r="AI60" i="5"/>
  <c r="AI429" i="5"/>
  <c r="AH429" i="5"/>
  <c r="AH37" i="5"/>
  <c r="AI37" i="5"/>
  <c r="AH553" i="5"/>
  <c r="AI553" i="5"/>
  <c r="AI457" i="5"/>
  <c r="AH457" i="5"/>
  <c r="AH543" i="5"/>
  <c r="AI543" i="5"/>
  <c r="AI314" i="5"/>
  <c r="AH314" i="5"/>
  <c r="AH430" i="5"/>
  <c r="AI430" i="5"/>
  <c r="AH45" i="5"/>
  <c r="AI45" i="5"/>
  <c r="AI410" i="5"/>
  <c r="AH410" i="5"/>
  <c r="AH495" i="5"/>
  <c r="AI495" i="5"/>
  <c r="AH494" i="5"/>
  <c r="AI494" i="5"/>
  <c r="AI422" i="5"/>
  <c r="AH422" i="5"/>
  <c r="AI61" i="5"/>
  <c r="AH61" i="5"/>
  <c r="AH540" i="5"/>
  <c r="AI540" i="5"/>
  <c r="AH120" i="5"/>
  <c r="AI120" i="5"/>
  <c r="AI33" i="5"/>
  <c r="AH33" i="5"/>
  <c r="AH396" i="5"/>
  <c r="AI396" i="5"/>
  <c r="AI262" i="5"/>
  <c r="AH262" i="5"/>
  <c r="AI55" i="5"/>
  <c r="AH55" i="5"/>
  <c r="AI527" i="5"/>
  <c r="AH527" i="5"/>
  <c r="AI271" i="5"/>
  <c r="AH271" i="5"/>
  <c r="AH366" i="5"/>
  <c r="AI366" i="5"/>
  <c r="AI334" i="5"/>
  <c r="AH334" i="5"/>
  <c r="AH188" i="5"/>
  <c r="AI188" i="5"/>
  <c r="AH12" i="5"/>
  <c r="AI12" i="5"/>
  <c r="AH79" i="5"/>
  <c r="AI79" i="5"/>
  <c r="AH107" i="5"/>
  <c r="AI107" i="5"/>
  <c r="AI349" i="5"/>
  <c r="AH349" i="5"/>
  <c r="AH171" i="5"/>
  <c r="AI171" i="5"/>
  <c r="AH329" i="5"/>
  <c r="AI329" i="5"/>
  <c r="AI505" i="5"/>
  <c r="AH505" i="5"/>
  <c r="AI258" i="5"/>
  <c r="AH258" i="5"/>
  <c r="AH322" i="5"/>
  <c r="AI322" i="5"/>
  <c r="AI530" i="5"/>
  <c r="AH530" i="5"/>
  <c r="AI154" i="5"/>
  <c r="AH154" i="5"/>
  <c r="AI276" i="5"/>
  <c r="AH276" i="5"/>
  <c r="AI340" i="5"/>
  <c r="AH340" i="5"/>
  <c r="AI76" i="5"/>
  <c r="AH76" i="5"/>
  <c r="AI395" i="5"/>
  <c r="AH395" i="5"/>
  <c r="AI514" i="5"/>
  <c r="AH514" i="5"/>
  <c r="AH369" i="5"/>
  <c r="AI369" i="5"/>
  <c r="AH25" i="5"/>
  <c r="AI25" i="5"/>
  <c r="AH491" i="5"/>
  <c r="AI491" i="5"/>
  <c r="AH353" i="5"/>
  <c r="AI353" i="5"/>
  <c r="AH531" i="5"/>
  <c r="AI531" i="5"/>
  <c r="AH115" i="5"/>
  <c r="AI115" i="5"/>
  <c r="AI93" i="5"/>
  <c r="AH93" i="5"/>
  <c r="AH552" i="5"/>
  <c r="AI552" i="5"/>
  <c r="AI345" i="5"/>
  <c r="AH345" i="5"/>
  <c r="AI111" i="5"/>
  <c r="AH111" i="5"/>
  <c r="AI503" i="5"/>
  <c r="AH503" i="5"/>
  <c r="AH295" i="5"/>
  <c r="AI295" i="5"/>
  <c r="AH211" i="5"/>
  <c r="AI211" i="5"/>
  <c r="AH97" i="5"/>
  <c r="AI97" i="5"/>
  <c r="AH325" i="5"/>
  <c r="AI325" i="5"/>
  <c r="AI390" i="5"/>
  <c r="AH390" i="5"/>
  <c r="AH436" i="5"/>
  <c r="AI436" i="5"/>
  <c r="AH547" i="5"/>
  <c r="AI547" i="5"/>
  <c r="AI75" i="5"/>
  <c r="AH75" i="5"/>
  <c r="AI142" i="5"/>
  <c r="AH142" i="5"/>
  <c r="AH47" i="5"/>
  <c r="AI47" i="5"/>
  <c r="AH205" i="5"/>
  <c r="AI205" i="5"/>
  <c r="AI542" i="5"/>
  <c r="AH542" i="5"/>
  <c r="AI73" i="5"/>
  <c r="AH73" i="5"/>
  <c r="AI555" i="5"/>
  <c r="AH555" i="5"/>
  <c r="AH348" i="5"/>
  <c r="AI348" i="5"/>
  <c r="AH144" i="5"/>
  <c r="AI144" i="5"/>
  <c r="AI441" i="5"/>
  <c r="AH441" i="5"/>
  <c r="AI71" i="5"/>
  <c r="AH71" i="5"/>
  <c r="AI46" i="5"/>
  <c r="AH46" i="5"/>
  <c r="AH383" i="5"/>
  <c r="AI383" i="5"/>
  <c r="AH266" i="5"/>
  <c r="AI266" i="5"/>
  <c r="AI360" i="5"/>
  <c r="AH360" i="5"/>
  <c r="AI219" i="5"/>
  <c r="AH219" i="5"/>
  <c r="AH377" i="5"/>
  <c r="AI377" i="5"/>
  <c r="AH22" i="5"/>
  <c r="AI22" i="5"/>
  <c r="AH170" i="5"/>
  <c r="AI170" i="5"/>
  <c r="AH94" i="5"/>
  <c r="AI94" i="5"/>
  <c r="AI89" i="5"/>
  <c r="AH89" i="5"/>
  <c r="AI84" i="5"/>
  <c r="AH84" i="5"/>
  <c r="AH29" i="5"/>
  <c r="AI29" i="5"/>
  <c r="AI165" i="5"/>
  <c r="AH165" i="5"/>
  <c r="AH463" i="5"/>
  <c r="AI463" i="5"/>
  <c r="AH324" i="5"/>
  <c r="AI324" i="5"/>
  <c r="AI181" i="5"/>
  <c r="AH181" i="5"/>
  <c r="AH12" i="4"/>
  <c r="AE12" i="4"/>
  <c r="Z12" i="4"/>
  <c r="X12" i="4" s="1"/>
  <c r="AJ12" i="4" s="1"/>
  <c r="AH71" i="4"/>
  <c r="Z71" i="4"/>
  <c r="AE71" i="4"/>
  <c r="AA71" i="4"/>
  <c r="AJ49" i="4"/>
  <c r="AA49" i="4"/>
  <c r="AE49" i="4"/>
  <c r="Z49" i="4"/>
  <c r="AH49" i="4"/>
  <c r="Z157" i="4"/>
  <c r="AH157" i="4"/>
  <c r="AE157" i="4"/>
  <c r="AA157" i="4"/>
  <c r="AH155" i="4"/>
  <c r="AE155" i="4"/>
  <c r="AH73" i="4"/>
  <c r="AE73" i="4"/>
  <c r="AH152" i="4"/>
  <c r="AE152" i="4"/>
  <c r="AE124" i="4"/>
  <c r="AH124" i="4"/>
  <c r="AH26" i="4"/>
  <c r="AE26" i="4"/>
  <c r="Z26" i="4"/>
  <c r="X26" i="4" s="1"/>
  <c r="AJ26" i="4" s="1"/>
  <c r="AE110" i="4"/>
  <c r="AH110" i="4"/>
  <c r="AJ110" i="4"/>
  <c r="AH123" i="4"/>
  <c r="AE123" i="4"/>
  <c r="AA123" i="4"/>
  <c r="AE60" i="4"/>
  <c r="AH60" i="4"/>
  <c r="AE58" i="4"/>
  <c r="AH58" i="4"/>
  <c r="AA58" i="4"/>
  <c r="Z58" i="4"/>
  <c r="AE153" i="4"/>
  <c r="AJ153" i="4"/>
  <c r="AA153" i="4"/>
  <c r="Z153" i="4"/>
  <c r="AH153" i="4"/>
  <c r="AE149" i="4"/>
  <c r="AH149" i="4"/>
  <c r="AH66" i="4"/>
  <c r="AE66" i="4"/>
  <c r="AH23" i="4"/>
  <c r="AE23" i="4"/>
  <c r="Z23" i="4"/>
  <c r="X23" i="4" s="1"/>
  <c r="AJ23" i="4" s="1"/>
  <c r="AE112" i="4"/>
  <c r="AJ112" i="4"/>
  <c r="AH112" i="4"/>
  <c r="AH131" i="4"/>
  <c r="AE131" i="4"/>
  <c r="Z131" i="4"/>
  <c r="AA131" i="4"/>
  <c r="AE36" i="4"/>
  <c r="AA36" i="4"/>
  <c r="Z36" i="4"/>
  <c r="AH36" i="4"/>
  <c r="AH14" i="4"/>
  <c r="AE14" i="4"/>
  <c r="Z14" i="4"/>
  <c r="X14" i="4" s="1"/>
  <c r="AJ14" i="4" s="1"/>
  <c r="AE42" i="4"/>
  <c r="AA42" i="4"/>
  <c r="AH42" i="4"/>
  <c r="Z42" i="4"/>
  <c r="AE32" i="4"/>
  <c r="Z32" i="4"/>
  <c r="X32" i="4" s="1"/>
  <c r="AJ32" i="4" s="1"/>
  <c r="AH32" i="4"/>
  <c r="AE72" i="4"/>
  <c r="AH72" i="4"/>
  <c r="Z72" i="4"/>
  <c r="AA72" i="4"/>
  <c r="AH116" i="4"/>
  <c r="AE116" i="4"/>
  <c r="AQ128" i="5"/>
  <c r="AR128" i="5"/>
  <c r="BI128" i="5"/>
  <c r="AR140" i="5"/>
  <c r="AQ140" i="5"/>
  <c r="BI140" i="5"/>
  <c r="AP267" i="5"/>
  <c r="AQ231" i="5"/>
  <c r="BI231" i="5"/>
  <c r="AR231" i="5"/>
  <c r="AR486" i="5"/>
  <c r="AQ295" i="5"/>
  <c r="AR295" i="5"/>
  <c r="BI295" i="5"/>
  <c r="BI370" i="5"/>
  <c r="BI430" i="5"/>
  <c r="AR430" i="5"/>
  <c r="AQ430" i="5"/>
  <c r="BI234" i="5"/>
  <c r="BI153" i="5"/>
  <c r="BI205" i="5"/>
  <c r="AR205" i="5"/>
  <c r="AQ205" i="5"/>
  <c r="AR177" i="5"/>
  <c r="BI177" i="5"/>
  <c r="AQ177" i="5"/>
  <c r="AR189" i="5"/>
  <c r="AQ146" i="5"/>
  <c r="AR146" i="5"/>
  <c r="BI146" i="5"/>
  <c r="AR360" i="5"/>
  <c r="BI360" i="5"/>
  <c r="AQ360" i="5"/>
  <c r="AP148" i="5"/>
  <c r="AQ292" i="5"/>
  <c r="BI292" i="5"/>
  <c r="AR292" i="5"/>
  <c r="AQ440" i="5"/>
  <c r="BI440" i="5"/>
  <c r="AR440" i="5"/>
  <c r="AQ321" i="5"/>
  <c r="BI321" i="5"/>
  <c r="AR321" i="5"/>
  <c r="AQ461" i="5"/>
  <c r="BI461" i="5"/>
  <c r="AR461" i="5"/>
  <c r="AP452" i="5"/>
  <c r="AP33" i="5"/>
  <c r="AP497" i="5"/>
  <c r="AP9" i="5"/>
  <c r="AJ67" i="4"/>
  <c r="AH67" i="4"/>
  <c r="AE67" i="4"/>
  <c r="AH31" i="4"/>
  <c r="Z31" i="4"/>
  <c r="AE31" i="4"/>
  <c r="AH145" i="4"/>
  <c r="AE145" i="4"/>
  <c r="AE93" i="4"/>
  <c r="AH93" i="4"/>
  <c r="AH59" i="4"/>
  <c r="AE59" i="4"/>
  <c r="AJ94" i="4"/>
  <c r="AE94" i="4"/>
  <c r="AH94" i="4"/>
  <c r="AH121" i="4"/>
  <c r="AE121" i="4"/>
  <c r="AE126" i="4"/>
  <c r="AH126" i="4"/>
  <c r="AE74" i="4"/>
  <c r="AJ74" i="4"/>
  <c r="AH74" i="4"/>
  <c r="AE83" i="4"/>
  <c r="Z83" i="4"/>
  <c r="AA83" i="4"/>
  <c r="AH83" i="4"/>
  <c r="AH79" i="4"/>
  <c r="AJ79" i="4"/>
  <c r="AE79" i="4"/>
  <c r="AX9" i="5"/>
  <c r="AY9" i="5"/>
  <c r="AO560" i="5"/>
  <c r="AN560" i="5"/>
  <c r="AO451" i="5"/>
  <c r="AN451" i="5"/>
  <c r="AN274" i="5"/>
  <c r="AO274" i="5"/>
  <c r="AO190" i="5"/>
  <c r="AN190" i="5"/>
  <c r="AO377" i="5"/>
  <c r="AN377" i="5"/>
  <c r="AO308" i="5"/>
  <c r="AN308" i="5"/>
  <c r="AN222" i="5"/>
  <c r="AO222" i="5"/>
  <c r="AO412" i="5"/>
  <c r="AN412" i="5"/>
  <c r="AO375" i="5"/>
  <c r="AN375" i="5"/>
  <c r="AN494" i="5"/>
  <c r="AO494" i="5"/>
  <c r="AO140" i="5"/>
  <c r="AN140" i="5"/>
  <c r="AO329" i="5"/>
  <c r="AN329" i="5"/>
  <c r="AO241" i="5"/>
  <c r="AN241" i="5"/>
  <c r="AO474" i="5"/>
  <c r="AN474" i="5"/>
  <c r="AO38" i="5"/>
  <c r="AN38" i="5"/>
  <c r="AN28" i="5"/>
  <c r="AO28" i="5"/>
  <c r="AN295" i="5"/>
  <c r="AO295" i="5"/>
  <c r="AO450" i="5"/>
  <c r="AN450" i="5"/>
  <c r="AO193" i="5"/>
  <c r="AN193" i="5"/>
  <c r="AN275" i="5"/>
  <c r="AO275" i="5"/>
  <c r="AN160" i="5"/>
  <c r="AO160" i="5"/>
  <c r="AO353" i="5"/>
  <c r="AN353" i="5"/>
  <c r="AN178" i="5"/>
  <c r="AO178" i="5"/>
  <c r="AO454" i="5"/>
  <c r="AN454" i="5"/>
  <c r="AO432" i="5"/>
  <c r="AN432" i="5"/>
  <c r="AN153" i="5"/>
  <c r="AO153" i="5"/>
  <c r="AO225" i="5"/>
  <c r="AN225" i="5"/>
  <c r="AN189" i="5"/>
  <c r="AO189" i="5"/>
  <c r="AO535" i="5"/>
  <c r="AN535" i="5"/>
  <c r="AN438" i="5"/>
  <c r="AO438" i="5"/>
  <c r="AO358" i="5"/>
  <c r="AN358" i="5"/>
  <c r="AO515" i="5"/>
  <c r="AN515" i="5"/>
  <c r="AN413" i="5"/>
  <c r="AO413" i="5"/>
  <c r="AO244" i="5"/>
  <c r="AN244" i="5"/>
  <c r="AN196" i="5"/>
  <c r="AO196" i="5"/>
  <c r="AN170" i="5"/>
  <c r="AO170" i="5"/>
  <c r="AO108" i="5"/>
  <c r="AN108" i="5"/>
  <c r="AO144" i="5"/>
  <c r="AN144" i="5"/>
  <c r="AO325" i="5"/>
  <c r="AN325" i="5"/>
  <c r="AO536" i="5"/>
  <c r="AN536" i="5"/>
  <c r="AN107" i="5"/>
  <c r="AO107" i="5"/>
  <c r="AO383" i="5"/>
  <c r="AN383" i="5"/>
  <c r="AO387" i="5"/>
  <c r="AN387" i="5"/>
  <c r="AN327" i="5"/>
  <c r="AO327" i="5"/>
  <c r="AN105" i="5"/>
  <c r="AO105" i="5"/>
  <c r="AO26" i="5"/>
  <c r="AN26" i="5"/>
  <c r="AN517" i="5"/>
  <c r="AO517" i="5"/>
  <c r="AO236" i="5"/>
  <c r="AN236" i="5"/>
  <c r="AO548" i="5"/>
  <c r="AN548" i="5"/>
  <c r="AN81" i="5"/>
  <c r="AO81" i="5"/>
  <c r="AN39" i="5"/>
  <c r="AO39" i="5"/>
  <c r="AO243" i="5"/>
  <c r="AN243" i="5"/>
  <c r="AO287" i="5"/>
  <c r="AN287" i="5"/>
  <c r="AN348" i="5"/>
  <c r="AO348" i="5"/>
  <c r="AO194" i="5"/>
  <c r="AN194" i="5"/>
  <c r="AO459" i="5"/>
  <c r="AN459" i="5"/>
  <c r="AO337" i="5"/>
  <c r="AN337" i="5"/>
  <c r="AO366" i="5"/>
  <c r="AN366" i="5"/>
  <c r="AN354" i="5"/>
  <c r="AO354" i="5"/>
  <c r="AO426" i="5"/>
  <c r="AN426" i="5"/>
  <c r="AO82" i="5"/>
  <c r="AN82" i="5"/>
  <c r="AO42" i="5"/>
  <c r="AN42" i="5"/>
  <c r="AO120" i="5"/>
  <c r="AN120" i="5"/>
  <c r="AN230" i="5"/>
  <c r="AO230" i="5"/>
  <c r="AO469" i="5"/>
  <c r="AN469" i="5"/>
  <c r="AO309" i="5"/>
  <c r="AN309" i="5"/>
  <c r="AO292" i="5"/>
  <c r="AN292" i="5"/>
  <c r="AN382" i="5"/>
  <c r="AO382" i="5"/>
  <c r="AO27" i="5"/>
  <c r="AN27" i="5"/>
  <c r="AO163" i="5"/>
  <c r="AN163" i="5"/>
  <c r="AO389" i="5"/>
  <c r="AN389" i="5"/>
  <c r="AN356" i="5"/>
  <c r="AO356" i="5"/>
  <c r="AN115" i="5"/>
  <c r="AO115" i="5"/>
  <c r="AN559" i="5"/>
  <c r="AO559" i="5"/>
  <c r="AN229" i="5"/>
  <c r="AO229" i="5"/>
  <c r="AO461" i="5"/>
  <c r="AN461" i="5"/>
  <c r="AN45" i="5"/>
  <c r="AO45" i="5"/>
  <c r="AN113" i="5"/>
  <c r="AO113" i="5"/>
  <c r="AO403" i="5"/>
  <c r="AN403" i="5"/>
  <c r="AN496" i="5"/>
  <c r="AO496" i="5"/>
  <c r="AO399" i="5"/>
  <c r="AN399" i="5"/>
  <c r="AO234" i="5"/>
  <c r="AN234" i="5"/>
  <c r="AO472" i="5"/>
  <c r="AN472" i="5"/>
  <c r="AN44" i="5"/>
  <c r="AO44" i="5"/>
  <c r="AN367" i="5"/>
  <c r="AO367" i="5"/>
  <c r="AN506" i="5"/>
  <c r="AO506" i="5"/>
  <c r="AN208" i="5"/>
  <c r="AO208" i="5"/>
  <c r="AN465" i="5"/>
  <c r="AO465" i="5"/>
  <c r="AO511" i="5"/>
  <c r="AN511" i="5"/>
  <c r="AO256" i="5"/>
  <c r="AN256" i="5"/>
  <c r="AN197" i="5"/>
  <c r="AO197" i="5"/>
  <c r="AO122" i="5"/>
  <c r="AN122" i="5"/>
  <c r="AN436" i="5"/>
  <c r="AO436" i="5"/>
  <c r="AO167" i="5"/>
  <c r="AN167" i="5"/>
  <c r="AN76" i="5"/>
  <c r="AO76" i="5"/>
  <c r="AO341" i="5"/>
  <c r="AN341" i="5"/>
  <c r="AN86" i="5"/>
  <c r="AO86" i="5"/>
  <c r="AO210" i="5"/>
  <c r="AN210" i="5"/>
  <c r="AN305" i="5"/>
  <c r="AO305" i="5"/>
  <c r="AO57" i="5"/>
  <c r="AN57" i="5"/>
  <c r="AN83" i="5"/>
  <c r="AO83" i="5"/>
  <c r="AO268" i="5"/>
  <c r="AN268" i="5"/>
  <c r="AO117" i="5"/>
  <c r="AN117" i="5"/>
  <c r="AN156" i="5"/>
  <c r="AO156" i="5"/>
  <c r="AN285" i="5"/>
  <c r="AO285" i="5"/>
  <c r="AN414" i="5"/>
  <c r="AO414" i="5"/>
  <c r="AO518" i="5"/>
  <c r="AN518" i="5"/>
  <c r="AN74" i="5"/>
  <c r="AO74" i="5"/>
  <c r="AN443" i="5"/>
  <c r="AO443" i="5"/>
  <c r="AN242" i="5"/>
  <c r="AO242" i="5"/>
  <c r="AO507" i="5"/>
  <c r="AN507" i="5"/>
  <c r="AO71" i="5"/>
  <c r="AN71" i="5"/>
  <c r="AN282" i="5"/>
  <c r="AO282" i="5"/>
  <c r="AO201" i="5"/>
  <c r="AN201" i="5"/>
  <c r="AN445" i="5"/>
  <c r="AO445" i="5"/>
  <c r="AN277" i="5"/>
  <c r="AO277" i="5"/>
  <c r="AN133" i="5"/>
  <c r="AO133" i="5"/>
  <c r="AO31" i="5"/>
  <c r="AN31" i="5"/>
  <c r="AO171" i="5"/>
  <c r="AN171" i="5"/>
  <c r="AN48" i="5"/>
  <c r="AO48" i="5"/>
  <c r="AN539" i="5"/>
  <c r="AO539" i="5"/>
  <c r="AO224" i="5"/>
  <c r="AN224" i="5"/>
  <c r="AN124" i="5"/>
  <c r="AO124" i="5"/>
  <c r="AN374" i="5"/>
  <c r="AO374" i="5"/>
  <c r="AO380" i="5"/>
  <c r="AN380" i="5"/>
  <c r="AO182" i="5"/>
  <c r="AN182" i="5"/>
  <c r="AN418" i="5"/>
  <c r="AO418" i="5"/>
  <c r="AN226" i="5"/>
  <c r="AO226" i="5"/>
  <c r="AO376" i="5"/>
  <c r="AN376" i="5"/>
  <c r="AN288" i="5"/>
  <c r="AO288" i="5"/>
  <c r="AN546" i="5"/>
  <c r="AO546" i="5"/>
  <c r="AN322" i="5"/>
  <c r="AO322" i="5"/>
  <c r="AN429" i="5"/>
  <c r="AO429" i="5"/>
  <c r="AN139" i="5"/>
  <c r="AO139" i="5"/>
  <c r="AN373" i="5"/>
  <c r="AO373" i="5"/>
  <c r="AO467" i="5"/>
  <c r="AN467" i="5"/>
  <c r="AO430" i="5"/>
  <c r="AN430" i="5"/>
  <c r="AH216" i="5"/>
  <c r="AI216" i="5"/>
  <c r="AH424" i="5"/>
  <c r="AI424" i="5"/>
  <c r="AH51" i="5"/>
  <c r="AI51" i="5"/>
  <c r="AH286" i="5"/>
  <c r="AI286" i="5"/>
  <c r="AI417" i="5"/>
  <c r="AH417" i="5"/>
  <c r="AI421" i="5"/>
  <c r="AH421" i="5"/>
  <c r="AH414" i="5"/>
  <c r="AI414" i="5"/>
  <c r="AH550" i="5"/>
  <c r="AI550" i="5"/>
  <c r="AI464" i="5"/>
  <c r="AH464" i="5"/>
  <c r="AH406" i="5"/>
  <c r="AI406" i="5"/>
  <c r="AH198" i="5"/>
  <c r="AI198" i="5"/>
  <c r="AI31" i="5"/>
  <c r="AH31" i="5"/>
  <c r="AH74" i="5"/>
  <c r="AI74" i="5"/>
  <c r="AI549" i="5"/>
  <c r="AH549" i="5"/>
  <c r="AI385" i="5"/>
  <c r="AH385" i="5"/>
  <c r="AI23" i="5"/>
  <c r="AH23" i="5"/>
  <c r="AI265" i="5"/>
  <c r="AH265" i="5"/>
  <c r="AH296" i="5"/>
  <c r="AI296" i="5"/>
  <c r="AH548" i="5"/>
  <c r="AI548" i="5"/>
  <c r="AH358" i="5"/>
  <c r="AI358" i="5"/>
  <c r="AH212" i="5"/>
  <c r="AI212" i="5"/>
  <c r="AI103" i="5"/>
  <c r="AH103" i="5"/>
  <c r="AH268" i="5"/>
  <c r="AI268" i="5"/>
  <c r="AH152" i="5"/>
  <c r="AI152" i="5"/>
  <c r="AH518" i="5"/>
  <c r="AI518" i="5"/>
  <c r="AI178" i="5"/>
  <c r="AH178" i="5"/>
  <c r="AH78" i="5"/>
  <c r="AI78" i="5"/>
  <c r="AI291" i="5"/>
  <c r="AH291" i="5"/>
  <c r="AH389" i="5"/>
  <c r="AI389" i="5"/>
  <c r="AH69" i="5"/>
  <c r="AI69" i="5"/>
  <c r="AH283" i="5"/>
  <c r="AI283" i="5"/>
  <c r="AI50" i="5"/>
  <c r="AH50" i="5"/>
  <c r="AI174" i="5"/>
  <c r="AH174" i="5"/>
  <c r="AH146" i="5"/>
  <c r="AI146" i="5"/>
  <c r="AI499" i="5"/>
  <c r="AH499" i="5"/>
  <c r="AI382" i="5"/>
  <c r="AH382" i="5"/>
  <c r="AI63" i="5"/>
  <c r="AH63" i="5"/>
  <c r="AH319" i="5"/>
  <c r="AI319" i="5"/>
  <c r="AI59" i="5"/>
  <c r="AH59" i="5"/>
  <c r="AH10" i="5"/>
  <c r="AI10" i="5"/>
  <c r="AI253" i="5"/>
  <c r="AH253" i="5"/>
  <c r="AI317" i="5"/>
  <c r="AH317" i="5"/>
  <c r="AI462" i="5"/>
  <c r="AH462" i="5"/>
  <c r="AI425" i="5"/>
  <c r="AH425" i="5"/>
  <c r="AI87" i="5"/>
  <c r="AH87" i="5"/>
  <c r="AI447" i="5"/>
  <c r="AH447" i="5"/>
  <c r="AI21" i="5"/>
  <c r="AH21" i="5"/>
  <c r="AH493" i="5"/>
  <c r="AI493" i="5"/>
  <c r="AH519" i="5"/>
  <c r="AI519" i="5"/>
  <c r="AI43" i="5"/>
  <c r="AH43" i="5"/>
  <c r="AH36" i="5"/>
  <c r="AI36" i="5"/>
  <c r="AI239" i="5"/>
  <c r="AH239" i="5"/>
  <c r="AI233" i="5"/>
  <c r="AH233" i="5"/>
  <c r="AH405" i="5"/>
  <c r="AI405" i="5"/>
  <c r="AH48" i="5"/>
  <c r="AI48" i="5"/>
  <c r="AH136" i="5"/>
  <c r="AI136" i="5"/>
  <c r="AH208" i="5"/>
  <c r="AI208" i="5"/>
  <c r="AH82" i="5"/>
  <c r="AI82" i="5"/>
  <c r="AH354" i="5"/>
  <c r="AI354" i="5"/>
  <c r="AH259" i="5"/>
  <c r="AI259" i="5"/>
  <c r="AH34" i="5"/>
  <c r="AI34" i="5"/>
  <c r="AH292" i="5"/>
  <c r="AI292" i="5"/>
  <c r="AH439" i="5"/>
  <c r="AI439" i="5"/>
  <c r="AH189" i="5"/>
  <c r="AI189" i="5"/>
  <c r="AI560" i="5"/>
  <c r="AH560" i="5"/>
  <c r="AI230" i="5"/>
  <c r="AH230" i="5"/>
  <c r="AH121" i="5"/>
  <c r="AI121" i="5"/>
  <c r="AH541" i="5"/>
  <c r="AI541" i="5"/>
  <c r="AI408" i="5"/>
  <c r="AH408" i="5"/>
  <c r="AH330" i="5"/>
  <c r="AI330" i="5"/>
  <c r="AH41" i="5"/>
  <c r="AI41" i="5"/>
  <c r="AI391" i="5"/>
  <c r="AH391" i="5"/>
  <c r="AH244" i="5"/>
  <c r="AI244" i="5"/>
  <c r="AI166" i="5"/>
  <c r="AH166" i="5"/>
  <c r="AI282" i="5"/>
  <c r="AH282" i="5"/>
  <c r="AI100" i="5"/>
  <c r="AH100" i="5"/>
  <c r="AI221" i="5"/>
  <c r="AH221" i="5"/>
  <c r="AH433" i="5"/>
  <c r="AI433" i="5"/>
  <c r="AI273" i="5"/>
  <c r="AH273" i="5"/>
  <c r="AH278" i="5"/>
  <c r="AI278" i="5"/>
  <c r="AI177" i="5"/>
  <c r="AH177" i="5"/>
  <c r="AI285" i="5"/>
  <c r="AH285" i="5"/>
  <c r="AI465" i="5"/>
  <c r="AH465" i="5"/>
  <c r="AH306" i="5"/>
  <c r="AI306" i="5"/>
  <c r="AI372" i="5"/>
  <c r="AH372" i="5"/>
  <c r="AI399" i="5"/>
  <c r="AH399" i="5"/>
  <c r="AH318" i="5"/>
  <c r="AI318" i="5"/>
  <c r="AH106" i="5"/>
  <c r="AI106" i="5"/>
  <c r="AH478" i="5"/>
  <c r="AI478" i="5"/>
  <c r="AH466" i="5"/>
  <c r="AI466" i="5"/>
  <c r="AH434" i="5"/>
  <c r="AI434" i="5"/>
  <c r="AH556" i="5"/>
  <c r="AI556" i="5"/>
  <c r="AI394" i="5"/>
  <c r="AH394" i="5"/>
  <c r="AI235" i="5"/>
  <c r="AH235" i="5"/>
  <c r="AH445" i="5"/>
  <c r="AI445" i="5"/>
  <c r="AH476" i="5"/>
  <c r="AI476" i="5"/>
  <c r="AI80" i="5"/>
  <c r="AH80" i="5"/>
  <c r="AH498" i="5"/>
  <c r="AI498" i="5"/>
  <c r="AI105" i="5"/>
  <c r="AH105" i="5"/>
  <c r="AI241" i="5"/>
  <c r="AH241" i="5"/>
  <c r="AI131" i="5"/>
  <c r="AH131" i="5"/>
  <c r="AI42" i="5"/>
  <c r="AH42" i="5"/>
  <c r="AI412" i="5"/>
  <c r="AH412" i="5"/>
  <c r="AI303" i="5"/>
  <c r="AH303" i="5"/>
  <c r="AI453" i="5"/>
  <c r="AH453" i="5"/>
  <c r="AI365" i="5"/>
  <c r="AH365" i="5"/>
  <c r="AH336" i="5"/>
  <c r="AI336" i="5"/>
  <c r="AI437" i="5"/>
  <c r="AH437" i="5"/>
  <c r="AH224" i="5"/>
  <c r="AI224" i="5"/>
  <c r="AH187" i="5"/>
  <c r="AI187" i="5"/>
  <c r="AH361" i="5"/>
  <c r="AI361" i="5"/>
  <c r="AI290" i="5"/>
  <c r="AH290" i="5"/>
  <c r="AI467" i="5"/>
  <c r="AH467" i="5"/>
  <c r="AH504" i="5"/>
  <c r="AI504" i="5"/>
  <c r="AH521" i="5"/>
  <c r="AI521" i="5"/>
  <c r="AI344" i="5"/>
  <c r="AH344" i="5"/>
  <c r="AH407" i="5"/>
  <c r="AI407" i="5"/>
  <c r="AH506" i="5"/>
  <c r="AI506" i="5"/>
  <c r="AH331" i="5"/>
  <c r="AI331" i="5"/>
  <c r="AH81" i="5"/>
  <c r="AI81" i="5"/>
  <c r="AH510" i="5"/>
  <c r="AI510" i="5"/>
  <c r="AH364" i="5"/>
  <c r="AI364" i="5"/>
  <c r="AI269" i="5"/>
  <c r="AH269" i="5"/>
  <c r="AH143" i="5"/>
  <c r="AI143" i="5"/>
  <c r="AI355" i="5"/>
  <c r="AH355" i="5"/>
  <c r="AH66" i="5"/>
  <c r="AI66" i="5"/>
  <c r="AI378" i="5"/>
  <c r="AH378" i="5"/>
  <c r="AH321" i="5"/>
  <c r="AI321" i="5"/>
  <c r="AI483" i="5"/>
  <c r="AH483" i="5"/>
  <c r="AH274" i="5"/>
  <c r="AI274" i="5"/>
  <c r="AI213" i="5"/>
  <c r="AH213" i="5"/>
  <c r="AI298" i="5"/>
  <c r="AH298" i="5"/>
  <c r="AI192" i="5"/>
  <c r="AH192" i="5"/>
  <c r="AH164" i="5"/>
  <c r="AI164" i="5"/>
  <c r="AI158" i="5"/>
  <c r="AH158" i="5"/>
  <c r="AH367" i="5"/>
  <c r="AI367" i="5"/>
  <c r="AI393" i="5"/>
  <c r="AH393" i="5"/>
  <c r="AE101" i="4"/>
  <c r="AH101" i="4"/>
  <c r="AH7" i="4"/>
  <c r="AE7" i="4"/>
  <c r="Z7" i="4"/>
  <c r="X7" i="4" s="1"/>
  <c r="AJ7" i="4" s="1"/>
  <c r="AO9" i="5"/>
  <c r="AN9" i="5"/>
  <c r="AA9" i="5"/>
  <c r="AB9" i="5"/>
  <c r="U9" i="5"/>
  <c r="V9" i="5"/>
  <c r="AO78" i="5"/>
  <c r="AN78" i="5"/>
  <c r="AO551" i="5"/>
  <c r="AN551" i="5"/>
  <c r="AN251" i="5"/>
  <c r="AO251" i="5"/>
  <c r="AN104" i="5"/>
  <c r="AO104" i="5"/>
  <c r="AN355" i="5"/>
  <c r="AO355" i="5"/>
  <c r="AO162" i="5"/>
  <c r="AN162" i="5"/>
  <c r="AO200" i="5"/>
  <c r="AN200" i="5"/>
  <c r="AN30" i="5"/>
  <c r="AO30" i="5"/>
  <c r="AO62" i="5"/>
  <c r="AN62" i="5"/>
  <c r="AO41" i="5"/>
  <c r="AN41" i="5"/>
  <c r="AO452" i="5"/>
  <c r="AN452" i="5"/>
  <c r="AO265" i="5"/>
  <c r="AN265" i="5"/>
  <c r="AN143" i="5"/>
  <c r="AO143" i="5"/>
  <c r="AO72" i="5"/>
  <c r="AN72" i="5"/>
  <c r="AO164" i="5"/>
  <c r="AN164" i="5"/>
  <c r="AO152" i="5"/>
  <c r="AN152" i="5"/>
  <c r="AO312" i="5"/>
  <c r="AN312" i="5"/>
  <c r="AO448" i="5"/>
  <c r="AN448" i="5"/>
  <c r="AN479" i="5"/>
  <c r="AO479" i="5"/>
  <c r="AN276" i="5"/>
  <c r="AO276" i="5"/>
  <c r="AN425" i="5"/>
  <c r="AO425" i="5"/>
  <c r="AO313" i="5"/>
  <c r="AN313" i="5"/>
  <c r="AO195" i="5"/>
  <c r="AN195" i="5"/>
  <c r="AO69" i="5"/>
  <c r="AN69" i="5"/>
  <c r="AN281" i="5"/>
  <c r="AO281" i="5"/>
  <c r="AO326" i="5"/>
  <c r="AN326" i="5"/>
  <c r="AN301" i="5"/>
  <c r="AO301" i="5"/>
  <c r="AO98" i="5"/>
  <c r="AN98" i="5"/>
  <c r="AN311" i="5"/>
  <c r="AO311" i="5"/>
  <c r="AN547" i="5"/>
  <c r="AO547" i="5"/>
  <c r="AO402" i="5"/>
  <c r="AN402" i="5"/>
  <c r="AN334" i="5"/>
  <c r="AO334" i="5"/>
  <c r="AN318" i="5"/>
  <c r="AO318" i="5"/>
  <c r="AO290" i="5"/>
  <c r="AN290" i="5"/>
  <c r="AN552" i="5"/>
  <c r="AO552" i="5"/>
  <c r="AO249" i="5"/>
  <c r="AN249" i="5"/>
  <c r="AO530" i="5"/>
  <c r="AN530" i="5"/>
  <c r="AO362" i="5"/>
  <c r="AN362" i="5"/>
  <c r="AN439" i="5"/>
  <c r="AO439" i="5"/>
  <c r="AO36" i="5"/>
  <c r="AN36" i="5"/>
  <c r="AN169" i="5"/>
  <c r="AO169" i="5"/>
  <c r="AN145" i="5"/>
  <c r="AO145" i="5"/>
  <c r="AN556" i="5"/>
  <c r="AO556" i="5"/>
  <c r="AN264" i="5"/>
  <c r="AO264" i="5"/>
  <c r="AO297" i="5"/>
  <c r="AN297" i="5"/>
  <c r="AO85" i="5"/>
  <c r="AN85" i="5"/>
  <c r="AO456" i="5"/>
  <c r="AN456" i="5"/>
  <c r="AO434" i="5"/>
  <c r="AN434" i="5"/>
  <c r="AO342" i="5"/>
  <c r="AN342" i="5"/>
  <c r="AO437" i="5"/>
  <c r="AN437" i="5"/>
  <c r="AO110" i="5"/>
  <c r="AN110" i="5"/>
  <c r="AO369" i="5"/>
  <c r="AN369" i="5"/>
  <c r="AO299" i="5"/>
  <c r="AN299" i="5"/>
  <c r="AO228" i="5"/>
  <c r="AN228" i="5"/>
  <c r="AO324" i="5"/>
  <c r="AN324" i="5"/>
  <c r="AN32" i="5"/>
  <c r="AO32" i="5"/>
  <c r="AO155" i="5"/>
  <c r="AN155" i="5"/>
  <c r="AN116" i="5"/>
  <c r="AO116" i="5"/>
  <c r="AN125" i="5"/>
  <c r="AO125" i="5"/>
  <c r="AO56" i="5"/>
  <c r="AN56" i="5"/>
  <c r="AN146" i="5"/>
  <c r="AO146" i="5"/>
  <c r="AN136" i="5"/>
  <c r="AO136" i="5"/>
  <c r="AN179" i="5"/>
  <c r="AO179" i="5"/>
  <c r="AO340" i="5"/>
  <c r="AN340" i="5"/>
  <c r="AN66" i="5"/>
  <c r="AO66" i="5"/>
  <c r="AN455" i="5"/>
  <c r="AO455" i="5"/>
  <c r="AN283" i="5"/>
  <c r="AO283" i="5"/>
  <c r="AO320" i="5"/>
  <c r="AN320" i="5"/>
  <c r="AN343" i="5"/>
  <c r="AO343" i="5"/>
  <c r="AN335" i="5"/>
  <c r="AO335" i="5"/>
  <c r="AN90" i="5"/>
  <c r="AO90" i="5"/>
  <c r="AO510" i="5"/>
  <c r="AN510" i="5"/>
  <c r="AO158" i="5"/>
  <c r="AN158" i="5"/>
  <c r="AN352" i="5"/>
  <c r="AO352" i="5"/>
  <c r="AN554" i="5"/>
  <c r="AO554" i="5"/>
  <c r="AN338" i="5"/>
  <c r="AO338" i="5"/>
  <c r="AO475" i="5"/>
  <c r="AN475" i="5"/>
  <c r="AO247" i="5"/>
  <c r="AN247" i="5"/>
  <c r="AO505" i="5"/>
  <c r="AN505" i="5"/>
  <c r="AO203" i="5"/>
  <c r="AN203" i="5"/>
  <c r="AN460" i="5"/>
  <c r="AO460" i="5"/>
  <c r="AO384" i="5"/>
  <c r="AN384" i="5"/>
  <c r="AN468" i="5"/>
  <c r="AO468" i="5"/>
  <c r="AO492" i="5"/>
  <c r="AN492" i="5"/>
  <c r="AN470" i="5"/>
  <c r="AO470" i="5"/>
  <c r="AN300" i="5"/>
  <c r="AO300" i="5"/>
  <c r="AN532" i="5"/>
  <c r="AO532" i="5"/>
  <c r="AN498" i="5"/>
  <c r="AO498" i="5"/>
  <c r="AN527" i="5"/>
  <c r="AO527" i="5"/>
  <c r="AN360" i="5"/>
  <c r="AO360" i="5"/>
  <c r="AO185" i="5"/>
  <c r="AN185" i="5"/>
  <c r="AO180" i="5"/>
  <c r="AN180" i="5"/>
  <c r="AO422" i="5"/>
  <c r="AN422" i="5"/>
  <c r="AN103" i="5"/>
  <c r="AO103" i="5"/>
  <c r="AO331" i="5"/>
  <c r="AN331" i="5"/>
  <c r="AO93" i="5"/>
  <c r="AN93" i="5"/>
  <c r="AN199" i="5"/>
  <c r="AO199" i="5"/>
  <c r="AN407" i="5"/>
  <c r="AO407" i="5"/>
  <c r="AO435" i="5"/>
  <c r="AN435" i="5"/>
  <c r="AN24" i="5"/>
  <c r="AO24" i="5"/>
  <c r="AN520" i="5"/>
  <c r="AO520" i="5"/>
  <c r="AN218" i="5"/>
  <c r="AO218" i="5"/>
  <c r="AN323" i="5"/>
  <c r="AO323" i="5"/>
  <c r="AN388" i="5"/>
  <c r="AO388" i="5"/>
  <c r="AO392" i="5"/>
  <c r="AN392" i="5"/>
  <c r="AN168" i="5"/>
  <c r="AO168" i="5"/>
  <c r="AO549" i="5"/>
  <c r="AN549" i="5"/>
  <c r="AO466" i="5"/>
  <c r="AN466" i="5"/>
  <c r="AO205" i="5"/>
  <c r="AN205" i="5"/>
  <c r="AO501" i="5"/>
  <c r="AN501" i="5"/>
  <c r="AN70" i="5"/>
  <c r="AO70" i="5"/>
  <c r="AO126" i="5"/>
  <c r="AN126" i="5"/>
  <c r="AN296" i="5"/>
  <c r="AO296" i="5"/>
  <c r="AN381" i="5"/>
  <c r="AO381" i="5"/>
  <c r="AO315" i="5"/>
  <c r="AN315" i="5"/>
  <c r="AO191" i="5"/>
  <c r="AN191" i="5"/>
  <c r="AN96" i="5"/>
  <c r="AO96" i="5"/>
  <c r="AO147" i="5"/>
  <c r="AN147" i="5"/>
  <c r="AN204" i="5"/>
  <c r="AO204" i="5"/>
  <c r="AN142" i="5"/>
  <c r="AO142" i="5"/>
  <c r="AN269" i="5"/>
  <c r="AO269" i="5"/>
  <c r="AO487" i="5"/>
  <c r="AN487" i="5"/>
  <c r="AN350" i="5"/>
  <c r="AO350" i="5"/>
  <c r="AO405" i="5"/>
  <c r="AN405" i="5"/>
  <c r="AN278" i="5"/>
  <c r="AO278" i="5"/>
  <c r="AO51" i="5"/>
  <c r="AN51" i="5"/>
  <c r="AO364" i="5"/>
  <c r="AN364" i="5"/>
  <c r="AN307" i="5"/>
  <c r="AO307" i="5"/>
  <c r="AN321" i="5"/>
  <c r="AO321" i="5"/>
  <c r="AO298" i="5"/>
  <c r="AN298" i="5"/>
  <c r="AO221" i="5"/>
  <c r="AN221" i="5"/>
  <c r="AO212" i="5"/>
  <c r="AN212" i="5"/>
  <c r="AN40" i="5"/>
  <c r="AO40" i="5"/>
  <c r="AO235" i="5"/>
  <c r="AN235" i="5"/>
  <c r="AN280" i="5"/>
  <c r="AO280" i="5"/>
  <c r="AN232" i="5"/>
  <c r="AO232" i="5"/>
  <c r="AH218" i="5"/>
  <c r="AI218" i="5"/>
  <c r="AI343" i="5"/>
  <c r="AH343" i="5"/>
  <c r="AI299" i="5"/>
  <c r="AH299" i="5"/>
  <c r="AH398" i="5"/>
  <c r="AI398" i="5"/>
  <c r="AI423" i="5"/>
  <c r="AH423" i="5"/>
  <c r="AI480" i="5"/>
  <c r="AH480" i="5"/>
  <c r="AI288" i="5"/>
  <c r="AH288" i="5"/>
  <c r="AI326" i="5"/>
  <c r="AH326" i="5"/>
  <c r="AH376" i="5"/>
  <c r="AI376" i="5"/>
  <c r="AI551" i="5"/>
  <c r="AH551" i="5"/>
  <c r="AI454" i="5"/>
  <c r="AH454" i="5"/>
  <c r="AI479" i="5"/>
  <c r="AH479" i="5"/>
  <c r="AH83" i="5"/>
  <c r="AI83" i="5"/>
  <c r="AH210" i="5"/>
  <c r="AI210" i="5"/>
  <c r="AI297" i="5"/>
  <c r="AH297" i="5"/>
  <c r="AI217" i="5"/>
  <c r="AH217" i="5"/>
  <c r="AH38" i="5"/>
  <c r="AI38" i="5"/>
  <c r="AI127" i="5"/>
  <c r="AH127" i="5"/>
  <c r="AI522" i="5"/>
  <c r="AH522" i="5"/>
  <c r="AI234" i="5"/>
  <c r="AH234" i="5"/>
  <c r="AI488" i="5"/>
  <c r="AH488" i="5"/>
  <c r="AI323" i="5"/>
  <c r="AH323" i="5"/>
  <c r="AH118" i="5"/>
  <c r="AI118" i="5"/>
  <c r="AH153" i="5"/>
  <c r="AI153" i="5"/>
  <c r="AI539" i="5"/>
  <c r="AH539" i="5"/>
  <c r="AI200" i="5"/>
  <c r="AH200" i="5"/>
  <c r="AI167" i="5"/>
  <c r="AH167" i="5"/>
  <c r="AI222" i="5"/>
  <c r="AH222" i="5"/>
  <c r="AI333" i="5"/>
  <c r="AH333" i="5"/>
  <c r="AI156" i="5"/>
  <c r="AH156" i="5"/>
  <c r="AH231" i="5"/>
  <c r="AI231" i="5"/>
  <c r="AH473" i="5"/>
  <c r="AI473" i="5"/>
  <c r="AI443" i="5"/>
  <c r="AH443" i="5"/>
  <c r="AI313" i="5"/>
  <c r="AH313" i="5"/>
  <c r="AH312" i="5"/>
  <c r="AI312" i="5"/>
  <c r="AI151" i="5"/>
  <c r="AH151" i="5"/>
  <c r="AH419" i="5"/>
  <c r="AI419" i="5"/>
  <c r="AH175" i="5"/>
  <c r="AI175" i="5"/>
  <c r="AH209" i="5"/>
  <c r="AI209" i="5"/>
  <c r="AH141" i="5"/>
  <c r="AI141" i="5"/>
  <c r="AI486" i="5"/>
  <c r="AH486" i="5"/>
  <c r="AH128" i="5"/>
  <c r="AI128" i="5"/>
  <c r="AH557" i="5"/>
  <c r="AI557" i="5"/>
  <c r="AI359" i="5"/>
  <c r="AH359" i="5"/>
  <c r="AH520" i="5"/>
  <c r="AI520" i="5"/>
  <c r="AI240" i="5"/>
  <c r="AH240" i="5"/>
  <c r="AI435" i="5"/>
  <c r="AH435" i="5"/>
  <c r="AI490" i="5"/>
  <c r="AH490" i="5"/>
  <c r="AH469" i="5"/>
  <c r="AI469" i="5"/>
  <c r="AI432" i="5"/>
  <c r="AH432" i="5"/>
  <c r="AI92" i="5"/>
  <c r="AH92" i="5"/>
  <c r="AH67" i="5"/>
  <c r="AI67" i="5"/>
  <c r="AH58" i="5"/>
  <c r="AI58" i="5"/>
  <c r="AH257" i="5"/>
  <c r="AI257" i="5"/>
  <c r="AI62" i="5"/>
  <c r="AH62" i="5"/>
  <c r="AI272" i="5"/>
  <c r="AH272" i="5"/>
  <c r="AI456" i="5"/>
  <c r="AH456" i="5"/>
  <c r="AI307" i="5"/>
  <c r="AH307" i="5"/>
  <c r="AH26" i="5"/>
  <c r="AI26" i="5"/>
  <c r="AI339" i="5"/>
  <c r="AH339" i="5"/>
  <c r="AI397" i="5"/>
  <c r="AH397" i="5"/>
  <c r="AI119" i="5"/>
  <c r="AH119" i="5"/>
  <c r="AI380" i="5"/>
  <c r="AH380" i="5"/>
  <c r="AI293" i="5"/>
  <c r="AH293" i="5"/>
  <c r="AH287" i="5"/>
  <c r="AI287" i="5"/>
  <c r="AI289" i="5"/>
  <c r="AH289" i="5"/>
  <c r="AH64" i="5"/>
  <c r="AI64" i="5"/>
  <c r="AH554" i="5"/>
  <c r="AI554" i="5"/>
  <c r="AH470" i="5"/>
  <c r="AI470" i="5"/>
  <c r="AH206" i="5"/>
  <c r="AI206" i="5"/>
  <c r="AI132" i="5"/>
  <c r="AH132" i="5"/>
  <c r="AI196" i="5"/>
  <c r="AH196" i="5"/>
  <c r="AH114" i="5"/>
  <c r="AI114" i="5"/>
  <c r="AH203" i="5"/>
  <c r="AI203" i="5"/>
  <c r="AI426" i="5"/>
  <c r="AH426" i="5"/>
  <c r="AH228" i="5"/>
  <c r="AI228" i="5"/>
  <c r="AI370" i="5"/>
  <c r="AH370" i="5"/>
  <c r="AH53" i="5"/>
  <c r="AI53" i="5"/>
  <c r="AI507" i="5"/>
  <c r="AH507" i="5"/>
  <c r="AI438" i="5"/>
  <c r="AH438" i="5"/>
  <c r="AI440" i="5"/>
  <c r="AH440" i="5"/>
  <c r="AI535" i="5"/>
  <c r="AH535" i="5"/>
  <c r="AI147" i="5"/>
  <c r="AH147" i="5"/>
  <c r="AI310" i="5"/>
  <c r="AH310" i="5"/>
  <c r="AH20" i="5"/>
  <c r="AI20" i="5"/>
  <c r="AH138" i="5"/>
  <c r="AI138" i="5"/>
  <c r="AH379" i="5"/>
  <c r="AI379" i="5"/>
  <c r="AI404" i="5"/>
  <c r="AH404" i="5"/>
  <c r="AH350" i="5"/>
  <c r="AI350" i="5"/>
  <c r="AH140" i="5"/>
  <c r="AI140" i="5"/>
  <c r="AI160" i="5"/>
  <c r="AH160" i="5"/>
  <c r="AH388" i="5"/>
  <c r="AI388" i="5"/>
  <c r="AH315" i="5"/>
  <c r="AI315" i="5"/>
  <c r="AH517" i="5"/>
  <c r="AI517" i="5"/>
  <c r="AI39" i="5"/>
  <c r="AH39" i="5"/>
  <c r="AH512" i="5"/>
  <c r="AI512" i="5"/>
  <c r="AH442" i="5"/>
  <c r="AI442" i="5"/>
  <c r="AI27" i="5"/>
  <c r="AH27" i="5"/>
  <c r="AH371" i="5"/>
  <c r="AI371" i="5"/>
  <c r="AI444" i="5"/>
  <c r="AH444" i="5"/>
  <c r="AH341" i="5"/>
  <c r="AI341" i="5"/>
  <c r="AH85" i="5"/>
  <c r="AI85" i="5"/>
  <c r="AI402" i="5"/>
  <c r="AH402" i="5"/>
  <c r="AI215" i="5"/>
  <c r="AH215" i="5"/>
  <c r="AI515" i="5"/>
  <c r="AH515" i="5"/>
  <c r="AI526" i="5"/>
  <c r="AH526" i="5"/>
  <c r="AH534" i="5"/>
  <c r="AI534" i="5"/>
  <c r="AH40" i="5"/>
  <c r="AI40" i="5"/>
  <c r="AI173" i="5"/>
  <c r="AH173" i="5"/>
  <c r="AH52" i="5"/>
  <c r="AI52" i="5"/>
  <c r="AI226" i="5"/>
  <c r="AH226" i="5"/>
  <c r="AH267" i="5"/>
  <c r="AI267" i="5"/>
  <c r="AI420" i="5"/>
  <c r="AH420" i="5"/>
  <c r="AH502" i="5"/>
  <c r="AI502" i="5"/>
  <c r="AI163" i="5"/>
  <c r="AH163" i="5"/>
  <c r="AI54" i="5"/>
  <c r="AH54" i="5"/>
  <c r="AI415" i="5"/>
  <c r="AH415" i="5"/>
  <c r="AH261" i="5"/>
  <c r="AI261" i="5"/>
  <c r="AI458" i="5"/>
  <c r="AH458" i="5"/>
  <c r="AI459" i="5"/>
  <c r="AH459" i="5"/>
  <c r="AH199" i="5"/>
  <c r="AI199" i="5"/>
  <c r="AH496" i="5"/>
  <c r="AI496" i="5"/>
  <c r="AH451" i="5"/>
  <c r="AI451" i="5"/>
  <c r="AI468" i="5"/>
  <c r="AH468" i="5"/>
  <c r="AH35" i="5"/>
  <c r="AI35" i="5"/>
  <c r="AH195" i="5"/>
  <c r="AI195" i="5"/>
  <c r="AI116" i="5"/>
  <c r="AH116" i="5"/>
  <c r="AI416" i="5"/>
  <c r="AH416" i="5"/>
  <c r="AH236" i="5"/>
  <c r="AI236" i="5"/>
  <c r="AH448" i="5"/>
  <c r="AI448" i="5"/>
  <c r="AI186" i="5"/>
  <c r="AH186" i="5"/>
  <c r="AI112" i="5"/>
  <c r="AH112" i="5"/>
  <c r="AI411" i="5"/>
  <c r="AH411" i="5"/>
  <c r="AH134" i="5"/>
  <c r="AI134" i="5"/>
  <c r="AI247" i="5"/>
  <c r="AH247" i="5"/>
  <c r="AI220" i="5"/>
  <c r="AH220" i="5"/>
  <c r="AI96" i="5"/>
  <c r="AH96" i="5"/>
  <c r="AH21" i="4"/>
  <c r="AE21" i="4"/>
  <c r="Z21" i="4"/>
  <c r="X21" i="4" s="1"/>
  <c r="AJ21" i="4" s="1"/>
  <c r="AH19" i="4"/>
  <c r="AE19" i="4"/>
  <c r="Z19" i="4"/>
  <c r="X19" i="4" s="1"/>
  <c r="AJ19" i="4" s="1"/>
  <c r="AH111" i="4"/>
  <c r="AE111" i="4"/>
  <c r="AH13" i="4"/>
  <c r="Z13" i="4"/>
  <c r="X13" i="4" s="1"/>
  <c r="AJ13" i="4" s="1"/>
  <c r="AE13" i="4"/>
  <c r="AH92" i="4"/>
  <c r="AE92" i="4"/>
  <c r="AH133" i="4"/>
  <c r="AE133" i="4"/>
  <c r="AH38" i="4"/>
  <c r="AE38" i="4"/>
  <c r="Z38" i="4"/>
  <c r="AA38" i="4"/>
  <c r="AE127" i="4"/>
  <c r="AH127" i="4"/>
  <c r="AE18" i="4"/>
  <c r="AH18" i="4"/>
  <c r="Z18" i="4"/>
  <c r="X18" i="4" s="1"/>
  <c r="AJ18" i="4" s="1"/>
  <c r="AE156" i="4"/>
  <c r="AJ156" i="4"/>
  <c r="AH156" i="4"/>
  <c r="AH77" i="4"/>
  <c r="AE77" i="4"/>
  <c r="AH40" i="4"/>
  <c r="AE40" i="4"/>
  <c r="Z40" i="4"/>
  <c r="AA40" i="4"/>
  <c r="AE22" i="4"/>
  <c r="AH22" i="4"/>
  <c r="Z22" i="4"/>
  <c r="X22" i="4" s="1"/>
  <c r="AJ22" i="4" s="1"/>
  <c r="AH125" i="4"/>
  <c r="AE125" i="4"/>
  <c r="AA125" i="4"/>
  <c r="AE115" i="4"/>
  <c r="AH115" i="4"/>
  <c r="AA115" i="4"/>
  <c r="Z115" i="4"/>
  <c r="AJ134" i="4"/>
  <c r="AH134" i="4"/>
  <c r="AE134" i="4"/>
  <c r="AE11" i="4"/>
  <c r="AH11" i="4"/>
  <c r="Z11" i="4"/>
  <c r="X11" i="4" s="1"/>
  <c r="AJ11" i="4" s="1"/>
  <c r="AH154" i="4"/>
  <c r="AE154" i="4"/>
  <c r="AH143" i="4"/>
  <c r="AE143" i="4"/>
  <c r="AA52" i="4"/>
  <c r="AJ52" i="4"/>
  <c r="AE52" i="4"/>
  <c r="AH52" i="4"/>
  <c r="Z52" i="4"/>
  <c r="AH17" i="4"/>
  <c r="Z17" i="4"/>
  <c r="X17" i="4" s="1"/>
  <c r="AA17" i="4" s="1"/>
  <c r="AE17" i="4"/>
  <c r="AH132" i="4"/>
  <c r="Z132" i="4"/>
  <c r="AE132" i="4"/>
  <c r="AA132" i="4"/>
  <c r="AH86" i="4"/>
  <c r="AE86" i="4"/>
  <c r="AH90" i="4"/>
  <c r="AE90" i="4"/>
  <c r="AH45" i="4"/>
  <c r="Z45" i="4"/>
  <c r="AA45" i="4"/>
  <c r="AE45" i="4"/>
  <c r="AH107" i="4"/>
  <c r="AA107" i="4"/>
  <c r="Z107" i="4"/>
  <c r="AE107" i="4"/>
  <c r="AR133" i="5"/>
  <c r="AQ133" i="5"/>
  <c r="BI133" i="5"/>
  <c r="AQ32" i="5"/>
  <c r="BI32" i="5"/>
  <c r="AR32" i="5"/>
  <c r="AR62" i="5"/>
  <c r="AQ265" i="5"/>
  <c r="AR265" i="5"/>
  <c r="BI265" i="5"/>
  <c r="AR93" i="5"/>
  <c r="AQ93" i="5"/>
  <c r="BI93" i="5"/>
  <c r="AQ488" i="5"/>
  <c r="AQ550" i="5"/>
  <c r="BI550" i="5"/>
  <c r="AR550" i="5"/>
  <c r="BI118" i="5"/>
  <c r="AR357" i="5"/>
  <c r="AQ357" i="5"/>
  <c r="BI357" i="5"/>
  <c r="AQ532" i="5"/>
  <c r="AR532" i="5"/>
  <c r="BI532" i="5"/>
  <c r="AQ256" i="5"/>
  <c r="BI256" i="5"/>
  <c r="AR256" i="5"/>
  <c r="AP127" i="5"/>
  <c r="AR172" i="5"/>
  <c r="AQ172" i="5"/>
  <c r="BI172" i="5"/>
  <c r="AP500" i="5"/>
  <c r="AQ139" i="5"/>
  <c r="AR139" i="5"/>
  <c r="BI139" i="5"/>
  <c r="BI460" i="5"/>
  <c r="AR460" i="5"/>
  <c r="AQ460" i="5"/>
  <c r="AR43" i="5"/>
  <c r="BI43" i="5"/>
  <c r="AQ43" i="5"/>
  <c r="AQ29" i="5"/>
  <c r="BI250" i="5"/>
  <c r="AR250" i="5"/>
  <c r="AQ250" i="5"/>
  <c r="AR136" i="5"/>
  <c r="AQ136" i="5"/>
  <c r="BI136" i="5"/>
  <c r="AQ277" i="5"/>
  <c r="BI277" i="5"/>
  <c r="AR277" i="5"/>
  <c r="AP524" i="5"/>
  <c r="BI342" i="5"/>
  <c r="AR342" i="5"/>
  <c r="AQ342" i="5"/>
  <c r="AJ61" i="4"/>
  <c r="AH61" i="4"/>
  <c r="AE61" i="4"/>
  <c r="AJ141" i="4"/>
  <c r="AE141" i="4"/>
  <c r="AH141" i="4"/>
  <c r="AE33" i="4"/>
  <c r="Z33" i="4"/>
  <c r="AH33" i="4"/>
  <c r="AH44" i="4"/>
  <c r="AE44" i="4"/>
  <c r="AA44" i="4"/>
  <c r="Z44" i="4"/>
  <c r="AE30" i="4"/>
  <c r="Z30" i="4"/>
  <c r="X30" i="4" s="1"/>
  <c r="AJ30" i="4" s="1"/>
  <c r="AH30" i="4"/>
  <c r="AH15" i="4"/>
  <c r="AE15" i="4"/>
  <c r="Z15" i="4"/>
  <c r="X15" i="4" s="1"/>
  <c r="AJ15" i="4" s="1"/>
  <c r="AH8" i="4"/>
  <c r="Z8" i="4"/>
  <c r="X8" i="4" s="1"/>
  <c r="AJ8" i="4" s="1"/>
  <c r="AE8" i="4"/>
  <c r="AA147" i="4"/>
  <c r="AE147" i="4"/>
  <c r="Z147" i="4"/>
  <c r="AH147" i="4"/>
  <c r="AH137" i="4"/>
  <c r="AE137" i="4"/>
  <c r="AE28" i="4"/>
  <c r="Z28" i="4"/>
  <c r="X28" i="4" s="1"/>
  <c r="AJ28" i="4" s="1"/>
  <c r="AH28" i="4"/>
  <c r="AE151" i="4"/>
  <c r="Z151" i="4"/>
  <c r="AH151" i="4"/>
  <c r="AU9" i="5"/>
  <c r="AV9" i="5"/>
  <c r="BC9" i="5"/>
  <c r="BB9" i="5"/>
  <c r="BA9" i="5"/>
  <c r="X9" i="5"/>
  <c r="Y9" i="5"/>
  <c r="AN397" i="5"/>
  <c r="AO397" i="5"/>
  <c r="AN237" i="5"/>
  <c r="AO237" i="5"/>
  <c r="AO37" i="5"/>
  <c r="AN37" i="5"/>
  <c r="AN558" i="5"/>
  <c r="AO558" i="5"/>
  <c r="AN166" i="5"/>
  <c r="AO166" i="5"/>
  <c r="AN404" i="5"/>
  <c r="AO404" i="5"/>
  <c r="AN187" i="5"/>
  <c r="AO187" i="5"/>
  <c r="AN216" i="5"/>
  <c r="AO216" i="5"/>
  <c r="AO420" i="5"/>
  <c r="AN420" i="5"/>
  <c r="AN427" i="5"/>
  <c r="AO427" i="5"/>
  <c r="AO447" i="5"/>
  <c r="AN447" i="5"/>
  <c r="AO286" i="5"/>
  <c r="AN286" i="5"/>
  <c r="AN473" i="5"/>
  <c r="AO473" i="5"/>
  <c r="AO503" i="5"/>
  <c r="AN503" i="5"/>
  <c r="AN202" i="5"/>
  <c r="AO202" i="5"/>
  <c r="AN215" i="5"/>
  <c r="AO215" i="5"/>
  <c r="AN177" i="5"/>
  <c r="AO177" i="5"/>
  <c r="AN328" i="5"/>
  <c r="AO328" i="5"/>
  <c r="AN306" i="5"/>
  <c r="AO306" i="5"/>
  <c r="AN421" i="5"/>
  <c r="AO421" i="5"/>
  <c r="AO109" i="5"/>
  <c r="AN109" i="5"/>
  <c r="AN545" i="5"/>
  <c r="AO545" i="5"/>
  <c r="AN344" i="5"/>
  <c r="AO344" i="5"/>
  <c r="AN491" i="5"/>
  <c r="AO491" i="5"/>
  <c r="AO512" i="5"/>
  <c r="AN512" i="5"/>
  <c r="AO544" i="5"/>
  <c r="AN544" i="5"/>
  <c r="AO134" i="5"/>
  <c r="AN134" i="5"/>
  <c r="AN433" i="5"/>
  <c r="AO433" i="5"/>
  <c r="AN22" i="5"/>
  <c r="AO22" i="5"/>
  <c r="AN181" i="5"/>
  <c r="AO181" i="5"/>
  <c r="AO555" i="5"/>
  <c r="AN555" i="5"/>
  <c r="AO262" i="5"/>
  <c r="AN262" i="5"/>
  <c r="AN410" i="5"/>
  <c r="AO410" i="5"/>
  <c r="AN502" i="5"/>
  <c r="AO502" i="5"/>
  <c r="AN233" i="5"/>
  <c r="AO233" i="5"/>
  <c r="AN319" i="5"/>
  <c r="AO319" i="5"/>
  <c r="AN457" i="5"/>
  <c r="AO457" i="5"/>
  <c r="AN304" i="5"/>
  <c r="AO304" i="5"/>
  <c r="AO46" i="5"/>
  <c r="AN46" i="5"/>
  <c r="AN400" i="5"/>
  <c r="AO400" i="5"/>
  <c r="AN398" i="5"/>
  <c r="AO398" i="5"/>
  <c r="AO440" i="5"/>
  <c r="AN440" i="5"/>
  <c r="AO198" i="5"/>
  <c r="AN198" i="5"/>
  <c r="AN34" i="5"/>
  <c r="AO34" i="5"/>
  <c r="AO64" i="5"/>
  <c r="AN64" i="5"/>
  <c r="AN50" i="5"/>
  <c r="AO50" i="5"/>
  <c r="AN431" i="5"/>
  <c r="AO431" i="5"/>
  <c r="AO542" i="5"/>
  <c r="AN542" i="5"/>
  <c r="AO206" i="5"/>
  <c r="AN206" i="5"/>
  <c r="AO370" i="5"/>
  <c r="AN370" i="5"/>
  <c r="AO499" i="5"/>
  <c r="AN499" i="5"/>
  <c r="AN10" i="5"/>
  <c r="AO10" i="5"/>
  <c r="AO481" i="5"/>
  <c r="AN481" i="5"/>
  <c r="AO239" i="5"/>
  <c r="AN239" i="5"/>
  <c r="AO263" i="5"/>
  <c r="AN263" i="5"/>
  <c r="AO258" i="5"/>
  <c r="AN258" i="5"/>
  <c r="AO55" i="5"/>
  <c r="AN55" i="5"/>
  <c r="AN255" i="5"/>
  <c r="AO255" i="5"/>
  <c r="AN112" i="5"/>
  <c r="AO112" i="5"/>
  <c r="AO332" i="5"/>
  <c r="AN332" i="5"/>
  <c r="AN543" i="5"/>
  <c r="AO543" i="5"/>
  <c r="AN53" i="5"/>
  <c r="AO53" i="5"/>
  <c r="AN88" i="5"/>
  <c r="AO88" i="5"/>
  <c r="AN513" i="5"/>
  <c r="AO513" i="5"/>
  <c r="AN396" i="5"/>
  <c r="AO396" i="5"/>
  <c r="AN217" i="5"/>
  <c r="AO217" i="5"/>
  <c r="AN519" i="5"/>
  <c r="AO519" i="5"/>
  <c r="AO464" i="5"/>
  <c r="AN464" i="5"/>
  <c r="AN357" i="5"/>
  <c r="AO357" i="5"/>
  <c r="AO94" i="5"/>
  <c r="AN94" i="5"/>
  <c r="AN102" i="5"/>
  <c r="AO102" i="5"/>
  <c r="AN19" i="5"/>
  <c r="AO19" i="5"/>
  <c r="AO97" i="5"/>
  <c r="AN97" i="5"/>
  <c r="AO279" i="5"/>
  <c r="AN279" i="5"/>
  <c r="AN165" i="5"/>
  <c r="AO165" i="5"/>
  <c r="AN67" i="5"/>
  <c r="AO67" i="5"/>
  <c r="AO415" i="5"/>
  <c r="AN415" i="5"/>
  <c r="AO52" i="5"/>
  <c r="AN52" i="5"/>
  <c r="AN43" i="5"/>
  <c r="AO43" i="5"/>
  <c r="AN317" i="5"/>
  <c r="AO317" i="5"/>
  <c r="AO523" i="5"/>
  <c r="AN523" i="5"/>
  <c r="AO359" i="5"/>
  <c r="AN359" i="5"/>
  <c r="AO131" i="5"/>
  <c r="AN131" i="5"/>
  <c r="AO100" i="5"/>
  <c r="AN100" i="5"/>
  <c r="AN528" i="5"/>
  <c r="AO528" i="5"/>
  <c r="AN303" i="5"/>
  <c r="AO303" i="5"/>
  <c r="AN349" i="5"/>
  <c r="AO349" i="5"/>
  <c r="AO540" i="5"/>
  <c r="AN540" i="5"/>
  <c r="AO174" i="5"/>
  <c r="AN174" i="5"/>
  <c r="AO29" i="5"/>
  <c r="AN29" i="5"/>
  <c r="AN471" i="5"/>
  <c r="AO471" i="5"/>
  <c r="AN488" i="5"/>
  <c r="AO488" i="5"/>
  <c r="AN20" i="5"/>
  <c r="AO20" i="5"/>
  <c r="AN238" i="5"/>
  <c r="AO238" i="5"/>
  <c r="AN508" i="5"/>
  <c r="AO508" i="5"/>
  <c r="AN23" i="5"/>
  <c r="AO23" i="5"/>
  <c r="AN111" i="5"/>
  <c r="AO111" i="5"/>
  <c r="AN161" i="5"/>
  <c r="AO161" i="5"/>
  <c r="AO99" i="5"/>
  <c r="AN99" i="5"/>
  <c r="AN35" i="5"/>
  <c r="AO35" i="5"/>
  <c r="AO119" i="5"/>
  <c r="AN119" i="5"/>
  <c r="AO271" i="5"/>
  <c r="AN271" i="5"/>
  <c r="AN449" i="5"/>
  <c r="AO449" i="5"/>
  <c r="AO538" i="5"/>
  <c r="AN538" i="5"/>
  <c r="AN47" i="5"/>
  <c r="AO47" i="5"/>
  <c r="AO58" i="5"/>
  <c r="AN58" i="5"/>
  <c r="AN379" i="5"/>
  <c r="AO379" i="5"/>
  <c r="AN339" i="5"/>
  <c r="AO339" i="5"/>
  <c r="AN522" i="5"/>
  <c r="AO522" i="5"/>
  <c r="AN423" i="5"/>
  <c r="AO423" i="5"/>
  <c r="AN223" i="5"/>
  <c r="AO223" i="5"/>
  <c r="AO75" i="5"/>
  <c r="AN75" i="5"/>
  <c r="AN91" i="5"/>
  <c r="AO91" i="5"/>
  <c r="AN123" i="5"/>
  <c r="AO123" i="5"/>
  <c r="AO493" i="5"/>
  <c r="AN493" i="5"/>
  <c r="AO7" i="5"/>
  <c r="AN7" i="5"/>
  <c r="AO346" i="5"/>
  <c r="AN346" i="5"/>
  <c r="AN484" i="5"/>
  <c r="AO484" i="5"/>
  <c r="AO8" i="5"/>
  <c r="AN8" i="5"/>
  <c r="AO130" i="5"/>
  <c r="AN130" i="5"/>
  <c r="AO289" i="5"/>
  <c r="AN289" i="5"/>
  <c r="AO534" i="5"/>
  <c r="AN534" i="5"/>
  <c r="AO253" i="5"/>
  <c r="AN253" i="5"/>
  <c r="AN89" i="5"/>
  <c r="AO89" i="5"/>
  <c r="AO121" i="5"/>
  <c r="AN121" i="5"/>
  <c r="AN395" i="5"/>
  <c r="AO395" i="5"/>
  <c r="AN330" i="5"/>
  <c r="AO330" i="5"/>
  <c r="AN188" i="5"/>
  <c r="AO188" i="5"/>
  <c r="AO441" i="5"/>
  <c r="AN441" i="5"/>
  <c r="AO486" i="5"/>
  <c r="AN486" i="5"/>
  <c r="AN92" i="5"/>
  <c r="AO92" i="5"/>
  <c r="AO60" i="5"/>
  <c r="AN60" i="5"/>
  <c r="AO80" i="5"/>
  <c r="AN80" i="5"/>
  <c r="AN114" i="5"/>
  <c r="AO114" i="5"/>
  <c r="AO261" i="5"/>
  <c r="AN261" i="5"/>
  <c r="AN245" i="5"/>
  <c r="AO245" i="5"/>
  <c r="AN516" i="5"/>
  <c r="AO516" i="5"/>
  <c r="AH335" i="5"/>
  <c r="AI335" i="5"/>
  <c r="AH482" i="5"/>
  <c r="AI482" i="5"/>
  <c r="AH446" i="5"/>
  <c r="AI446" i="5"/>
  <c r="AH386" i="5"/>
  <c r="AI386" i="5"/>
  <c r="AI162" i="5"/>
  <c r="AH162" i="5"/>
  <c r="AH8" i="5"/>
  <c r="AI8" i="5"/>
  <c r="AI497" i="5"/>
  <c r="AH497" i="5"/>
  <c r="AI455" i="5"/>
  <c r="AH455" i="5"/>
  <c r="AH529" i="5"/>
  <c r="AI529" i="5"/>
  <c r="AI309" i="5"/>
  <c r="AH309" i="5"/>
  <c r="AI90" i="5"/>
  <c r="AH90" i="5"/>
  <c r="AH431" i="5"/>
  <c r="AI431" i="5"/>
  <c r="AH126" i="5"/>
  <c r="AI126" i="5"/>
  <c r="AH32" i="5"/>
  <c r="AI32" i="5"/>
  <c r="AH373" i="5"/>
  <c r="AI373" i="5"/>
  <c r="AH108" i="5"/>
  <c r="AI108" i="5"/>
  <c r="AI281" i="5"/>
  <c r="AH281" i="5"/>
  <c r="AI176" i="5"/>
  <c r="AH176" i="5"/>
  <c r="AI237" i="5"/>
  <c r="AH237" i="5"/>
  <c r="AI538" i="5"/>
  <c r="AH538" i="5"/>
  <c r="AH284" i="5"/>
  <c r="AI284" i="5"/>
  <c r="AH270" i="5"/>
  <c r="AI270" i="5"/>
  <c r="AH509" i="5"/>
  <c r="AI509" i="5"/>
  <c r="AH511" i="5"/>
  <c r="AI511" i="5"/>
  <c r="AH260" i="5"/>
  <c r="AI260" i="5"/>
  <c r="AH472" i="5"/>
  <c r="AI472" i="5"/>
  <c r="AH19" i="5"/>
  <c r="AI19" i="5"/>
  <c r="AI207" i="5"/>
  <c r="AH207" i="5"/>
  <c r="AI168" i="5"/>
  <c r="AH168" i="5"/>
  <c r="AI70" i="5"/>
  <c r="AH70" i="5"/>
  <c r="AI24" i="5"/>
  <c r="AH24" i="5"/>
  <c r="AI302" i="5"/>
  <c r="AH302" i="5"/>
  <c r="AH403" i="5"/>
  <c r="AI403" i="5"/>
  <c r="AH133" i="5"/>
  <c r="AI133" i="5"/>
  <c r="AH159" i="5"/>
  <c r="AI159" i="5"/>
  <c r="AH363" i="5"/>
  <c r="AI363" i="5"/>
  <c r="AH238" i="5"/>
  <c r="AI238" i="5"/>
  <c r="AI129" i="5"/>
  <c r="AH129" i="5"/>
  <c r="AI185" i="5"/>
  <c r="AH185" i="5"/>
  <c r="AI428" i="5"/>
  <c r="AH428" i="5"/>
  <c r="AI362" i="5"/>
  <c r="AH362" i="5"/>
  <c r="AH130" i="5"/>
  <c r="AI130" i="5"/>
  <c r="AH277" i="5"/>
  <c r="AI277" i="5"/>
  <c r="AH492" i="5"/>
  <c r="AI492" i="5"/>
  <c r="AH452" i="5"/>
  <c r="AI452" i="5"/>
  <c r="AH332" i="5"/>
  <c r="AI332" i="5"/>
  <c r="AH124" i="5"/>
  <c r="AI124" i="5"/>
  <c r="AH481" i="5"/>
  <c r="AI481" i="5"/>
  <c r="AH305" i="5"/>
  <c r="AI305" i="5"/>
  <c r="AI251" i="5"/>
  <c r="AH251" i="5"/>
  <c r="AI227" i="5"/>
  <c r="AH227" i="5"/>
  <c r="AH201" i="5"/>
  <c r="AI201" i="5"/>
  <c r="AH99" i="5"/>
  <c r="AI99" i="5"/>
  <c r="AH275" i="5"/>
  <c r="AI275" i="5"/>
  <c r="AI180" i="5"/>
  <c r="AH180" i="5"/>
  <c r="AH304" i="5"/>
  <c r="AI304" i="5"/>
  <c r="AH214" i="5"/>
  <c r="AI214" i="5"/>
  <c r="AH65" i="5"/>
  <c r="AI65" i="5"/>
  <c r="AH256" i="5"/>
  <c r="AI256" i="5"/>
  <c r="AI109" i="5"/>
  <c r="AH109" i="5"/>
  <c r="AI279" i="5"/>
  <c r="AH279" i="5"/>
  <c r="AH104" i="5"/>
  <c r="AI104" i="5"/>
  <c r="AH525" i="5"/>
  <c r="AI525" i="5"/>
  <c r="AH387" i="5"/>
  <c r="AI387" i="5"/>
  <c r="AI223" i="5"/>
  <c r="AH223" i="5"/>
  <c r="AI137" i="5"/>
  <c r="AH137" i="5"/>
  <c r="AI485" i="5"/>
  <c r="AH485" i="5"/>
  <c r="AH477" i="5"/>
  <c r="AI477" i="5"/>
  <c r="AH461" i="5"/>
  <c r="AI461" i="5"/>
  <c r="AH245" i="5"/>
  <c r="AI245" i="5"/>
  <c r="AI528" i="5"/>
  <c r="AH528" i="5"/>
  <c r="AH169" i="5"/>
  <c r="AI169" i="5"/>
  <c r="AI135" i="5"/>
  <c r="AH135" i="5"/>
  <c r="AI246" i="5"/>
  <c r="AH246" i="5"/>
  <c r="AI122" i="5"/>
  <c r="AH122" i="5"/>
  <c r="AI338" i="5"/>
  <c r="AH338" i="5"/>
  <c r="AI533" i="5"/>
  <c r="AH533" i="5"/>
  <c r="AI86" i="5"/>
  <c r="AH86" i="5"/>
  <c r="AI516" i="5"/>
  <c r="AH516" i="5"/>
  <c r="AI474" i="5"/>
  <c r="AH474" i="5"/>
  <c r="AI487" i="5"/>
  <c r="AH487" i="5"/>
  <c r="AI49" i="5"/>
  <c r="AH49" i="5"/>
  <c r="AI501" i="5"/>
  <c r="AH501" i="5"/>
  <c r="AI148" i="5"/>
  <c r="AH148" i="5"/>
  <c r="AH157" i="5"/>
  <c r="AI157" i="5"/>
  <c r="AH471" i="5"/>
  <c r="AI471" i="5"/>
  <c r="AI544" i="5"/>
  <c r="AH544" i="5"/>
  <c r="AH232" i="5"/>
  <c r="AI232" i="5"/>
  <c r="AH95" i="5"/>
  <c r="AI95" i="5"/>
  <c r="AI191" i="5"/>
  <c r="AH191" i="5"/>
  <c r="AH44" i="5"/>
  <c r="AI44" i="5"/>
  <c r="AH559" i="5"/>
  <c r="AI559" i="5"/>
  <c r="AH139" i="5"/>
  <c r="AI139" i="5"/>
  <c r="AI537" i="5"/>
  <c r="AH537" i="5"/>
  <c r="AI179" i="5"/>
  <c r="AH179" i="5"/>
  <c r="AH545" i="5"/>
  <c r="AI545" i="5"/>
  <c r="AH489" i="5"/>
  <c r="AI489" i="5"/>
  <c r="AH197" i="5"/>
  <c r="AI197" i="5"/>
  <c r="AH357" i="5"/>
  <c r="AI357" i="5"/>
  <c r="AH263" i="5"/>
  <c r="AI263" i="5"/>
  <c r="AH532" i="5"/>
  <c r="AI532" i="5"/>
  <c r="AH449" i="5"/>
  <c r="AI449" i="5"/>
  <c r="AH346" i="5"/>
  <c r="AI346" i="5"/>
  <c r="AI301" i="5"/>
  <c r="AH301" i="5"/>
  <c r="AI101" i="5"/>
  <c r="AH101" i="5"/>
  <c r="AI117" i="5"/>
  <c r="AH117" i="5"/>
  <c r="AI202" i="5"/>
  <c r="AH202" i="5"/>
  <c r="AH172" i="5"/>
  <c r="AI172" i="5"/>
  <c r="AI190" i="5"/>
  <c r="AH190" i="5"/>
  <c r="AI68" i="5"/>
  <c r="AH68" i="5"/>
  <c r="AH183" i="5"/>
  <c r="AI183" i="5"/>
  <c r="AI145" i="5"/>
  <c r="AH145" i="5"/>
  <c r="AI400" i="5"/>
  <c r="AH400" i="5"/>
  <c r="AI475" i="5"/>
  <c r="AH475" i="5"/>
  <c r="AH311" i="5"/>
  <c r="AI311" i="5"/>
  <c r="AI193" i="5"/>
  <c r="AH193" i="5"/>
  <c r="AH500" i="5"/>
  <c r="AI500" i="5"/>
  <c r="AH351" i="5"/>
  <c r="AI351" i="5"/>
  <c r="AI508" i="5"/>
  <c r="AH508" i="5"/>
  <c r="AH249" i="5"/>
  <c r="AI249" i="5"/>
  <c r="AH418" i="5"/>
  <c r="AI418" i="5"/>
  <c r="AH182" i="5"/>
  <c r="AI182" i="5"/>
  <c r="AH150" i="5"/>
  <c r="AI150" i="5"/>
  <c r="AH252" i="5"/>
  <c r="AI252" i="5"/>
  <c r="AI149" i="5"/>
  <c r="AH149" i="5"/>
  <c r="AH110" i="5"/>
  <c r="AI110" i="5"/>
  <c r="AI243" i="5"/>
  <c r="AH243" i="5"/>
  <c r="AI98" i="5"/>
  <c r="AH98" i="5"/>
  <c r="AH30" i="5"/>
  <c r="AI30" i="5"/>
  <c r="AH450" i="5"/>
  <c r="AI450" i="5"/>
  <c r="AI374" i="5"/>
  <c r="AH374" i="5"/>
  <c r="AH155" i="5"/>
  <c r="AI155" i="5"/>
  <c r="AH13" i="5"/>
  <c r="AI13" i="5"/>
  <c r="AI88" i="5"/>
  <c r="AH88" i="5"/>
  <c r="AH184" i="5"/>
  <c r="AI184" i="5"/>
  <c r="AI72" i="5"/>
  <c r="AH72" i="5"/>
  <c r="AH352" i="5"/>
  <c r="AI352" i="5"/>
  <c r="AE103" i="4"/>
  <c r="AA103" i="4"/>
  <c r="Z103" i="4"/>
  <c r="AH103" i="4"/>
  <c r="AH75" i="4"/>
  <c r="AE75" i="4"/>
  <c r="AQ308" i="5" l="1"/>
  <c r="BI280" i="5"/>
  <c r="AQ326" i="5"/>
  <c r="AR490" i="5"/>
  <c r="AQ232" i="5"/>
  <c r="BI72" i="5"/>
  <c r="BI232" i="5"/>
  <c r="AR72" i="5"/>
  <c r="BI308" i="5"/>
  <c r="AQ280" i="5"/>
  <c r="AQ490" i="5"/>
  <c r="AQ92" i="5"/>
  <c r="AR92" i="5"/>
  <c r="BI330" i="5"/>
  <c r="AR45" i="5"/>
  <c r="AR214" i="5"/>
  <c r="BI530" i="5"/>
  <c r="BI438" i="5"/>
  <c r="AQ110" i="5"/>
  <c r="BI453" i="5"/>
  <c r="AQ156" i="5"/>
  <c r="AR427" i="5"/>
  <c r="BI129" i="5"/>
  <c r="BJ129" i="5" s="1"/>
  <c r="BI420" i="5"/>
  <c r="AR199" i="5"/>
  <c r="AQ335" i="5"/>
  <c r="BI30" i="5"/>
  <c r="BK30" i="5" s="1"/>
  <c r="AR420" i="5"/>
  <c r="AR197" i="5"/>
  <c r="AQ197" i="5"/>
  <c r="AQ352" i="5"/>
  <c r="AQ199" i="5"/>
  <c r="AR129" i="5"/>
  <c r="AR330" i="5"/>
  <c r="AR206" i="5"/>
  <c r="AQ313" i="5"/>
  <c r="AQ206" i="5"/>
  <c r="AR318" i="5"/>
  <c r="AQ102" i="5"/>
  <c r="AR313" i="5"/>
  <c r="AR451" i="5"/>
  <c r="AQ19" i="5"/>
  <c r="BI233" i="5"/>
  <c r="BJ233" i="5" s="1"/>
  <c r="BI318" i="5"/>
  <c r="AR435" i="5"/>
  <c r="AQ117" i="5"/>
  <c r="AQ69" i="5"/>
  <c r="AR449" i="5"/>
  <c r="AR351" i="5"/>
  <c r="AR30" i="5"/>
  <c r="AQ435" i="5"/>
  <c r="BI117" i="5"/>
  <c r="BI354" i="5"/>
  <c r="BI69" i="5"/>
  <c r="BK69" i="5" s="1"/>
  <c r="BI449" i="5"/>
  <c r="BK449" i="5" s="1"/>
  <c r="BI61" i="5"/>
  <c r="AQ78" i="5"/>
  <c r="AR10" i="5"/>
  <c r="AR57" i="5"/>
  <c r="BI78" i="5"/>
  <c r="AR52" i="5"/>
  <c r="AQ198" i="5"/>
  <c r="AR118" i="5"/>
  <c r="AQ540" i="5"/>
  <c r="AQ222" i="5"/>
  <c r="AR50" i="5"/>
  <c r="BI324" i="5"/>
  <c r="BJ324" i="5" s="1"/>
  <c r="BI404" i="5"/>
  <c r="AQ433" i="5"/>
  <c r="BI299" i="5"/>
  <c r="Z127" i="4"/>
  <c r="AN127" i="4" s="1"/>
  <c r="AR545" i="5"/>
  <c r="AQ120" i="5"/>
  <c r="AR80" i="5"/>
  <c r="BI362" i="5"/>
  <c r="BK362" i="5" s="1"/>
  <c r="AA154" i="4"/>
  <c r="BI100" i="5"/>
  <c r="BI212" i="5"/>
  <c r="BK212" i="5" s="1"/>
  <c r="Z123" i="4"/>
  <c r="AN123" i="4" s="1"/>
  <c r="Z73" i="4"/>
  <c r="AQ143" i="5"/>
  <c r="BI545" i="5"/>
  <c r="BI120" i="5"/>
  <c r="BK120" i="5" s="1"/>
  <c r="AQ80" i="5"/>
  <c r="AR362" i="5"/>
  <c r="AR124" i="5"/>
  <c r="AQ100" i="5"/>
  <c r="AR212" i="5"/>
  <c r="AA73" i="4"/>
  <c r="AR491" i="5"/>
  <c r="BI42" i="5"/>
  <c r="BK42" i="5" s="1"/>
  <c r="AR143" i="5"/>
  <c r="AQ124" i="5"/>
  <c r="AQ445" i="5"/>
  <c r="AR445" i="5"/>
  <c r="BI491" i="5"/>
  <c r="AQ297" i="5"/>
  <c r="AQ42" i="5"/>
  <c r="BI7" i="5"/>
  <c r="BJ7" i="5" s="1"/>
  <c r="BI297" i="5"/>
  <c r="AA130" i="4"/>
  <c r="AR211" i="5"/>
  <c r="AR289" i="5"/>
  <c r="BI341" i="5"/>
  <c r="BI79" i="5"/>
  <c r="BK79" i="5" s="1"/>
  <c r="AR58" i="5"/>
  <c r="AQ211" i="5"/>
  <c r="AQ289" i="5"/>
  <c r="AR341" i="5"/>
  <c r="AR79" i="5"/>
  <c r="AQ58" i="5"/>
  <c r="Z154" i="4"/>
  <c r="AR510" i="5"/>
  <c r="Z130" i="4"/>
  <c r="AR122" i="5"/>
  <c r="BI510" i="5"/>
  <c r="AQ258" i="5"/>
  <c r="AR111" i="5"/>
  <c r="AA86" i="4"/>
  <c r="AQ86" i="4" s="1"/>
  <c r="AQ122" i="5"/>
  <c r="BI258" i="5"/>
  <c r="BK258" i="5" s="1"/>
  <c r="AQ251" i="5"/>
  <c r="AQ111" i="5"/>
  <c r="Z86" i="4"/>
  <c r="AA127" i="4"/>
  <c r="AQ116" i="5"/>
  <c r="AR251" i="5"/>
  <c r="BI29" i="5"/>
  <c r="AQ153" i="5"/>
  <c r="AR370" i="5"/>
  <c r="AR243" i="5"/>
  <c r="AQ443" i="5"/>
  <c r="BI123" i="5"/>
  <c r="BK123" i="5" s="1"/>
  <c r="AR110" i="5"/>
  <c r="AR60" i="5"/>
  <c r="BI355" i="5"/>
  <c r="BJ355" i="5" s="1"/>
  <c r="AR438" i="5"/>
  <c r="AQ348" i="5"/>
  <c r="AR233" i="5"/>
  <c r="AQ182" i="5"/>
  <c r="BI451" i="5"/>
  <c r="BJ451" i="5" s="1"/>
  <c r="AQ354" i="5"/>
  <c r="BI214" i="5"/>
  <c r="BK214" i="5" s="1"/>
  <c r="AR91" i="5"/>
  <c r="BI352" i="5"/>
  <c r="BK352" i="5" s="1"/>
  <c r="BI52" i="5"/>
  <c r="BI188" i="5"/>
  <c r="BK188" i="5" s="1"/>
  <c r="AR447" i="5"/>
  <c r="AQ383" i="5"/>
  <c r="AQ272" i="5"/>
  <c r="BI27" i="5"/>
  <c r="BJ27" i="5" s="1"/>
  <c r="AR156" i="5"/>
  <c r="AQ87" i="5"/>
  <c r="BI351" i="5"/>
  <c r="AR102" i="5"/>
  <c r="AR422" i="5"/>
  <c r="AR335" i="5"/>
  <c r="AQ152" i="5"/>
  <c r="AQ263" i="5"/>
  <c r="BI272" i="5"/>
  <c r="BJ272" i="5" s="1"/>
  <c r="BI465" i="5"/>
  <c r="Z92" i="4"/>
  <c r="AK92" i="4" s="1"/>
  <c r="AL92" i="4" s="1"/>
  <c r="BI152" i="5"/>
  <c r="BJ152" i="5" s="1"/>
  <c r="BI340" i="5"/>
  <c r="AR263" i="5"/>
  <c r="BI528" i="5"/>
  <c r="BI24" i="5"/>
  <c r="BK24" i="5" s="1"/>
  <c r="AR501" i="5"/>
  <c r="AQ99" i="5"/>
  <c r="AQ554" i="5"/>
  <c r="AQ472" i="5"/>
  <c r="AR465" i="5"/>
  <c r="AR82" i="5"/>
  <c r="AQ340" i="5"/>
  <c r="BI158" i="5"/>
  <c r="BJ158" i="5" s="1"/>
  <c r="AQ528" i="5"/>
  <c r="AQ24" i="5"/>
  <c r="AQ501" i="5"/>
  <c r="BI99" i="5"/>
  <c r="BJ99" i="5" s="1"/>
  <c r="BI554" i="5"/>
  <c r="BI472" i="5"/>
  <c r="BJ472" i="5" s="1"/>
  <c r="BI319" i="5"/>
  <c r="BJ319" i="5" s="1"/>
  <c r="BI82" i="5"/>
  <c r="BJ82" i="5" s="1"/>
  <c r="AQ200" i="5"/>
  <c r="AR169" i="5"/>
  <c r="AQ158" i="5"/>
  <c r="BI163" i="5"/>
  <c r="BJ163" i="5" s="1"/>
  <c r="AR425" i="5"/>
  <c r="AQ98" i="5"/>
  <c r="AR319" i="5"/>
  <c r="AQ215" i="5"/>
  <c r="AR200" i="5"/>
  <c r="AQ169" i="5"/>
  <c r="AR247" i="5"/>
  <c r="BI523" i="5"/>
  <c r="BJ523" i="5" s="1"/>
  <c r="BI198" i="5"/>
  <c r="BJ198" i="5" s="1"/>
  <c r="BI247" i="5"/>
  <c r="AR163" i="5"/>
  <c r="BI425" i="5"/>
  <c r="BJ425" i="5" s="1"/>
  <c r="AR98" i="5"/>
  <c r="BI310" i="5"/>
  <c r="BK310" i="5" s="1"/>
  <c r="AQ269" i="5"/>
  <c r="AR215" i="5"/>
  <c r="AQ126" i="5"/>
  <c r="Z126" i="4"/>
  <c r="AK126" i="4" s="1"/>
  <c r="AL126" i="4" s="1"/>
  <c r="AA76" i="4"/>
  <c r="AA126" i="4"/>
  <c r="Z145" i="4"/>
  <c r="AK145" i="4" s="1"/>
  <c r="AL145" i="4" s="1"/>
  <c r="AA56" i="4"/>
  <c r="AA145" i="4"/>
  <c r="AP145" i="4" s="1"/>
  <c r="Z56" i="4"/>
  <c r="AF56" i="4" s="1"/>
  <c r="AG56" i="4" s="1"/>
  <c r="AI56" i="4" s="1"/>
  <c r="BI395" i="5"/>
  <c r="AQ426" i="5"/>
  <c r="BI283" i="5"/>
  <c r="AQ189" i="5"/>
  <c r="AQ234" i="5"/>
  <c r="AR193" i="5"/>
  <c r="AQ203" i="5"/>
  <c r="AQ373" i="5"/>
  <c r="AQ210" i="5"/>
  <c r="AQ403" i="5"/>
  <c r="AQ538" i="5"/>
  <c r="BI203" i="5"/>
  <c r="BK203" i="5" s="1"/>
  <c r="BI41" i="5"/>
  <c r="AR316" i="5"/>
  <c r="AR538" i="5"/>
  <c r="BI393" i="5"/>
  <c r="BJ393" i="5" s="1"/>
  <c r="BI397" i="5"/>
  <c r="AQ316" i="5"/>
  <c r="AQ303" i="5"/>
  <c r="AQ85" i="5"/>
  <c r="AQ393" i="5"/>
  <c r="AQ392" i="5"/>
  <c r="AQ397" i="5"/>
  <c r="BI303" i="5"/>
  <c r="BJ303" i="5" s="1"/>
  <c r="AQ475" i="5"/>
  <c r="AR470" i="5"/>
  <c r="AR392" i="5"/>
  <c r="AR249" i="5"/>
  <c r="AR395" i="5"/>
  <c r="BI475" i="5"/>
  <c r="BJ475" i="5" s="1"/>
  <c r="BI470" i="5"/>
  <c r="BJ470" i="5" s="1"/>
  <c r="BI249" i="5"/>
  <c r="BJ249" i="5" s="1"/>
  <c r="AQ459" i="5"/>
  <c r="AR426" i="5"/>
  <c r="AQ283" i="5"/>
  <c r="BI488" i="5"/>
  <c r="BK488" i="5" s="1"/>
  <c r="AQ89" i="5"/>
  <c r="BI424" i="5"/>
  <c r="BJ424" i="5" s="1"/>
  <c r="AR161" i="5"/>
  <c r="AQ477" i="5"/>
  <c r="AR114" i="5"/>
  <c r="BI204" i="5"/>
  <c r="BJ204" i="5" s="1"/>
  <c r="AQ432" i="5"/>
  <c r="AQ37" i="5"/>
  <c r="BI505" i="5"/>
  <c r="BJ505" i="5" s="1"/>
  <c r="AR396" i="5"/>
  <c r="AQ424" i="5"/>
  <c r="AQ161" i="5"/>
  <c r="AQ114" i="5"/>
  <c r="AR59" i="5"/>
  <c r="BI405" i="5"/>
  <c r="AQ59" i="5"/>
  <c r="AR405" i="5"/>
  <c r="AQ522" i="5"/>
  <c r="AQ194" i="5"/>
  <c r="AR366" i="5"/>
  <c r="AQ257" i="5"/>
  <c r="AR522" i="5"/>
  <c r="AR304" i="5"/>
  <c r="AR194" i="5"/>
  <c r="BI366" i="5"/>
  <c r="BK366" i="5" s="1"/>
  <c r="AR257" i="5"/>
  <c r="AR439" i="5"/>
  <c r="AQ304" i="5"/>
  <c r="BI218" i="5"/>
  <c r="AQ174" i="5"/>
  <c r="AQ439" i="5"/>
  <c r="AR167" i="5"/>
  <c r="AQ218" i="5"/>
  <c r="BI174" i="5"/>
  <c r="BJ174" i="5" s="1"/>
  <c r="AQ167" i="5"/>
  <c r="AR323" i="5"/>
  <c r="AR531" i="5"/>
  <c r="BI290" i="5"/>
  <c r="BJ290" i="5" s="1"/>
  <c r="BI34" i="5"/>
  <c r="AR240" i="5"/>
  <c r="AQ323" i="5"/>
  <c r="AQ484" i="5"/>
  <c r="BI531" i="5"/>
  <c r="AQ245" i="5"/>
  <c r="AQ290" i="5"/>
  <c r="AR195" i="5"/>
  <c r="AR34" i="5"/>
  <c r="AQ240" i="5"/>
  <c r="AJ29" i="4"/>
  <c r="AA29" i="4"/>
  <c r="AP29" i="4" s="1"/>
  <c r="AJ34" i="4"/>
  <c r="AA34" i="4"/>
  <c r="AQ34" i="4" s="1"/>
  <c r="BI427" i="5"/>
  <c r="BK427" i="5" s="1"/>
  <c r="AR85" i="5"/>
  <c r="AQ486" i="5"/>
  <c r="AA32" i="4"/>
  <c r="AC32" i="4" s="1"/>
  <c r="AD32" i="4" s="1"/>
  <c r="BI334" i="5"/>
  <c r="BJ334" i="5" s="1"/>
  <c r="AR51" i="5"/>
  <c r="AQ557" i="5"/>
  <c r="BI91" i="5"/>
  <c r="BK91" i="5" s="1"/>
  <c r="AR530" i="5"/>
  <c r="AR71" i="5"/>
  <c r="BI208" i="5"/>
  <c r="AQ455" i="5"/>
  <c r="AR61" i="5"/>
  <c r="BI422" i="5"/>
  <c r="BJ422" i="5" s="1"/>
  <c r="AR534" i="5"/>
  <c r="AR459" i="5"/>
  <c r="BI519" i="5"/>
  <c r="BJ519" i="5" s="1"/>
  <c r="AA30" i="4"/>
  <c r="AC30" i="4" s="1"/>
  <c r="AD30" i="4" s="1"/>
  <c r="AR364" i="5"/>
  <c r="AQ262" i="5"/>
  <c r="AQ381" i="5"/>
  <c r="BI502" i="5"/>
  <c r="BK502" i="5" s="1"/>
  <c r="BI329" i="5"/>
  <c r="AQ359" i="5"/>
  <c r="AR116" i="5"/>
  <c r="AQ349" i="5"/>
  <c r="AQ332" i="5"/>
  <c r="AA27" i="4"/>
  <c r="AP27" i="4" s="1"/>
  <c r="BI95" i="5"/>
  <c r="BK95" i="5" s="1"/>
  <c r="BI364" i="5"/>
  <c r="BJ364" i="5" s="1"/>
  <c r="AR314" i="5"/>
  <c r="AR262" i="5"/>
  <c r="AQ230" i="5"/>
  <c r="AR381" i="5"/>
  <c r="AQ175" i="5"/>
  <c r="AQ329" i="5"/>
  <c r="BI359" i="5"/>
  <c r="AR349" i="5"/>
  <c r="AQ56" i="5"/>
  <c r="AA26" i="4"/>
  <c r="AQ26" i="4" s="1"/>
  <c r="AQ513" i="5"/>
  <c r="BI314" i="5"/>
  <c r="BK314" i="5" s="1"/>
  <c r="BI180" i="5"/>
  <c r="BK180" i="5" s="1"/>
  <c r="BI230" i="5"/>
  <c r="BJ230" i="5" s="1"/>
  <c r="AR175" i="5"/>
  <c r="BI236" i="5"/>
  <c r="BK236" i="5" s="1"/>
  <c r="AQ384" i="5"/>
  <c r="AR121" i="5"/>
  <c r="AR287" i="5"/>
  <c r="AR96" i="5"/>
  <c r="AR278" i="5"/>
  <c r="AR226" i="5"/>
  <c r="BI458" i="5"/>
  <c r="BK458" i="5" s="1"/>
  <c r="AQ533" i="5"/>
  <c r="AR473" i="5"/>
  <c r="AQ544" i="5"/>
  <c r="AR56" i="5"/>
  <c r="AR513" i="5"/>
  <c r="AR104" i="5"/>
  <c r="AR180" i="5"/>
  <c r="BI389" i="5"/>
  <c r="BJ389" i="5" s="1"/>
  <c r="AR236" i="5"/>
  <c r="AR384" i="5"/>
  <c r="AQ121" i="5"/>
  <c r="BI287" i="5"/>
  <c r="BJ287" i="5" s="1"/>
  <c r="BI96" i="5"/>
  <c r="BJ96" i="5" s="1"/>
  <c r="AQ278" i="5"/>
  <c r="AQ494" i="5"/>
  <c r="BI226" i="5"/>
  <c r="AA35" i="4"/>
  <c r="AP35" i="4" s="1"/>
  <c r="BI296" i="5"/>
  <c r="AQ458" i="5"/>
  <c r="BI533" i="5"/>
  <c r="BI473" i="5"/>
  <c r="BJ473" i="5" s="1"/>
  <c r="AR544" i="5"/>
  <c r="BI104" i="5"/>
  <c r="BJ104" i="5" s="1"/>
  <c r="AQ63" i="5"/>
  <c r="AR246" i="5"/>
  <c r="AR389" i="5"/>
  <c r="AR494" i="5"/>
  <c r="AR296" i="5"/>
  <c r="BI63" i="5"/>
  <c r="BJ63" i="5" s="1"/>
  <c r="BI246" i="5"/>
  <c r="AQ423" i="5"/>
  <c r="AR412" i="5"/>
  <c r="AQ347" i="5"/>
  <c r="AQ142" i="5"/>
  <c r="AQ26" i="5"/>
  <c r="AQ302" i="5"/>
  <c r="X31" i="4"/>
  <c r="AJ31" i="4" s="1"/>
  <c r="AJ33" i="4"/>
  <c r="AR353" i="5"/>
  <c r="BI155" i="5"/>
  <c r="BK155" i="5" s="1"/>
  <c r="AR423" i="5"/>
  <c r="AQ412" i="5"/>
  <c r="AR347" i="5"/>
  <c r="BI142" i="5"/>
  <c r="AR26" i="5"/>
  <c r="BI315" i="5"/>
  <c r="BI302" i="5"/>
  <c r="BJ302" i="5" s="1"/>
  <c r="AR334" i="5"/>
  <c r="BI353" i="5"/>
  <c r="BJ353" i="5" s="1"/>
  <c r="AR557" i="5"/>
  <c r="AQ155" i="5"/>
  <c r="BI71" i="5"/>
  <c r="BI455" i="5"/>
  <c r="BK455" i="5" s="1"/>
  <c r="AQ315" i="5"/>
  <c r="AA28" i="4"/>
  <c r="AC28" i="4" s="1"/>
  <c r="AD28" i="4" s="1"/>
  <c r="AQ107" i="5"/>
  <c r="BI19" i="5"/>
  <c r="BJ19" i="5" s="1"/>
  <c r="AR149" i="5"/>
  <c r="AR307" i="5"/>
  <c r="AQ57" i="5"/>
  <c r="AQ337" i="5"/>
  <c r="AR371" i="5"/>
  <c r="BI390" i="5"/>
  <c r="BK390" i="5" s="1"/>
  <c r="AQ149" i="5"/>
  <c r="AQ307" i="5"/>
  <c r="BI371" i="5"/>
  <c r="BJ371" i="5" s="1"/>
  <c r="AR390" i="5"/>
  <c r="AR311" i="5"/>
  <c r="Z109" i="4"/>
  <c r="AK109" i="4" s="1"/>
  <c r="AL109" i="4" s="1"/>
  <c r="BI311" i="5"/>
  <c r="BI131" i="5"/>
  <c r="BK131" i="5" s="1"/>
  <c r="BI548" i="5"/>
  <c r="BJ548" i="5" s="1"/>
  <c r="AQ479" i="5"/>
  <c r="BI450" i="5"/>
  <c r="BJ450" i="5" s="1"/>
  <c r="BI248" i="5"/>
  <c r="BJ248" i="5" s="1"/>
  <c r="AR94" i="5"/>
  <c r="BI288" i="5"/>
  <c r="BK288" i="5" s="1"/>
  <c r="AQ548" i="5"/>
  <c r="AR479" i="5"/>
  <c r="AR450" i="5"/>
  <c r="AQ248" i="5"/>
  <c r="BI322" i="5"/>
  <c r="BI94" i="5"/>
  <c r="BJ94" i="5" s="1"/>
  <c r="AR288" i="5"/>
  <c r="BI221" i="5"/>
  <c r="BK221" i="5" s="1"/>
  <c r="AR131" i="5"/>
  <c r="AR547" i="5"/>
  <c r="AR428" i="5"/>
  <c r="AR322" i="5"/>
  <c r="AQ221" i="5"/>
  <c r="AQ448" i="5"/>
  <c r="BI325" i="5"/>
  <c r="AQ547" i="5"/>
  <c r="BI428" i="5"/>
  <c r="BK428" i="5" s="1"/>
  <c r="AR448" i="5"/>
  <c r="AR196" i="5"/>
  <c r="BI62" i="5"/>
  <c r="BJ62" i="5" s="1"/>
  <c r="AQ325" i="5"/>
  <c r="BI187" i="5"/>
  <c r="BJ187" i="5" s="1"/>
  <c r="AQ453" i="5"/>
  <c r="AQ196" i="5"/>
  <c r="BI107" i="5"/>
  <c r="BJ107" i="5" s="1"/>
  <c r="AR337" i="5"/>
  <c r="Z55" i="4"/>
  <c r="AN55" i="4" s="1"/>
  <c r="AQ10" i="5"/>
  <c r="AA55" i="4"/>
  <c r="Z54" i="4"/>
  <c r="AN54" i="4" s="1"/>
  <c r="Z105" i="4"/>
  <c r="AF105" i="4" s="1"/>
  <c r="AG105" i="4" s="1"/>
  <c r="AI105" i="4" s="1"/>
  <c r="AA151" i="4"/>
  <c r="AQ151" i="4" s="1"/>
  <c r="AA54" i="4"/>
  <c r="AQ54" i="4" s="1"/>
  <c r="AA105" i="4"/>
  <c r="AQ105" i="4" s="1"/>
  <c r="Z142" i="4"/>
  <c r="AA148" i="4"/>
  <c r="AP148" i="4" s="1"/>
  <c r="AA142" i="4"/>
  <c r="AP142" i="4" s="1"/>
  <c r="Z78" i="4"/>
  <c r="AK78" i="4" s="1"/>
  <c r="AL78" i="4" s="1"/>
  <c r="AA85" i="4"/>
  <c r="AQ85" i="4" s="1"/>
  <c r="AA129" i="4"/>
  <c r="AC129" i="4" s="1"/>
  <c r="AD129" i="4" s="1"/>
  <c r="Z85" i="4"/>
  <c r="AN85" i="4" s="1"/>
  <c r="Z129" i="4"/>
  <c r="AN129" i="4" s="1"/>
  <c r="AA114" i="4"/>
  <c r="AC114" i="4" s="1"/>
  <c r="AD114" i="4" s="1"/>
  <c r="Z63" i="4"/>
  <c r="AK63" i="4" s="1"/>
  <c r="AL63" i="4" s="1"/>
  <c r="AA63" i="4"/>
  <c r="AQ63" i="4" s="1"/>
  <c r="Z114" i="4"/>
  <c r="AA78" i="4"/>
  <c r="AA61" i="4"/>
  <c r="AC61" i="4" s="1"/>
  <c r="AD61" i="4" s="1"/>
  <c r="Z134" i="4"/>
  <c r="AK134" i="4" s="1"/>
  <c r="AL134" i="4" s="1"/>
  <c r="AA117" i="4"/>
  <c r="AQ117" i="4" s="1"/>
  <c r="Z61" i="4"/>
  <c r="AN61" i="4" s="1"/>
  <c r="AA134" i="4"/>
  <c r="AP134" i="4" s="1"/>
  <c r="Z152" i="4"/>
  <c r="AN152" i="4" s="1"/>
  <c r="AA152" i="4"/>
  <c r="AP152" i="4" s="1"/>
  <c r="Z101" i="4"/>
  <c r="AF101" i="4" s="1"/>
  <c r="AG101" i="4" s="1"/>
  <c r="AI101" i="4" s="1"/>
  <c r="AA149" i="4"/>
  <c r="AQ149" i="4" s="1"/>
  <c r="AA155" i="4"/>
  <c r="AP155" i="4" s="1"/>
  <c r="Z133" i="4"/>
  <c r="AN133" i="4" s="1"/>
  <c r="Z69" i="4"/>
  <c r="AK69" i="4" s="1"/>
  <c r="AL69" i="4" s="1"/>
  <c r="Z95" i="4"/>
  <c r="AN95" i="4" s="1"/>
  <c r="Z110" i="4"/>
  <c r="AN110" i="4" s="1"/>
  <c r="AA97" i="4"/>
  <c r="AC97" i="4" s="1"/>
  <c r="AD97" i="4" s="1"/>
  <c r="Z111" i="4"/>
  <c r="AK111" i="4" s="1"/>
  <c r="AL111" i="4" s="1"/>
  <c r="AA113" i="4"/>
  <c r="AQ113" i="4" s="1"/>
  <c r="Z106" i="4"/>
  <c r="AN106" i="4" s="1"/>
  <c r="AA95" i="4"/>
  <c r="AQ95" i="4" s="1"/>
  <c r="Z65" i="4"/>
  <c r="AN65" i="4" s="1"/>
  <c r="AA59" i="4"/>
  <c r="AQ59" i="4" s="1"/>
  <c r="AA112" i="4"/>
  <c r="AC112" i="4" s="1"/>
  <c r="AD112" i="4" s="1"/>
  <c r="AA110" i="4"/>
  <c r="AP110" i="4" s="1"/>
  <c r="Z113" i="4"/>
  <c r="AK113" i="4" s="1"/>
  <c r="AL113" i="4" s="1"/>
  <c r="AA135" i="4"/>
  <c r="AC135" i="4" s="1"/>
  <c r="AD135" i="4" s="1"/>
  <c r="AA106" i="4"/>
  <c r="AC106" i="4" s="1"/>
  <c r="AD106" i="4" s="1"/>
  <c r="AA57" i="4"/>
  <c r="AQ57" i="4" s="1"/>
  <c r="AA111" i="4"/>
  <c r="AP111" i="4" s="1"/>
  <c r="Z59" i="4"/>
  <c r="AF59" i="4" s="1"/>
  <c r="AG59" i="4" s="1"/>
  <c r="AI59" i="4" s="1"/>
  <c r="Z112" i="4"/>
  <c r="AK112" i="4" s="1"/>
  <c r="AL112" i="4" s="1"/>
  <c r="Z117" i="4"/>
  <c r="AK117" i="4" s="1"/>
  <c r="AL117" i="4" s="1"/>
  <c r="Z135" i="4"/>
  <c r="AN135" i="4" s="1"/>
  <c r="Z57" i="4"/>
  <c r="AN57" i="4" s="1"/>
  <c r="AA141" i="4"/>
  <c r="AQ141" i="4" s="1"/>
  <c r="AA156" i="4"/>
  <c r="AQ156" i="4" s="1"/>
  <c r="AA92" i="4"/>
  <c r="AQ92" i="4" s="1"/>
  <c r="AA79" i="4"/>
  <c r="AP79" i="4" s="1"/>
  <c r="Z94" i="4"/>
  <c r="AF94" i="4" s="1"/>
  <c r="AG94" i="4" s="1"/>
  <c r="AI94" i="4" s="1"/>
  <c r="Z140" i="4"/>
  <c r="AK140" i="4" s="1"/>
  <c r="AL140" i="4" s="1"/>
  <c r="AA108" i="4"/>
  <c r="AC108" i="4" s="1"/>
  <c r="AD108" i="4" s="1"/>
  <c r="Z137" i="4"/>
  <c r="AF137" i="4" s="1"/>
  <c r="AG137" i="4" s="1"/>
  <c r="AI137" i="4" s="1"/>
  <c r="Z141" i="4"/>
  <c r="AN141" i="4" s="1"/>
  <c r="Z90" i="4"/>
  <c r="AF90" i="4" s="1"/>
  <c r="AG90" i="4" s="1"/>
  <c r="AI90" i="4" s="1"/>
  <c r="Z67" i="4"/>
  <c r="AK67" i="4" s="1"/>
  <c r="AL67" i="4" s="1"/>
  <c r="AA60" i="4"/>
  <c r="AQ60" i="4" s="1"/>
  <c r="AA137" i="4"/>
  <c r="AP137" i="4" s="1"/>
  <c r="Z156" i="4"/>
  <c r="AK156" i="4" s="1"/>
  <c r="AL156" i="4" s="1"/>
  <c r="AA94" i="4"/>
  <c r="AQ94" i="4" s="1"/>
  <c r="Z102" i="4"/>
  <c r="AN102" i="4" s="1"/>
  <c r="AA140" i="4"/>
  <c r="AC140" i="4" s="1"/>
  <c r="AD140" i="4" s="1"/>
  <c r="Z118" i="4"/>
  <c r="AK118" i="4" s="1"/>
  <c r="AL118" i="4" s="1"/>
  <c r="Z77" i="4"/>
  <c r="AN77" i="4" s="1"/>
  <c r="Z60" i="4"/>
  <c r="AN60" i="4" s="1"/>
  <c r="AA109" i="4"/>
  <c r="AP109" i="4" s="1"/>
  <c r="Z108" i="4"/>
  <c r="AF108" i="4" s="1"/>
  <c r="AG108" i="4" s="1"/>
  <c r="AI108" i="4" s="1"/>
  <c r="Z93" i="4"/>
  <c r="AN93" i="4" s="1"/>
  <c r="AA102" i="4"/>
  <c r="AQ102" i="4" s="1"/>
  <c r="AA90" i="4"/>
  <c r="AC90" i="4" s="1"/>
  <c r="AD90" i="4" s="1"/>
  <c r="AA77" i="4"/>
  <c r="AC77" i="4" s="1"/>
  <c r="AD77" i="4" s="1"/>
  <c r="Z79" i="4"/>
  <c r="AN79" i="4" s="1"/>
  <c r="AA93" i="4"/>
  <c r="AQ93" i="4" s="1"/>
  <c r="AA67" i="4"/>
  <c r="AC67" i="4" s="1"/>
  <c r="AD67" i="4" s="1"/>
  <c r="AA101" i="4"/>
  <c r="AP101" i="4" s="1"/>
  <c r="AA98" i="4"/>
  <c r="AP98" i="4" s="1"/>
  <c r="AA96" i="4"/>
  <c r="AQ96" i="4" s="1"/>
  <c r="Z149" i="4"/>
  <c r="AK149" i="4" s="1"/>
  <c r="AL149" i="4" s="1"/>
  <c r="AA81" i="4"/>
  <c r="AP81" i="4" s="1"/>
  <c r="Z98" i="4"/>
  <c r="AK98" i="4" s="1"/>
  <c r="AL98" i="4" s="1"/>
  <c r="AA136" i="4"/>
  <c r="AC136" i="4" s="1"/>
  <c r="AD136" i="4" s="1"/>
  <c r="Z96" i="4"/>
  <c r="AN96" i="4" s="1"/>
  <c r="Z75" i="4"/>
  <c r="AN75" i="4" s="1"/>
  <c r="Z122" i="4"/>
  <c r="AN122" i="4" s="1"/>
  <c r="AA143" i="4"/>
  <c r="AQ143" i="4" s="1"/>
  <c r="AA74" i="4"/>
  <c r="AP74" i="4" s="1"/>
  <c r="AA66" i="4"/>
  <c r="AQ66" i="4" s="1"/>
  <c r="Z81" i="4"/>
  <c r="AN81" i="4" s="1"/>
  <c r="Z136" i="4"/>
  <c r="AN136" i="4" s="1"/>
  <c r="Z89" i="4"/>
  <c r="AK89" i="4" s="1"/>
  <c r="AL89" i="4" s="1"/>
  <c r="AA75" i="4"/>
  <c r="AP75" i="4" s="1"/>
  <c r="AA133" i="4"/>
  <c r="AP133" i="4" s="1"/>
  <c r="Z66" i="4"/>
  <c r="AF66" i="4" s="1"/>
  <c r="AG66" i="4" s="1"/>
  <c r="AI66" i="4" s="1"/>
  <c r="AA122" i="4"/>
  <c r="AQ122" i="4" s="1"/>
  <c r="AA89" i="4"/>
  <c r="AQ89" i="4" s="1"/>
  <c r="Z82" i="4"/>
  <c r="AK82" i="4" s="1"/>
  <c r="AL82" i="4" s="1"/>
  <c r="Z143" i="4"/>
  <c r="AN143" i="4" s="1"/>
  <c r="AA121" i="4"/>
  <c r="AP121" i="4" s="1"/>
  <c r="Z155" i="4"/>
  <c r="AN155" i="4" s="1"/>
  <c r="Z74" i="4"/>
  <c r="AN74" i="4" s="1"/>
  <c r="Z121" i="4"/>
  <c r="AK121" i="4" s="1"/>
  <c r="AL121" i="4" s="1"/>
  <c r="AA82" i="4"/>
  <c r="AQ82" i="4" s="1"/>
  <c r="Z128" i="4"/>
  <c r="AK128" i="4" s="1"/>
  <c r="AL128" i="4" s="1"/>
  <c r="Z144" i="4"/>
  <c r="AK144" i="4" s="1"/>
  <c r="AL144" i="4" s="1"/>
  <c r="Z125" i="4"/>
  <c r="AN125" i="4" s="1"/>
  <c r="AA116" i="4"/>
  <c r="AC116" i="4" s="1"/>
  <c r="AD116" i="4" s="1"/>
  <c r="AA124" i="4"/>
  <c r="AQ124" i="4" s="1"/>
  <c r="AA144" i="4"/>
  <c r="AC144" i="4" s="1"/>
  <c r="AD144" i="4" s="1"/>
  <c r="AA65" i="4"/>
  <c r="AQ65" i="4" s="1"/>
  <c r="Z76" i="4"/>
  <c r="AF76" i="4" s="1"/>
  <c r="AG76" i="4" s="1"/>
  <c r="AI76" i="4" s="1"/>
  <c r="AA62" i="4"/>
  <c r="AP62" i="4" s="1"/>
  <c r="Z97" i="4"/>
  <c r="AK97" i="4" s="1"/>
  <c r="AL97" i="4" s="1"/>
  <c r="Z116" i="4"/>
  <c r="AK116" i="4" s="1"/>
  <c r="AL116" i="4" s="1"/>
  <c r="Z124" i="4"/>
  <c r="AF124" i="4" s="1"/>
  <c r="AG124" i="4" s="1"/>
  <c r="AI124" i="4" s="1"/>
  <c r="AA128" i="4"/>
  <c r="AC128" i="4" s="1"/>
  <c r="AD128" i="4" s="1"/>
  <c r="AA69" i="4"/>
  <c r="AQ69" i="4" s="1"/>
  <c r="AA118" i="4"/>
  <c r="AQ118" i="4" s="1"/>
  <c r="Z62" i="4"/>
  <c r="AN62" i="4" s="1"/>
  <c r="AJ17" i="4"/>
  <c r="AA16" i="4"/>
  <c r="AC16" i="4" s="1"/>
  <c r="AD16" i="4" s="1"/>
  <c r="AA22" i="4"/>
  <c r="AC22" i="4" s="1"/>
  <c r="AD22" i="4" s="1"/>
  <c r="AA12" i="4"/>
  <c r="AQ12" i="4" s="1"/>
  <c r="AA19" i="4"/>
  <c r="AP19" i="4" s="1"/>
  <c r="AA14" i="4"/>
  <c r="AQ14" i="4" s="1"/>
  <c r="AA20" i="4"/>
  <c r="AQ20" i="4" s="1"/>
  <c r="AA10" i="4"/>
  <c r="AP10" i="4" s="1"/>
  <c r="AA11" i="4"/>
  <c r="AQ11" i="4" s="1"/>
  <c r="AA23" i="4"/>
  <c r="AP23" i="4" s="1"/>
  <c r="AA24" i="4"/>
  <c r="AP24" i="4" s="1"/>
  <c r="AA9" i="4"/>
  <c r="AC9" i="4" s="1"/>
  <c r="AD9" i="4" s="1"/>
  <c r="AA21" i="4"/>
  <c r="AQ21" i="4" s="1"/>
  <c r="AA8" i="4"/>
  <c r="AC8" i="4" s="1"/>
  <c r="AD8" i="4" s="1"/>
  <c r="AA15" i="4"/>
  <c r="AQ15" i="4" s="1"/>
  <c r="AA18" i="4"/>
  <c r="AP18" i="4" s="1"/>
  <c r="AA13" i="4"/>
  <c r="AP13" i="4" s="1"/>
  <c r="AA7" i="4"/>
  <c r="AC7" i="4" s="1"/>
  <c r="AD7" i="4" s="1"/>
  <c r="AA25" i="4"/>
  <c r="AP25" i="4" s="1"/>
  <c r="AQ7" i="5"/>
  <c r="B209" i="2" s="1"/>
  <c r="B214" i="2" s="1"/>
  <c r="B215" i="2" s="1"/>
  <c r="B188" i="2"/>
  <c r="B222" i="2" s="1"/>
  <c r="F68" i="1" s="1"/>
  <c r="B190" i="2"/>
  <c r="B226" i="2" s="1"/>
  <c r="F70" i="1" s="1"/>
  <c r="AC418" i="5"/>
  <c r="AD418" i="5" s="1"/>
  <c r="AN151" i="4"/>
  <c r="AK151" i="4"/>
  <c r="AL151" i="4" s="1"/>
  <c r="AF151" i="4"/>
  <c r="AG151" i="4" s="1"/>
  <c r="AI151" i="4" s="1"/>
  <c r="AN28" i="4"/>
  <c r="AK28" i="4"/>
  <c r="AL28" i="4" s="1"/>
  <c r="AF28" i="4"/>
  <c r="AG28" i="4" s="1"/>
  <c r="AI28" i="4" s="1"/>
  <c r="BJ250" i="5"/>
  <c r="BK250" i="5"/>
  <c r="BK43" i="5"/>
  <c r="BJ43" i="5"/>
  <c r="BJ460" i="5"/>
  <c r="BK460" i="5"/>
  <c r="BK544" i="5"/>
  <c r="BJ544" i="5"/>
  <c r="BK118" i="5"/>
  <c r="BJ118" i="5"/>
  <c r="BK62" i="5"/>
  <c r="BK32" i="5"/>
  <c r="BJ32" i="5"/>
  <c r="AN45" i="4"/>
  <c r="AK45" i="4"/>
  <c r="AL45" i="4" s="1"/>
  <c r="AF45" i="4"/>
  <c r="AG45" i="4" s="1"/>
  <c r="AI45" i="4" s="1"/>
  <c r="AQ132" i="4"/>
  <c r="AP132" i="4"/>
  <c r="AC132" i="4"/>
  <c r="AD132" i="4" s="1"/>
  <c r="AN17" i="4"/>
  <c r="AF17" i="4"/>
  <c r="AG17" i="4" s="1"/>
  <c r="AI17" i="4" s="1"/>
  <c r="AK17" i="4"/>
  <c r="AL17" i="4" s="1"/>
  <c r="AC154" i="4"/>
  <c r="AD154" i="4" s="1"/>
  <c r="AP154" i="4"/>
  <c r="AQ154" i="4"/>
  <c r="AP115" i="4"/>
  <c r="AQ115" i="4"/>
  <c r="AC115" i="4"/>
  <c r="AD115" i="4" s="1"/>
  <c r="AN40" i="4"/>
  <c r="AK40" i="4"/>
  <c r="AL40" i="4" s="1"/>
  <c r="AF40" i="4"/>
  <c r="AG40" i="4" s="1"/>
  <c r="AI40" i="4" s="1"/>
  <c r="AQ38" i="4"/>
  <c r="AP38" i="4"/>
  <c r="AC38" i="4"/>
  <c r="AD38" i="4" s="1"/>
  <c r="AK13" i="4"/>
  <c r="AL13" i="4" s="1"/>
  <c r="AN13" i="4"/>
  <c r="AF13" i="4"/>
  <c r="AG13" i="4" s="1"/>
  <c r="AI13" i="4" s="1"/>
  <c r="AP83" i="4"/>
  <c r="AQ83" i="4"/>
  <c r="AC83" i="4"/>
  <c r="AD83" i="4" s="1"/>
  <c r="AN31" i="4"/>
  <c r="AF31" i="4"/>
  <c r="AG31" i="4" s="1"/>
  <c r="AI31" i="4" s="1"/>
  <c r="BJ321" i="5"/>
  <c r="BK321" i="5"/>
  <c r="AQ148" i="5"/>
  <c r="BI148" i="5"/>
  <c r="AR148" i="5"/>
  <c r="BJ366" i="5"/>
  <c r="BJ153" i="5"/>
  <c r="BK153" i="5"/>
  <c r="BK100" i="5"/>
  <c r="BJ100" i="5"/>
  <c r="BJ257" i="5"/>
  <c r="BK257" i="5"/>
  <c r="BJ486" i="5"/>
  <c r="BK486" i="5"/>
  <c r="AN36" i="4"/>
  <c r="AK36" i="4"/>
  <c r="AL36" i="4" s="1"/>
  <c r="AF36" i="4"/>
  <c r="AG36" i="4" s="1"/>
  <c r="AI36" i="4" s="1"/>
  <c r="AP131" i="4"/>
  <c r="AC131" i="4"/>
  <c r="AD131" i="4" s="1"/>
  <c r="AQ131" i="4"/>
  <c r="AP58" i="4"/>
  <c r="AQ58" i="4"/>
  <c r="AC58" i="4"/>
  <c r="AD58" i="4" s="1"/>
  <c r="AQ123" i="4"/>
  <c r="AP123" i="4"/>
  <c r="AC123" i="4"/>
  <c r="AD123" i="4" s="1"/>
  <c r="AN12" i="4"/>
  <c r="AF12" i="4"/>
  <c r="AG12" i="4" s="1"/>
  <c r="AI12" i="4" s="1"/>
  <c r="AK12" i="4"/>
  <c r="AL12" i="4" s="1"/>
  <c r="BK499" i="5"/>
  <c r="BJ499" i="5"/>
  <c r="BJ495" i="5"/>
  <c r="BK495" i="5"/>
  <c r="BK255" i="5"/>
  <c r="BJ255" i="5"/>
  <c r="BK542" i="5"/>
  <c r="BJ542" i="5"/>
  <c r="BK122" i="5"/>
  <c r="BJ122" i="5"/>
  <c r="BK216" i="5"/>
  <c r="BJ216" i="5"/>
  <c r="BJ429" i="5"/>
  <c r="BK429" i="5"/>
  <c r="BI504" i="5"/>
  <c r="AR504" i="5"/>
  <c r="AQ504" i="5"/>
  <c r="BI419" i="5"/>
  <c r="AQ419" i="5"/>
  <c r="AR419" i="5"/>
  <c r="BJ549" i="5"/>
  <c r="BK549" i="5"/>
  <c r="BJ503" i="5"/>
  <c r="BK503" i="5"/>
  <c r="BJ320" i="5"/>
  <c r="BK320" i="5"/>
  <c r="AR462" i="5"/>
  <c r="AQ462" i="5"/>
  <c r="BI462" i="5"/>
  <c r="BJ117" i="5"/>
  <c r="BK117" i="5"/>
  <c r="BJ223" i="5"/>
  <c r="BK223" i="5"/>
  <c r="BI284" i="5"/>
  <c r="AR284" i="5"/>
  <c r="AQ284" i="5"/>
  <c r="BK82" i="5"/>
  <c r="BK269" i="5"/>
  <c r="BJ269" i="5"/>
  <c r="BK50" i="5"/>
  <c r="BJ50" i="5"/>
  <c r="AR186" i="5"/>
  <c r="AQ186" i="5"/>
  <c r="BI186" i="5"/>
  <c r="BK147" i="5"/>
  <c r="BJ147" i="5"/>
  <c r="BJ238" i="5"/>
  <c r="BK238" i="5"/>
  <c r="BK518" i="5"/>
  <c r="BJ518" i="5"/>
  <c r="BJ493" i="5"/>
  <c r="BK493" i="5"/>
  <c r="AF85" i="4"/>
  <c r="AG85" i="4" s="1"/>
  <c r="AI85" i="4" s="1"/>
  <c r="AQ146" i="4"/>
  <c r="AP146" i="4"/>
  <c r="AC146" i="4"/>
  <c r="AD146" i="4" s="1"/>
  <c r="AK64" i="4"/>
  <c r="AL64" i="4" s="1"/>
  <c r="AN64" i="4"/>
  <c r="AF64" i="4"/>
  <c r="AG64" i="4" s="1"/>
  <c r="AI64" i="4" s="1"/>
  <c r="AN37" i="4"/>
  <c r="AF37" i="4"/>
  <c r="AG37" i="4" s="1"/>
  <c r="AI37" i="4" s="1"/>
  <c r="AK37" i="4"/>
  <c r="AL37" i="4" s="1"/>
  <c r="AK68" i="4"/>
  <c r="AL68" i="4" s="1"/>
  <c r="AN68" i="4"/>
  <c r="AF68" i="4"/>
  <c r="AG68" i="4" s="1"/>
  <c r="AI68" i="4" s="1"/>
  <c r="AK119" i="4"/>
  <c r="AL119" i="4" s="1"/>
  <c r="AN119" i="4"/>
  <c r="AF119" i="4"/>
  <c r="AG119" i="4" s="1"/>
  <c r="AI119" i="4" s="1"/>
  <c r="AN43" i="4"/>
  <c r="AK43" i="4"/>
  <c r="AL43" i="4" s="1"/>
  <c r="AF43" i="4"/>
  <c r="AG43" i="4" s="1"/>
  <c r="AI43" i="4" s="1"/>
  <c r="AN84" i="4"/>
  <c r="AK84" i="4"/>
  <c r="AL84" i="4" s="1"/>
  <c r="AF84" i="4"/>
  <c r="AG84" i="4" s="1"/>
  <c r="AI84" i="4" s="1"/>
  <c r="AP84" i="4"/>
  <c r="AQ84" i="4"/>
  <c r="AC84" i="4"/>
  <c r="AD84" i="4" s="1"/>
  <c r="AN148" i="4"/>
  <c r="AK148" i="4"/>
  <c r="AL148" i="4" s="1"/>
  <c r="AF148" i="4"/>
  <c r="AG148" i="4" s="1"/>
  <c r="AI148" i="4" s="1"/>
  <c r="AK70" i="4"/>
  <c r="AL70" i="4" s="1"/>
  <c r="AN70" i="4"/>
  <c r="AF70" i="4"/>
  <c r="AG70" i="4" s="1"/>
  <c r="AI70" i="4" s="1"/>
  <c r="BK200" i="5"/>
  <c r="BJ200" i="5"/>
  <c r="BJ431" i="5"/>
  <c r="BK431" i="5"/>
  <c r="BK381" i="5"/>
  <c r="BJ381" i="5"/>
  <c r="BJ263" i="5"/>
  <c r="BK263" i="5"/>
  <c r="BK560" i="5"/>
  <c r="BJ560" i="5"/>
  <c r="BK190" i="5"/>
  <c r="BJ190" i="5"/>
  <c r="BK417" i="5"/>
  <c r="BJ417" i="5"/>
  <c r="BJ348" i="5"/>
  <c r="BK348" i="5"/>
  <c r="BJ211" i="5"/>
  <c r="BK211" i="5"/>
  <c r="BJ457" i="5"/>
  <c r="BK457" i="5"/>
  <c r="BJ464" i="5"/>
  <c r="BK464" i="5"/>
  <c r="BJ47" i="5"/>
  <c r="BK47" i="5"/>
  <c r="BK406" i="5"/>
  <c r="BJ406" i="5"/>
  <c r="BJ528" i="5"/>
  <c r="BK528" i="5"/>
  <c r="BJ456" i="5"/>
  <c r="BK456" i="5"/>
  <c r="BK157" i="5"/>
  <c r="BJ157" i="5"/>
  <c r="BJ418" i="5"/>
  <c r="BK418" i="5"/>
  <c r="BJ329" i="5"/>
  <c r="BK329" i="5"/>
  <c r="AQ386" i="5"/>
  <c r="BI386" i="5"/>
  <c r="AR386" i="5"/>
  <c r="BK358" i="5"/>
  <c r="BJ358" i="5"/>
  <c r="BK225" i="5"/>
  <c r="BJ225" i="5"/>
  <c r="BK300" i="5"/>
  <c r="BJ300" i="5"/>
  <c r="S9" i="5"/>
  <c r="R9" i="5"/>
  <c r="R135" i="5"/>
  <c r="S135" i="5"/>
  <c r="R432" i="5"/>
  <c r="S432" i="5"/>
  <c r="S381" i="5"/>
  <c r="R381" i="5"/>
  <c r="S151" i="5"/>
  <c r="R151" i="5"/>
  <c r="R129" i="5"/>
  <c r="S129" i="5"/>
  <c r="S222" i="5"/>
  <c r="R222" i="5"/>
  <c r="R107" i="5"/>
  <c r="S107" i="5"/>
  <c r="R240" i="5"/>
  <c r="S240" i="5"/>
  <c r="S34" i="5"/>
  <c r="R34" i="5"/>
  <c r="R454" i="5"/>
  <c r="S454" i="5"/>
  <c r="R257" i="5"/>
  <c r="S257" i="5"/>
  <c r="S378" i="5"/>
  <c r="R378" i="5"/>
  <c r="S223" i="5"/>
  <c r="R223" i="5"/>
  <c r="R125" i="5"/>
  <c r="S125" i="5"/>
  <c r="R128" i="5"/>
  <c r="S128" i="5"/>
  <c r="S253" i="5"/>
  <c r="R253" i="5"/>
  <c r="R419" i="5"/>
  <c r="S419" i="5"/>
  <c r="R533" i="5"/>
  <c r="S533" i="5"/>
  <c r="S343" i="5"/>
  <c r="R343" i="5"/>
  <c r="R37" i="5"/>
  <c r="S37" i="5"/>
  <c r="R401" i="5"/>
  <c r="S401" i="5"/>
  <c r="S536" i="5"/>
  <c r="R536" i="5"/>
  <c r="R489" i="5"/>
  <c r="S489" i="5"/>
  <c r="S324" i="5"/>
  <c r="R324" i="5"/>
  <c r="R508" i="5"/>
  <c r="S508" i="5"/>
  <c r="R444" i="5"/>
  <c r="S444" i="5"/>
  <c r="S289" i="5"/>
  <c r="R289" i="5"/>
  <c r="R259" i="5"/>
  <c r="S259" i="5"/>
  <c r="R20" i="5"/>
  <c r="S20" i="5"/>
  <c r="S486" i="5"/>
  <c r="R486" i="5"/>
  <c r="S195" i="5"/>
  <c r="R195" i="5"/>
  <c r="S178" i="5"/>
  <c r="R178" i="5"/>
  <c r="S126" i="5"/>
  <c r="R126" i="5"/>
  <c r="R85" i="5"/>
  <c r="S85" i="5"/>
  <c r="S556" i="5"/>
  <c r="R556" i="5"/>
  <c r="R546" i="5"/>
  <c r="S546" i="5"/>
  <c r="S59" i="5"/>
  <c r="R59" i="5"/>
  <c r="R203" i="5"/>
  <c r="S203" i="5"/>
  <c r="R147" i="5"/>
  <c r="S147" i="5"/>
  <c r="S232" i="5"/>
  <c r="R232" i="5"/>
  <c r="R162" i="5"/>
  <c r="S162" i="5"/>
  <c r="S420" i="5"/>
  <c r="R420" i="5"/>
  <c r="S41" i="5"/>
  <c r="R41" i="5"/>
  <c r="S406" i="5"/>
  <c r="R406" i="5"/>
  <c r="R270" i="5"/>
  <c r="S270" i="5"/>
  <c r="S49" i="5"/>
  <c r="R49" i="5"/>
  <c r="S519" i="5"/>
  <c r="R519" i="5"/>
  <c r="S83" i="5"/>
  <c r="R83" i="5"/>
  <c r="S196" i="5"/>
  <c r="R196" i="5"/>
  <c r="S205" i="5"/>
  <c r="R205" i="5"/>
  <c r="S491" i="5"/>
  <c r="R491" i="5"/>
  <c r="R340" i="5"/>
  <c r="S340" i="5"/>
  <c r="S380" i="5"/>
  <c r="R380" i="5"/>
  <c r="R469" i="5"/>
  <c r="S469" i="5"/>
  <c r="S297" i="5"/>
  <c r="R297" i="5"/>
  <c r="S153" i="5"/>
  <c r="R153" i="5"/>
  <c r="R216" i="5"/>
  <c r="S216" i="5"/>
  <c r="S84" i="5"/>
  <c r="R84" i="5"/>
  <c r="S511" i="5"/>
  <c r="R511" i="5"/>
  <c r="R403" i="5"/>
  <c r="S403" i="5"/>
  <c r="S77" i="5"/>
  <c r="R77" i="5"/>
  <c r="R358" i="5"/>
  <c r="S358" i="5"/>
  <c r="S198" i="5"/>
  <c r="R198" i="5"/>
  <c r="S262" i="5"/>
  <c r="R262" i="5"/>
  <c r="S160" i="5"/>
  <c r="R160" i="5"/>
  <c r="R307" i="5"/>
  <c r="S307" i="5"/>
  <c r="S100" i="5"/>
  <c r="R100" i="5"/>
  <c r="S437" i="5"/>
  <c r="R437" i="5"/>
  <c r="R525" i="5"/>
  <c r="S525" i="5"/>
  <c r="R312" i="5"/>
  <c r="S312" i="5"/>
  <c r="R189" i="5"/>
  <c r="S189" i="5"/>
  <c r="S258" i="5"/>
  <c r="R258" i="5"/>
  <c r="R239" i="5"/>
  <c r="S239" i="5"/>
  <c r="S171" i="5"/>
  <c r="R171" i="5"/>
  <c r="R31" i="5"/>
  <c r="S31" i="5"/>
  <c r="R230" i="5"/>
  <c r="S230" i="5"/>
  <c r="S433" i="5"/>
  <c r="R433" i="5"/>
  <c r="R106" i="5"/>
  <c r="S106" i="5"/>
  <c r="S494" i="5"/>
  <c r="R494" i="5"/>
  <c r="R431" i="5"/>
  <c r="S431" i="5"/>
  <c r="R429" i="5"/>
  <c r="S429" i="5"/>
  <c r="R553" i="5"/>
  <c r="S553" i="5"/>
  <c r="R446" i="5"/>
  <c r="S446" i="5"/>
  <c r="R379" i="5"/>
  <c r="S379" i="5"/>
  <c r="S200" i="5"/>
  <c r="R200" i="5"/>
  <c r="R228" i="5"/>
  <c r="S228" i="5"/>
  <c r="S164" i="5"/>
  <c r="R164" i="5"/>
  <c r="S370" i="5"/>
  <c r="R370" i="5"/>
  <c r="S552" i="5"/>
  <c r="R552" i="5"/>
  <c r="S140" i="5"/>
  <c r="R140" i="5"/>
  <c r="S467" i="5"/>
  <c r="R467" i="5"/>
  <c r="S414" i="5"/>
  <c r="R414" i="5"/>
  <c r="R427" i="5"/>
  <c r="S427" i="5"/>
  <c r="R473" i="5"/>
  <c r="S473" i="5"/>
  <c r="R74" i="5"/>
  <c r="S74" i="5"/>
  <c r="S248" i="5"/>
  <c r="R248" i="5"/>
  <c r="S261" i="5"/>
  <c r="R261" i="5"/>
  <c r="S163" i="5"/>
  <c r="R163" i="5"/>
  <c r="S320" i="5"/>
  <c r="R320" i="5"/>
  <c r="R172" i="5"/>
  <c r="S172" i="5"/>
  <c r="S349" i="5"/>
  <c r="R349" i="5"/>
  <c r="S197" i="5"/>
  <c r="R197" i="5"/>
  <c r="R19" i="5"/>
  <c r="S19" i="5"/>
  <c r="S82" i="5"/>
  <c r="R82" i="5"/>
  <c r="S315" i="5"/>
  <c r="R315" i="5"/>
  <c r="R535" i="5"/>
  <c r="S535" i="5"/>
  <c r="S296" i="5"/>
  <c r="R296" i="5"/>
  <c r="R346" i="5"/>
  <c r="S346" i="5"/>
  <c r="S393" i="5"/>
  <c r="R393" i="5"/>
  <c r="S149" i="5"/>
  <c r="R149" i="5"/>
  <c r="S204" i="5"/>
  <c r="R204" i="5"/>
  <c r="S187" i="5"/>
  <c r="R187" i="5"/>
  <c r="S506" i="5"/>
  <c r="R506" i="5"/>
  <c r="S412" i="5"/>
  <c r="R412" i="5"/>
  <c r="R66" i="5"/>
  <c r="S66" i="5"/>
  <c r="S434" i="5"/>
  <c r="R434" i="5"/>
  <c r="R461" i="5"/>
  <c r="S461" i="5"/>
  <c r="S72" i="5"/>
  <c r="R72" i="5"/>
  <c r="R389" i="5"/>
  <c r="S389" i="5"/>
  <c r="R529" i="5"/>
  <c r="S529" i="5"/>
  <c r="R350" i="5"/>
  <c r="S350" i="5"/>
  <c r="S111" i="5"/>
  <c r="R111" i="5"/>
  <c r="S542" i="5"/>
  <c r="R542" i="5"/>
  <c r="R269" i="5"/>
  <c r="S269" i="5"/>
  <c r="R460" i="5"/>
  <c r="S460" i="5"/>
  <c r="R123" i="5"/>
  <c r="S123" i="5"/>
  <c r="S168" i="5"/>
  <c r="R168" i="5"/>
  <c r="R137" i="5"/>
  <c r="S137" i="5"/>
  <c r="R69" i="5"/>
  <c r="S69" i="5"/>
  <c r="R400" i="5"/>
  <c r="S400" i="5"/>
  <c r="R416" i="5"/>
  <c r="S416" i="5"/>
  <c r="R504" i="5"/>
  <c r="S504" i="5"/>
  <c r="R495" i="5"/>
  <c r="S495" i="5"/>
  <c r="R459" i="5"/>
  <c r="S459" i="5"/>
  <c r="R150" i="5"/>
  <c r="S150" i="5"/>
  <c r="Q11" i="5"/>
  <c r="AG11" i="5"/>
  <c r="AT11" i="5"/>
  <c r="AM11" i="5"/>
  <c r="AZ11" i="5"/>
  <c r="T11" i="5"/>
  <c r="AW11" i="5"/>
  <c r="AJ11" i="5"/>
  <c r="W11" i="5"/>
  <c r="Z11" i="5"/>
  <c r="AN103" i="4"/>
  <c r="AK103" i="4"/>
  <c r="AL103" i="4" s="1"/>
  <c r="AF103" i="4"/>
  <c r="AG103" i="4" s="1"/>
  <c r="AI103" i="4" s="1"/>
  <c r="AP103" i="4"/>
  <c r="AQ103" i="4"/>
  <c r="AC103" i="4"/>
  <c r="AD103" i="4" s="1"/>
  <c r="BE9" i="5"/>
  <c r="BD9" i="5"/>
  <c r="AP147" i="4"/>
  <c r="AC147" i="4"/>
  <c r="AD147" i="4" s="1"/>
  <c r="AQ147" i="4"/>
  <c r="AN30" i="4"/>
  <c r="AK30" i="4"/>
  <c r="AL30" i="4" s="1"/>
  <c r="AF30" i="4"/>
  <c r="AG30" i="4" s="1"/>
  <c r="AI30" i="4" s="1"/>
  <c r="AK44" i="4"/>
  <c r="AL44" i="4" s="1"/>
  <c r="AN44" i="4"/>
  <c r="AF44" i="4"/>
  <c r="AG44" i="4" s="1"/>
  <c r="AI44" i="4" s="1"/>
  <c r="AK33" i="4"/>
  <c r="AL33" i="4" s="1"/>
  <c r="AF33" i="4"/>
  <c r="AG33" i="4" s="1"/>
  <c r="AI33" i="4" s="1"/>
  <c r="AN33" i="4"/>
  <c r="BJ277" i="5"/>
  <c r="BK277" i="5"/>
  <c r="BJ445" i="5"/>
  <c r="BK445" i="5"/>
  <c r="AR500" i="5"/>
  <c r="BI500" i="5"/>
  <c r="AQ500" i="5"/>
  <c r="AQ127" i="5"/>
  <c r="BI127" i="5"/>
  <c r="AR127" i="5"/>
  <c r="BJ532" i="5"/>
  <c r="BK532" i="5"/>
  <c r="BK465" i="5"/>
  <c r="BJ465" i="5"/>
  <c r="BJ265" i="5"/>
  <c r="BK265" i="5"/>
  <c r="BK194" i="5"/>
  <c r="BJ194" i="5"/>
  <c r="AK107" i="4"/>
  <c r="AL107" i="4" s="1"/>
  <c r="AN107" i="4"/>
  <c r="AF107" i="4"/>
  <c r="AG107" i="4" s="1"/>
  <c r="AI107" i="4" s="1"/>
  <c r="AN11" i="4"/>
  <c r="AK11" i="4"/>
  <c r="AL11" i="4" s="1"/>
  <c r="AF11" i="4"/>
  <c r="AG11" i="4" s="1"/>
  <c r="AI11" i="4" s="1"/>
  <c r="AN18" i="4"/>
  <c r="AF18" i="4"/>
  <c r="AG18" i="4" s="1"/>
  <c r="AI18" i="4" s="1"/>
  <c r="AK18" i="4"/>
  <c r="AL18" i="4" s="1"/>
  <c r="AN19" i="4"/>
  <c r="AK19" i="4"/>
  <c r="AL19" i="4" s="1"/>
  <c r="AF19" i="4"/>
  <c r="AG19" i="4" s="1"/>
  <c r="AI19" i="4" s="1"/>
  <c r="AF7" i="4"/>
  <c r="AG7" i="4" s="1"/>
  <c r="AI7" i="4" s="1"/>
  <c r="AN7" i="4"/>
  <c r="AK7" i="4"/>
  <c r="AL7" i="4" s="1"/>
  <c r="AK83" i="4"/>
  <c r="AL83" i="4" s="1"/>
  <c r="AN83" i="4"/>
  <c r="AF83" i="4"/>
  <c r="AG83" i="4" s="1"/>
  <c r="AI83" i="4" s="1"/>
  <c r="AQ126" i="4"/>
  <c r="AC126" i="4"/>
  <c r="AD126" i="4" s="1"/>
  <c r="AP126" i="4"/>
  <c r="AR9" i="5"/>
  <c r="AQ9" i="5"/>
  <c r="BI9" i="5"/>
  <c r="BK56" i="5"/>
  <c r="BJ56" i="5"/>
  <c r="BJ461" i="5"/>
  <c r="BK461" i="5"/>
  <c r="BK360" i="5"/>
  <c r="BJ360" i="5"/>
  <c r="BJ430" i="5"/>
  <c r="BK430" i="5"/>
  <c r="BK295" i="5"/>
  <c r="BJ295" i="5"/>
  <c r="AQ267" i="5"/>
  <c r="BI267" i="5"/>
  <c r="AR267" i="5"/>
  <c r="BK128" i="5"/>
  <c r="BJ128" i="5"/>
  <c r="AQ72" i="4"/>
  <c r="AP72" i="4"/>
  <c r="AC72" i="4"/>
  <c r="AD72" i="4" s="1"/>
  <c r="AQ36" i="4"/>
  <c r="AP36" i="4"/>
  <c r="AC36" i="4"/>
  <c r="AD36" i="4" s="1"/>
  <c r="AN131" i="4"/>
  <c r="AK131" i="4"/>
  <c r="AL131" i="4" s="1"/>
  <c r="AF131" i="4"/>
  <c r="AG131" i="4" s="1"/>
  <c r="AI131" i="4" s="1"/>
  <c r="AK73" i="4"/>
  <c r="AL73" i="4" s="1"/>
  <c r="AN73" i="4"/>
  <c r="AF73" i="4"/>
  <c r="AG73" i="4" s="1"/>
  <c r="AI73" i="4" s="1"/>
  <c r="AN49" i="4"/>
  <c r="AK49" i="4"/>
  <c r="AL49" i="4" s="1"/>
  <c r="AF49" i="4"/>
  <c r="AG49" i="4" s="1"/>
  <c r="AI49" i="4" s="1"/>
  <c r="AQ71" i="4"/>
  <c r="AP71" i="4"/>
  <c r="AC71" i="4"/>
  <c r="AD71" i="4" s="1"/>
  <c r="BJ513" i="5"/>
  <c r="BK513" i="5"/>
  <c r="AR77" i="5"/>
  <c r="AQ77" i="5"/>
  <c r="BI77" i="5"/>
  <c r="BK55" i="5"/>
  <c r="BJ55" i="5"/>
  <c r="BJ89" i="5"/>
  <c r="BK89" i="5"/>
  <c r="BK467" i="5"/>
  <c r="BJ467" i="5"/>
  <c r="BK401" i="5"/>
  <c r="BJ401" i="5"/>
  <c r="BJ506" i="5"/>
  <c r="BK506" i="5"/>
  <c r="BJ361" i="5"/>
  <c r="BK361" i="5"/>
  <c r="BJ110" i="5"/>
  <c r="BK110" i="5"/>
  <c r="BK20" i="5"/>
  <c r="BJ20" i="5"/>
  <c r="BK520" i="5"/>
  <c r="BJ520" i="5"/>
  <c r="AR416" i="5"/>
  <c r="BI416" i="5"/>
  <c r="AQ416" i="5"/>
  <c r="BJ51" i="5"/>
  <c r="BK51" i="5"/>
  <c r="BJ88" i="5"/>
  <c r="BK88" i="5"/>
  <c r="BK60" i="5"/>
  <c r="BJ60" i="5"/>
  <c r="BK92" i="5"/>
  <c r="BJ92" i="5"/>
  <c r="BK398" i="5"/>
  <c r="BJ398" i="5"/>
  <c r="BK354" i="5"/>
  <c r="BJ354" i="5"/>
  <c r="BK270" i="5"/>
  <c r="BJ270" i="5"/>
  <c r="BJ215" i="5"/>
  <c r="BK215" i="5"/>
  <c r="BJ224" i="5"/>
  <c r="BK224" i="5"/>
  <c r="BK482" i="5"/>
  <c r="BJ482" i="5"/>
  <c r="BJ559" i="5"/>
  <c r="BK559" i="5"/>
  <c r="AN146" i="4"/>
  <c r="AK146" i="4"/>
  <c r="AL146" i="4" s="1"/>
  <c r="AF146" i="4"/>
  <c r="AG146" i="4" s="1"/>
  <c r="AI146" i="4" s="1"/>
  <c r="AP64" i="4"/>
  <c r="AQ64" i="4"/>
  <c r="AC64" i="4"/>
  <c r="AD64" i="4" s="1"/>
  <c r="AP37" i="4"/>
  <c r="AC37" i="4"/>
  <c r="AD37" i="4" s="1"/>
  <c r="AQ37" i="4"/>
  <c r="AP68" i="4"/>
  <c r="AC68" i="4"/>
  <c r="AD68" i="4" s="1"/>
  <c r="AQ68" i="4"/>
  <c r="AK130" i="4"/>
  <c r="AL130" i="4" s="1"/>
  <c r="AN130" i="4"/>
  <c r="AF130" i="4"/>
  <c r="AG130" i="4" s="1"/>
  <c r="AI130" i="4" s="1"/>
  <c r="AN20" i="4"/>
  <c r="AF20" i="4"/>
  <c r="AG20" i="4" s="1"/>
  <c r="AI20" i="4" s="1"/>
  <c r="AK20" i="4"/>
  <c r="AL20" i="4" s="1"/>
  <c r="AN88" i="4"/>
  <c r="AK88" i="4"/>
  <c r="AL88" i="4" s="1"/>
  <c r="AF88" i="4"/>
  <c r="AG88" i="4" s="1"/>
  <c r="AI88" i="4" s="1"/>
  <c r="AQ70" i="4"/>
  <c r="AP70" i="4"/>
  <c r="AC70" i="4"/>
  <c r="AD70" i="4" s="1"/>
  <c r="AQ150" i="4"/>
  <c r="AP150" i="4"/>
  <c r="AC150" i="4"/>
  <c r="AD150" i="4" s="1"/>
  <c r="BJ39" i="5"/>
  <c r="BK39" i="5"/>
  <c r="BK309" i="5"/>
  <c r="BJ309" i="5"/>
  <c r="BJ438" i="5"/>
  <c r="BK438" i="5"/>
  <c r="BJ405" i="5"/>
  <c r="BK405" i="5"/>
  <c r="BK36" i="5"/>
  <c r="BJ36" i="5"/>
  <c r="BJ46" i="5"/>
  <c r="BK46" i="5"/>
  <c r="BK447" i="5"/>
  <c r="BJ447" i="5"/>
  <c r="BK453" i="5"/>
  <c r="BJ453" i="5"/>
  <c r="BJ428" i="5"/>
  <c r="BK439" i="5"/>
  <c r="BJ439" i="5"/>
  <c r="BJ191" i="5"/>
  <c r="BK191" i="5"/>
  <c r="BJ143" i="5"/>
  <c r="BK143" i="5"/>
  <c r="BJ369" i="5"/>
  <c r="BK369" i="5"/>
  <c r="BJ338" i="5"/>
  <c r="BK338" i="5"/>
  <c r="BK67" i="5"/>
  <c r="BJ67" i="5"/>
  <c r="BK466" i="5"/>
  <c r="BJ466" i="5"/>
  <c r="BK508" i="5"/>
  <c r="BJ508" i="5"/>
  <c r="BK81" i="5"/>
  <c r="BJ81" i="5"/>
  <c r="BK407" i="5"/>
  <c r="BJ407" i="5"/>
  <c r="AR84" i="5"/>
  <c r="BI84" i="5"/>
  <c r="AQ84" i="5"/>
  <c r="BK378" i="5"/>
  <c r="BJ378" i="5"/>
  <c r="BJ228" i="5"/>
  <c r="BK228" i="5"/>
  <c r="BJ49" i="5"/>
  <c r="BK49" i="5"/>
  <c r="R179" i="5"/>
  <c r="S179" i="5"/>
  <c r="S35" i="5"/>
  <c r="R35" i="5"/>
  <c r="S550" i="5"/>
  <c r="R550" i="5"/>
  <c r="R375" i="5"/>
  <c r="S375" i="5"/>
  <c r="S264" i="5"/>
  <c r="R264" i="5"/>
  <c r="S265" i="5"/>
  <c r="R265" i="5"/>
  <c r="R323" i="5"/>
  <c r="S323" i="5"/>
  <c r="R369" i="5"/>
  <c r="S369" i="5"/>
  <c r="S373" i="5"/>
  <c r="R373" i="5"/>
  <c r="S109" i="5"/>
  <c r="R109" i="5"/>
  <c r="S56" i="5"/>
  <c r="R56" i="5"/>
  <c r="S141" i="5"/>
  <c r="R141" i="5"/>
  <c r="S80" i="5"/>
  <c r="R80" i="5"/>
  <c r="R121" i="5"/>
  <c r="S121" i="5"/>
  <c r="R25" i="5"/>
  <c r="S25" i="5"/>
  <c r="R36" i="5"/>
  <c r="S36" i="5"/>
  <c r="R47" i="5"/>
  <c r="S47" i="5"/>
  <c r="R102" i="5"/>
  <c r="S102" i="5"/>
  <c r="R299" i="5"/>
  <c r="S299" i="5"/>
  <c r="S520" i="5"/>
  <c r="R520" i="5"/>
  <c r="R507" i="5"/>
  <c r="S507" i="5"/>
  <c r="R234" i="5"/>
  <c r="S234" i="5"/>
  <c r="R57" i="5"/>
  <c r="S57" i="5"/>
  <c r="R413" i="5"/>
  <c r="S413" i="5"/>
  <c r="S181" i="5"/>
  <c r="R181" i="5"/>
  <c r="R398" i="5"/>
  <c r="S398" i="5"/>
  <c r="R138" i="5"/>
  <c r="S138" i="5"/>
  <c r="R559" i="5"/>
  <c r="S559" i="5"/>
  <c r="R21" i="5"/>
  <c r="S21" i="5"/>
  <c r="R98" i="5"/>
  <c r="S98" i="5"/>
  <c r="S425" i="5"/>
  <c r="R425" i="5"/>
  <c r="S544" i="5"/>
  <c r="R544" i="5"/>
  <c r="S560" i="5"/>
  <c r="R560" i="5"/>
  <c r="S145" i="5"/>
  <c r="R145" i="5"/>
  <c r="R335" i="5"/>
  <c r="S335" i="5"/>
  <c r="R280" i="5"/>
  <c r="S280" i="5"/>
  <c r="S22" i="5"/>
  <c r="R22" i="5"/>
  <c r="R510" i="5"/>
  <c r="S510" i="5"/>
  <c r="R355" i="5"/>
  <c r="S355" i="5"/>
  <c r="S271" i="5"/>
  <c r="R271" i="5"/>
  <c r="R127" i="5"/>
  <c r="S127" i="5"/>
  <c r="S152" i="5"/>
  <c r="R152" i="5"/>
  <c r="R313" i="5"/>
  <c r="S313" i="5"/>
  <c r="R521" i="5"/>
  <c r="S521" i="5"/>
  <c r="R490" i="5"/>
  <c r="S490" i="5"/>
  <c r="R450" i="5"/>
  <c r="S450" i="5"/>
  <c r="R532" i="5"/>
  <c r="S532" i="5"/>
  <c r="S268" i="5"/>
  <c r="R268" i="5"/>
  <c r="S276" i="5"/>
  <c r="R276" i="5"/>
  <c r="R337" i="5"/>
  <c r="S337" i="5"/>
  <c r="R468" i="5"/>
  <c r="S468" i="5"/>
  <c r="S426" i="5"/>
  <c r="R426" i="5"/>
  <c r="R475" i="5"/>
  <c r="S475" i="5"/>
  <c r="S174" i="5"/>
  <c r="R174" i="5"/>
  <c r="S482" i="5"/>
  <c r="R482" i="5"/>
  <c r="S76" i="5"/>
  <c r="R76" i="5"/>
  <c r="S445" i="5"/>
  <c r="R445" i="5"/>
  <c r="R115" i="5"/>
  <c r="S115" i="5"/>
  <c r="R341" i="5"/>
  <c r="S341" i="5"/>
  <c r="S374" i="5"/>
  <c r="R374" i="5"/>
  <c r="S290" i="5"/>
  <c r="R290" i="5"/>
  <c r="S487" i="5"/>
  <c r="R487" i="5"/>
  <c r="S247" i="5"/>
  <c r="R247" i="5"/>
  <c r="S558" i="5"/>
  <c r="R558" i="5"/>
  <c r="S345" i="5"/>
  <c r="R345" i="5"/>
  <c r="R330" i="5"/>
  <c r="S330" i="5"/>
  <c r="R371" i="5"/>
  <c r="S371" i="5"/>
  <c r="S75" i="5"/>
  <c r="R75" i="5"/>
  <c r="R483" i="5"/>
  <c r="S483" i="5"/>
  <c r="R523" i="5"/>
  <c r="S523" i="5"/>
  <c r="R474" i="5"/>
  <c r="S474" i="5"/>
  <c r="R229" i="5"/>
  <c r="S229" i="5"/>
  <c r="R549" i="5"/>
  <c r="S549" i="5"/>
  <c r="S479" i="5"/>
  <c r="R479" i="5"/>
  <c r="S372" i="5"/>
  <c r="R372" i="5"/>
  <c r="R95" i="5"/>
  <c r="S95" i="5"/>
  <c r="R255" i="5"/>
  <c r="S255" i="5"/>
  <c r="R384" i="5"/>
  <c r="S384" i="5"/>
  <c r="R155" i="5"/>
  <c r="S155" i="5"/>
  <c r="S496" i="5"/>
  <c r="R496" i="5"/>
  <c r="R278" i="5"/>
  <c r="S278" i="5"/>
  <c r="R368" i="5"/>
  <c r="S368" i="5"/>
  <c r="S40" i="5"/>
  <c r="R40" i="5"/>
  <c r="S453" i="5"/>
  <c r="R453" i="5"/>
  <c r="S44" i="5"/>
  <c r="R44" i="5"/>
  <c r="R309" i="5"/>
  <c r="S309" i="5"/>
  <c r="S334" i="5"/>
  <c r="R334" i="5"/>
  <c r="R202" i="5"/>
  <c r="S202" i="5"/>
  <c r="S61" i="5"/>
  <c r="R61" i="5"/>
  <c r="R46" i="5"/>
  <c r="S46" i="5"/>
  <c r="S396" i="5"/>
  <c r="R396" i="5"/>
  <c r="S157" i="5"/>
  <c r="R157" i="5"/>
  <c r="R480" i="5"/>
  <c r="S480" i="5"/>
  <c r="S279" i="5"/>
  <c r="R279" i="5"/>
  <c r="R351" i="5"/>
  <c r="S351" i="5"/>
  <c r="R64" i="5"/>
  <c r="S64" i="5"/>
  <c r="R505" i="5"/>
  <c r="S505" i="5"/>
  <c r="S515" i="5"/>
  <c r="R515" i="5"/>
  <c r="S29" i="5"/>
  <c r="R29" i="5"/>
  <c r="R266" i="5"/>
  <c r="S266" i="5"/>
  <c r="R530" i="5"/>
  <c r="S530" i="5"/>
  <c r="S333" i="5"/>
  <c r="R333" i="5"/>
  <c r="S538" i="5"/>
  <c r="R538" i="5"/>
  <c r="R359" i="5"/>
  <c r="S359" i="5"/>
  <c r="S39" i="5"/>
  <c r="R39" i="5"/>
  <c r="R110" i="5"/>
  <c r="S110" i="5"/>
  <c r="S356" i="5"/>
  <c r="R356" i="5"/>
  <c r="S99" i="5"/>
  <c r="R99" i="5"/>
  <c r="R301" i="5"/>
  <c r="S301" i="5"/>
  <c r="S212" i="5"/>
  <c r="R212" i="5"/>
  <c r="S273" i="5"/>
  <c r="R273" i="5"/>
  <c r="R238" i="5"/>
  <c r="S238" i="5"/>
  <c r="R246" i="5"/>
  <c r="S246" i="5"/>
  <c r="R283" i="5"/>
  <c r="S283" i="5"/>
  <c r="R24" i="5"/>
  <c r="S24" i="5"/>
  <c r="R390" i="5"/>
  <c r="S390" i="5"/>
  <c r="S113" i="5"/>
  <c r="R113" i="5"/>
  <c r="R12" i="5"/>
  <c r="S12" i="5"/>
  <c r="R466" i="5"/>
  <c r="S466" i="5"/>
  <c r="R156" i="5"/>
  <c r="S156" i="5"/>
  <c r="S81" i="5"/>
  <c r="R81" i="5"/>
  <c r="S363" i="5"/>
  <c r="R363" i="5"/>
  <c r="S452" i="5"/>
  <c r="R452" i="5"/>
  <c r="S451" i="5"/>
  <c r="R451" i="5"/>
  <c r="S244" i="5"/>
  <c r="R244" i="5"/>
  <c r="R134" i="5"/>
  <c r="S134" i="5"/>
  <c r="S386" i="5"/>
  <c r="R386" i="5"/>
  <c r="S442" i="5"/>
  <c r="R442" i="5"/>
  <c r="R281" i="5"/>
  <c r="S281" i="5"/>
  <c r="R233" i="5"/>
  <c r="S233" i="5"/>
  <c r="R488" i="5"/>
  <c r="S488" i="5"/>
  <c r="R131" i="5"/>
  <c r="S131" i="5"/>
  <c r="R292" i="5"/>
  <c r="S292" i="5"/>
  <c r="S45" i="5"/>
  <c r="R45" i="5"/>
  <c r="R402" i="5"/>
  <c r="S402" i="5"/>
  <c r="R464" i="5"/>
  <c r="S464" i="5"/>
  <c r="R154" i="5"/>
  <c r="S154" i="5"/>
  <c r="BK556" i="5"/>
  <c r="BJ556" i="5"/>
  <c r="AK99" i="4"/>
  <c r="AL99" i="4" s="1"/>
  <c r="AF99" i="4"/>
  <c r="AG99" i="4" s="1"/>
  <c r="AI99" i="4" s="1"/>
  <c r="AN99" i="4"/>
  <c r="AP91" i="4"/>
  <c r="AQ91" i="4"/>
  <c r="AC91" i="4"/>
  <c r="AD91" i="4" s="1"/>
  <c r="AP53" i="4"/>
  <c r="AQ53" i="4"/>
  <c r="AC53" i="4"/>
  <c r="AD53" i="4" s="1"/>
  <c r="AK48" i="4"/>
  <c r="AL48" i="4" s="1"/>
  <c r="AN48" i="4"/>
  <c r="AF48" i="4"/>
  <c r="AG48" i="4" s="1"/>
  <c r="AI48" i="4" s="1"/>
  <c r="AP48" i="4"/>
  <c r="AQ48" i="4"/>
  <c r="AC48" i="4"/>
  <c r="AD48" i="4" s="1"/>
  <c r="AC129" i="5"/>
  <c r="AC249" i="5"/>
  <c r="AC167" i="5"/>
  <c r="AC170" i="5"/>
  <c r="AC527" i="5"/>
  <c r="AC315" i="5"/>
  <c r="AN147" i="4"/>
  <c r="AK147" i="4"/>
  <c r="AL147" i="4" s="1"/>
  <c r="AF147" i="4"/>
  <c r="AG147" i="4" s="1"/>
  <c r="AI147" i="4" s="1"/>
  <c r="AQ44" i="4"/>
  <c r="AP44" i="4"/>
  <c r="AC44" i="4"/>
  <c r="AD44" i="4" s="1"/>
  <c r="BK395" i="5"/>
  <c r="BJ395" i="5"/>
  <c r="BK342" i="5"/>
  <c r="BJ342" i="5"/>
  <c r="BK29" i="5"/>
  <c r="BJ29" i="5"/>
  <c r="BJ139" i="5"/>
  <c r="BK139" i="5"/>
  <c r="BK172" i="5"/>
  <c r="BJ172" i="5"/>
  <c r="BK85" i="5"/>
  <c r="BJ85" i="5"/>
  <c r="BJ550" i="5"/>
  <c r="BK550" i="5"/>
  <c r="BK93" i="5"/>
  <c r="BJ93" i="5"/>
  <c r="BJ133" i="5"/>
  <c r="BK133" i="5"/>
  <c r="AP107" i="4"/>
  <c r="AQ107" i="4"/>
  <c r="AC107" i="4"/>
  <c r="AD107" i="4" s="1"/>
  <c r="AN86" i="4"/>
  <c r="AK86" i="4"/>
  <c r="AL86" i="4" s="1"/>
  <c r="AF86" i="4"/>
  <c r="AG86" i="4" s="1"/>
  <c r="AI86" i="4" s="1"/>
  <c r="AN132" i="4"/>
  <c r="AK132" i="4"/>
  <c r="AL132" i="4" s="1"/>
  <c r="AF132" i="4"/>
  <c r="AG132" i="4" s="1"/>
  <c r="AI132" i="4" s="1"/>
  <c r="AQ17" i="4"/>
  <c r="AC17" i="4"/>
  <c r="AD17" i="4" s="1"/>
  <c r="AP17" i="4"/>
  <c r="AK52" i="4"/>
  <c r="AL52" i="4" s="1"/>
  <c r="AN52" i="4"/>
  <c r="AF52" i="4"/>
  <c r="AG52" i="4" s="1"/>
  <c r="AI52" i="4" s="1"/>
  <c r="AQ52" i="4"/>
  <c r="AP52" i="4"/>
  <c r="AC52" i="4"/>
  <c r="AD52" i="4" s="1"/>
  <c r="AK154" i="4"/>
  <c r="AL154" i="4" s="1"/>
  <c r="AF154" i="4"/>
  <c r="AG154" i="4" s="1"/>
  <c r="AI154" i="4" s="1"/>
  <c r="AN154" i="4"/>
  <c r="AP125" i="4"/>
  <c r="AQ125" i="4"/>
  <c r="AC125" i="4"/>
  <c r="AD125" i="4" s="1"/>
  <c r="AF22" i="4"/>
  <c r="AG22" i="4" s="1"/>
  <c r="AI22" i="4" s="1"/>
  <c r="AK22" i="4"/>
  <c r="AL22" i="4" s="1"/>
  <c r="AN22" i="4"/>
  <c r="AQ40" i="4"/>
  <c r="AP40" i="4"/>
  <c r="AC40" i="4"/>
  <c r="AD40" i="4" s="1"/>
  <c r="AP127" i="4"/>
  <c r="AQ127" i="4"/>
  <c r="AC127" i="4"/>
  <c r="AD127" i="4" s="1"/>
  <c r="AK38" i="4"/>
  <c r="AL38" i="4" s="1"/>
  <c r="AN38" i="4"/>
  <c r="AF38" i="4"/>
  <c r="AG38" i="4" s="1"/>
  <c r="AI38" i="4" s="1"/>
  <c r="AQ145" i="4"/>
  <c r="AR497" i="5"/>
  <c r="BI497" i="5"/>
  <c r="AQ497" i="5"/>
  <c r="AQ33" i="5"/>
  <c r="BI33" i="5"/>
  <c r="AR33" i="5"/>
  <c r="BK292" i="5"/>
  <c r="BJ292" i="5"/>
  <c r="BK177" i="5"/>
  <c r="BJ177" i="5"/>
  <c r="BJ205" i="5"/>
  <c r="BK205" i="5"/>
  <c r="BK370" i="5"/>
  <c r="BJ370" i="5"/>
  <c r="BJ140" i="5"/>
  <c r="BK140" i="5"/>
  <c r="AK72" i="4"/>
  <c r="AL72" i="4" s="1"/>
  <c r="AN72" i="4"/>
  <c r="AF72" i="4"/>
  <c r="AG72" i="4" s="1"/>
  <c r="AI72" i="4" s="1"/>
  <c r="AQ42" i="4"/>
  <c r="AP42" i="4"/>
  <c r="AC42" i="4"/>
  <c r="AD42" i="4" s="1"/>
  <c r="AF14" i="4"/>
  <c r="AG14" i="4" s="1"/>
  <c r="AI14" i="4" s="1"/>
  <c r="AK14" i="4"/>
  <c r="AL14" i="4" s="1"/>
  <c r="AN14" i="4"/>
  <c r="AN23" i="4"/>
  <c r="AK23" i="4"/>
  <c r="AL23" i="4" s="1"/>
  <c r="AF23" i="4"/>
  <c r="AG23" i="4" s="1"/>
  <c r="AI23" i="4" s="1"/>
  <c r="AK153" i="4"/>
  <c r="AL153" i="4" s="1"/>
  <c r="AN153" i="4"/>
  <c r="AF153" i="4"/>
  <c r="AG153" i="4" s="1"/>
  <c r="AI153" i="4" s="1"/>
  <c r="AK58" i="4"/>
  <c r="AL58" i="4" s="1"/>
  <c r="AN58" i="4"/>
  <c r="AF58" i="4"/>
  <c r="AG58" i="4" s="1"/>
  <c r="AI58" i="4" s="1"/>
  <c r="AK123" i="4"/>
  <c r="AL123" i="4" s="1"/>
  <c r="AN26" i="4"/>
  <c r="AK26" i="4"/>
  <c r="AL26" i="4" s="1"/>
  <c r="AF26" i="4"/>
  <c r="AG26" i="4" s="1"/>
  <c r="AI26" i="4" s="1"/>
  <c r="AQ73" i="4"/>
  <c r="AP73" i="4"/>
  <c r="AC73" i="4"/>
  <c r="AD73" i="4" s="1"/>
  <c r="AK157" i="4"/>
  <c r="AL157" i="4" s="1"/>
  <c r="AN157" i="4"/>
  <c r="AF157" i="4"/>
  <c r="AG157" i="4" s="1"/>
  <c r="AI157" i="4" s="1"/>
  <c r="BK414" i="5"/>
  <c r="BJ414" i="5"/>
  <c r="BK517" i="5"/>
  <c r="BJ517" i="5"/>
  <c r="BK281" i="5"/>
  <c r="BJ281" i="5"/>
  <c r="BJ138" i="5"/>
  <c r="BK138" i="5"/>
  <c r="BJ443" i="5"/>
  <c r="BK443" i="5"/>
  <c r="BJ510" i="5"/>
  <c r="BK510" i="5"/>
  <c r="BK435" i="5"/>
  <c r="BJ435" i="5"/>
  <c r="BK319" i="5"/>
  <c r="BJ478" i="5"/>
  <c r="BK478" i="5"/>
  <c r="BJ48" i="5"/>
  <c r="BK48" i="5"/>
  <c r="BJ558" i="5"/>
  <c r="BK558" i="5"/>
  <c r="BJ434" i="5"/>
  <c r="BK434" i="5"/>
  <c r="BJ474" i="5"/>
  <c r="BK474" i="5"/>
  <c r="BJ388" i="5"/>
  <c r="BK388" i="5"/>
  <c r="BK246" i="5"/>
  <c r="BJ246" i="5"/>
  <c r="AQ209" i="5"/>
  <c r="AR209" i="5"/>
  <c r="BI209" i="5"/>
  <c r="AR13" i="5"/>
  <c r="BI13" i="5"/>
  <c r="AQ13" i="5"/>
  <c r="BK491" i="5"/>
  <c r="BJ491" i="5"/>
  <c r="BK262" i="5"/>
  <c r="BJ262" i="5"/>
  <c r="BK53" i="5"/>
  <c r="BJ53" i="5"/>
  <c r="BK75" i="5"/>
  <c r="BJ75" i="5"/>
  <c r="BK521" i="5"/>
  <c r="BJ521" i="5"/>
  <c r="BJ484" i="5"/>
  <c r="BK484" i="5"/>
  <c r="BK297" i="5"/>
  <c r="BJ297" i="5"/>
  <c r="BK165" i="5"/>
  <c r="BJ165" i="5"/>
  <c r="BK413" i="5"/>
  <c r="BJ413" i="5"/>
  <c r="BJ552" i="5"/>
  <c r="BK552" i="5"/>
  <c r="BK298" i="5"/>
  <c r="BJ298" i="5"/>
  <c r="BJ541" i="5"/>
  <c r="BK541" i="5"/>
  <c r="BJ192" i="5"/>
  <c r="BK192" i="5"/>
  <c r="BJ35" i="5"/>
  <c r="BK35" i="5"/>
  <c r="BJ509" i="5"/>
  <c r="BK509" i="5"/>
  <c r="BJ144" i="5"/>
  <c r="BK144" i="5"/>
  <c r="BK379" i="5"/>
  <c r="BJ379" i="5"/>
  <c r="BK340" i="5"/>
  <c r="BJ340" i="5"/>
  <c r="BK285" i="5"/>
  <c r="BJ285" i="5"/>
  <c r="BJ202" i="5"/>
  <c r="BK202" i="5"/>
  <c r="BJ420" i="5"/>
  <c r="BK420" i="5"/>
  <c r="AN34" i="4"/>
  <c r="AK34" i="4"/>
  <c r="AL34" i="4" s="1"/>
  <c r="AF34" i="4"/>
  <c r="AG34" i="4" s="1"/>
  <c r="AI34" i="4" s="1"/>
  <c r="AQ41" i="4"/>
  <c r="AP41" i="4"/>
  <c r="AC41" i="4"/>
  <c r="AD41" i="4" s="1"/>
  <c r="AQ56" i="4"/>
  <c r="AP56" i="4"/>
  <c r="AC56" i="4"/>
  <c r="AD56" i="4" s="1"/>
  <c r="AQ39" i="4"/>
  <c r="AC39" i="4"/>
  <c r="AD39" i="4" s="1"/>
  <c r="AP39" i="4"/>
  <c r="AP43" i="4"/>
  <c r="AQ43" i="4"/>
  <c r="AC43" i="4"/>
  <c r="AD43" i="4" s="1"/>
  <c r="AQ88" i="4"/>
  <c r="AP88" i="4"/>
  <c r="AC88" i="4"/>
  <c r="AD88" i="4" s="1"/>
  <c r="AN150" i="4"/>
  <c r="AK150" i="4"/>
  <c r="AL150" i="4" s="1"/>
  <c r="AF150" i="4"/>
  <c r="AG150" i="4" s="1"/>
  <c r="AI150" i="4" s="1"/>
  <c r="BJ345" i="5"/>
  <c r="BK345" i="5"/>
  <c r="BK375" i="5"/>
  <c r="BJ375" i="5"/>
  <c r="BK242" i="5"/>
  <c r="BJ242" i="5"/>
  <c r="BK480" i="5"/>
  <c r="BJ480" i="5"/>
  <c r="BI73" i="5"/>
  <c r="AQ73" i="5"/>
  <c r="AR73" i="5"/>
  <c r="BK547" i="5"/>
  <c r="BJ547" i="5"/>
  <c r="BK283" i="5"/>
  <c r="BJ283" i="5"/>
  <c r="BJ126" i="5"/>
  <c r="BK126" i="5"/>
  <c r="AR151" i="5"/>
  <c r="BI151" i="5"/>
  <c r="AQ151" i="5"/>
  <c r="BJ114" i="5"/>
  <c r="BK114" i="5"/>
  <c r="BJ294" i="5"/>
  <c r="BK294" i="5"/>
  <c r="BK423" i="5"/>
  <c r="BJ423" i="5"/>
  <c r="BJ410" i="5"/>
  <c r="BK410" i="5"/>
  <c r="BJ137" i="5"/>
  <c r="BK137" i="5"/>
  <c r="BK259" i="5"/>
  <c r="BJ259" i="5"/>
  <c r="AQ219" i="5"/>
  <c r="BI219" i="5"/>
  <c r="AR219" i="5"/>
  <c r="BK44" i="5"/>
  <c r="BJ44" i="5"/>
  <c r="BK468" i="5"/>
  <c r="BJ468" i="5"/>
  <c r="BK373" i="5"/>
  <c r="BJ373" i="5"/>
  <c r="BJ530" i="5"/>
  <c r="BK530" i="5"/>
  <c r="BJ25" i="5"/>
  <c r="BK25" i="5"/>
  <c r="BK293" i="5"/>
  <c r="BJ293" i="5"/>
  <c r="BK514" i="5"/>
  <c r="BJ514" i="5"/>
  <c r="BJ149" i="5"/>
  <c r="BK149" i="5"/>
  <c r="BK382" i="5"/>
  <c r="BJ382" i="5"/>
  <c r="S311" i="5"/>
  <c r="R311" i="5"/>
  <c r="R183" i="5"/>
  <c r="S183" i="5"/>
  <c r="R13" i="5"/>
  <c r="S13" i="5"/>
  <c r="S302" i="5"/>
  <c r="R302" i="5"/>
  <c r="S242" i="5"/>
  <c r="R242" i="5"/>
  <c r="R367" i="5"/>
  <c r="S367" i="5"/>
  <c r="R118" i="5"/>
  <c r="S118" i="5"/>
  <c r="R423" i="5"/>
  <c r="S423" i="5"/>
  <c r="R256" i="5"/>
  <c r="S256" i="5"/>
  <c r="S182" i="5"/>
  <c r="R182" i="5"/>
  <c r="R555" i="5"/>
  <c r="S555" i="5"/>
  <c r="R394" i="5"/>
  <c r="S394" i="5"/>
  <c r="R331" i="5"/>
  <c r="S331" i="5"/>
  <c r="R267" i="5"/>
  <c r="S267" i="5"/>
  <c r="S557" i="5"/>
  <c r="R557" i="5"/>
  <c r="S105" i="5"/>
  <c r="R105" i="5"/>
  <c r="S512" i="5"/>
  <c r="R512" i="5"/>
  <c r="S357" i="5"/>
  <c r="R357" i="5"/>
  <c r="R435" i="5"/>
  <c r="S435" i="5"/>
  <c r="R209" i="5"/>
  <c r="S209" i="5"/>
  <c r="R201" i="5"/>
  <c r="S201" i="5"/>
  <c r="R441" i="5"/>
  <c r="S441" i="5"/>
  <c r="R415" i="5"/>
  <c r="S415" i="5"/>
  <c r="S68" i="5"/>
  <c r="R68" i="5"/>
  <c r="R514" i="5"/>
  <c r="S514" i="5"/>
  <c r="S225" i="5"/>
  <c r="R225" i="5"/>
  <c r="S190" i="5"/>
  <c r="R190" i="5"/>
  <c r="S537" i="5"/>
  <c r="R537" i="5"/>
  <c r="R500" i="5"/>
  <c r="S500" i="5"/>
  <c r="S319" i="5"/>
  <c r="R319" i="5"/>
  <c r="R193" i="5"/>
  <c r="S193" i="5"/>
  <c r="R295" i="5"/>
  <c r="S295" i="5"/>
  <c r="S142" i="5"/>
  <c r="R142" i="5"/>
  <c r="S169" i="5"/>
  <c r="R169" i="5"/>
  <c r="S516" i="5"/>
  <c r="R516" i="5"/>
  <c r="S457" i="5"/>
  <c r="R457" i="5"/>
  <c r="S481" i="5"/>
  <c r="R481" i="5"/>
  <c r="R221" i="5"/>
  <c r="S221" i="5"/>
  <c r="S227" i="5"/>
  <c r="R227" i="5"/>
  <c r="S439" i="5"/>
  <c r="R439" i="5"/>
  <c r="S395" i="5"/>
  <c r="R395" i="5"/>
  <c r="R148" i="5"/>
  <c r="S148" i="5"/>
  <c r="S90" i="5"/>
  <c r="R90" i="5"/>
  <c r="R447" i="5"/>
  <c r="S447" i="5"/>
  <c r="S360" i="5"/>
  <c r="R360" i="5"/>
  <c r="S526" i="5"/>
  <c r="R526" i="5"/>
  <c r="S407" i="5"/>
  <c r="R407" i="5"/>
  <c r="R405" i="5"/>
  <c r="S405" i="5"/>
  <c r="R42" i="5"/>
  <c r="S42" i="5"/>
  <c r="S436" i="5"/>
  <c r="R436" i="5"/>
  <c r="R186" i="5"/>
  <c r="S186" i="5"/>
  <c r="S165" i="5"/>
  <c r="R165" i="5"/>
  <c r="S294" i="5"/>
  <c r="R294" i="5"/>
  <c r="S170" i="5"/>
  <c r="R170" i="5"/>
  <c r="R284" i="5"/>
  <c r="S284" i="5"/>
  <c r="S30" i="5"/>
  <c r="R30" i="5"/>
  <c r="S551" i="5"/>
  <c r="R551" i="5"/>
  <c r="S449" i="5"/>
  <c r="R449" i="5"/>
  <c r="R485" i="5"/>
  <c r="S485" i="5"/>
  <c r="S54" i="5"/>
  <c r="R54" i="5"/>
  <c r="S92" i="5"/>
  <c r="R92" i="5"/>
  <c r="R365" i="5"/>
  <c r="S365" i="5"/>
  <c r="R208" i="5"/>
  <c r="S208" i="5"/>
  <c r="S43" i="5"/>
  <c r="R43" i="5"/>
  <c r="S139" i="5"/>
  <c r="R139" i="5"/>
  <c r="R524" i="5"/>
  <c r="S524" i="5"/>
  <c r="S275" i="5"/>
  <c r="R275" i="5"/>
  <c r="R245" i="5"/>
  <c r="S245" i="5"/>
  <c r="R470" i="5"/>
  <c r="S470" i="5"/>
  <c r="S554" i="5"/>
  <c r="R554" i="5"/>
  <c r="R136" i="5"/>
  <c r="S136" i="5"/>
  <c r="S236" i="5"/>
  <c r="R236" i="5"/>
  <c r="S397" i="5"/>
  <c r="R397" i="5"/>
  <c r="R277" i="5"/>
  <c r="S277" i="5"/>
  <c r="S167" i="5"/>
  <c r="R167" i="5"/>
  <c r="S332" i="5"/>
  <c r="R332" i="5"/>
  <c r="R347" i="5"/>
  <c r="S347" i="5"/>
  <c r="R176" i="5"/>
  <c r="S176" i="5"/>
  <c r="R291" i="5"/>
  <c r="S291" i="5"/>
  <c r="R159" i="5"/>
  <c r="S159" i="5"/>
  <c r="S185" i="5"/>
  <c r="R185" i="5"/>
  <c r="S263" i="5"/>
  <c r="R263" i="5"/>
  <c r="S88" i="5"/>
  <c r="R88" i="5"/>
  <c r="R499" i="5"/>
  <c r="S499" i="5"/>
  <c r="S28" i="5"/>
  <c r="R28" i="5"/>
  <c r="S219" i="5"/>
  <c r="R219" i="5"/>
  <c r="S300" i="5"/>
  <c r="R300" i="5"/>
  <c r="R288" i="5"/>
  <c r="S288" i="5"/>
  <c r="S344" i="5"/>
  <c r="R344" i="5"/>
  <c r="R78" i="5"/>
  <c r="S78" i="5"/>
  <c r="S8" i="5"/>
  <c r="R8" i="5"/>
  <c r="S541" i="5"/>
  <c r="R541" i="5"/>
  <c r="R387" i="5"/>
  <c r="S387" i="5"/>
  <c r="S428" i="5"/>
  <c r="R428" i="5"/>
  <c r="S543" i="5"/>
  <c r="R543" i="5"/>
  <c r="R114" i="5"/>
  <c r="S114" i="5"/>
  <c r="S382" i="5"/>
  <c r="R382" i="5"/>
  <c r="S438" i="5"/>
  <c r="R438" i="5"/>
  <c r="S518" i="5"/>
  <c r="R518" i="5"/>
  <c r="S293" i="5"/>
  <c r="R293" i="5"/>
  <c r="S326" i="5"/>
  <c r="R326" i="5"/>
  <c r="S463" i="5"/>
  <c r="R463" i="5"/>
  <c r="R207" i="5"/>
  <c r="S207" i="5"/>
  <c r="R336" i="5"/>
  <c r="S336" i="5"/>
  <c r="R132" i="5"/>
  <c r="S132" i="5"/>
  <c r="R62" i="5"/>
  <c r="S62" i="5"/>
  <c r="S321" i="5"/>
  <c r="R321" i="5"/>
  <c r="R327" i="5"/>
  <c r="S327" i="5"/>
  <c r="S215" i="5"/>
  <c r="R215" i="5"/>
  <c r="R272" i="5"/>
  <c r="S272" i="5"/>
  <c r="R96" i="5"/>
  <c r="S96" i="5"/>
  <c r="S513" i="5"/>
  <c r="R513" i="5"/>
  <c r="S217" i="5"/>
  <c r="R217" i="5"/>
  <c r="R161" i="5"/>
  <c r="S161" i="5"/>
  <c r="R547" i="5"/>
  <c r="S547" i="5"/>
  <c r="S322" i="5"/>
  <c r="R322" i="5"/>
  <c r="S70" i="5"/>
  <c r="R70" i="5"/>
  <c r="R89" i="5"/>
  <c r="S89" i="5"/>
  <c r="R458" i="5"/>
  <c r="S458" i="5"/>
  <c r="R317" i="5"/>
  <c r="S317" i="5"/>
  <c r="S286" i="5"/>
  <c r="R286" i="5"/>
  <c r="R173" i="5"/>
  <c r="S173" i="5"/>
  <c r="R517" i="5"/>
  <c r="S517" i="5"/>
  <c r="S117" i="5"/>
  <c r="R117" i="5"/>
  <c r="S33" i="5"/>
  <c r="R33" i="5"/>
  <c r="R534" i="5"/>
  <c r="S534" i="5"/>
  <c r="R194" i="5"/>
  <c r="S194" i="5"/>
  <c r="R285" i="5"/>
  <c r="S285" i="5"/>
  <c r="S214" i="5"/>
  <c r="R214" i="5"/>
  <c r="R455" i="5"/>
  <c r="S455" i="5"/>
  <c r="S79" i="5"/>
  <c r="R79" i="5"/>
  <c r="S339" i="5"/>
  <c r="R339" i="5"/>
  <c r="S325" i="5"/>
  <c r="R325" i="5"/>
  <c r="S404" i="5"/>
  <c r="R404" i="5"/>
  <c r="S424" i="5"/>
  <c r="R424" i="5"/>
  <c r="R385" i="5"/>
  <c r="S385" i="5"/>
  <c r="R53" i="5"/>
  <c r="S53" i="5"/>
  <c r="AN24" i="4"/>
  <c r="AF24" i="4"/>
  <c r="AG24" i="4" s="1"/>
  <c r="AI24" i="4" s="1"/>
  <c r="AK24" i="4"/>
  <c r="AL24" i="4" s="1"/>
  <c r="BJ276" i="5"/>
  <c r="BK276" i="5"/>
  <c r="BJ37" i="5"/>
  <c r="BK37" i="5"/>
  <c r="AK50" i="4"/>
  <c r="AL50" i="4" s="1"/>
  <c r="AN50" i="4"/>
  <c r="AF50" i="4"/>
  <c r="AG50" i="4" s="1"/>
  <c r="AI50" i="4" s="1"/>
  <c r="AP50" i="4"/>
  <c r="AQ50" i="4"/>
  <c r="AC50" i="4"/>
  <c r="AD50" i="4" s="1"/>
  <c r="AC248" i="5"/>
  <c r="AC235" i="5"/>
  <c r="AC218" i="5"/>
  <c r="AC525" i="5"/>
  <c r="AC304" i="5"/>
  <c r="AC494" i="5"/>
  <c r="AN8" i="4"/>
  <c r="AK8" i="4"/>
  <c r="AL8" i="4" s="1"/>
  <c r="AF8" i="4"/>
  <c r="AG8" i="4" s="1"/>
  <c r="AI8" i="4" s="1"/>
  <c r="AN15" i="4"/>
  <c r="AF15" i="4"/>
  <c r="AG15" i="4" s="1"/>
  <c r="AI15" i="4" s="1"/>
  <c r="AK15" i="4"/>
  <c r="AL15" i="4" s="1"/>
  <c r="AP33" i="4"/>
  <c r="AQ33" i="4"/>
  <c r="AC33" i="4"/>
  <c r="AD33" i="4" s="1"/>
  <c r="AQ524" i="5"/>
  <c r="AR524" i="5"/>
  <c r="BI524" i="5"/>
  <c r="BJ136" i="5"/>
  <c r="BK136" i="5"/>
  <c r="BJ256" i="5"/>
  <c r="BK256" i="5"/>
  <c r="BJ357" i="5"/>
  <c r="BK357" i="5"/>
  <c r="AQ45" i="4"/>
  <c r="AP45" i="4"/>
  <c r="AC45" i="4"/>
  <c r="AD45" i="4" s="1"/>
  <c r="AK115" i="4"/>
  <c r="AL115" i="4" s="1"/>
  <c r="AN115" i="4"/>
  <c r="AF115" i="4"/>
  <c r="AG115" i="4" s="1"/>
  <c r="AI115" i="4" s="1"/>
  <c r="AN21" i="4"/>
  <c r="AK21" i="4"/>
  <c r="AL21" i="4" s="1"/>
  <c r="AF21" i="4"/>
  <c r="AG21" i="4" s="1"/>
  <c r="AI21" i="4" s="1"/>
  <c r="AR452" i="5"/>
  <c r="BI452" i="5"/>
  <c r="AQ452" i="5"/>
  <c r="BK440" i="5"/>
  <c r="BJ440" i="5"/>
  <c r="BK98" i="5"/>
  <c r="BJ98" i="5"/>
  <c r="BK146" i="5"/>
  <c r="BJ146" i="5"/>
  <c r="BK189" i="5"/>
  <c r="BJ189" i="5"/>
  <c r="BJ234" i="5"/>
  <c r="BK234" i="5"/>
  <c r="BK231" i="5"/>
  <c r="BJ231" i="5"/>
  <c r="AK32" i="4"/>
  <c r="AL32" i="4" s="1"/>
  <c r="AN32" i="4"/>
  <c r="AF32" i="4"/>
  <c r="AG32" i="4" s="1"/>
  <c r="AI32" i="4" s="1"/>
  <c r="AN42" i="4"/>
  <c r="AK42" i="4"/>
  <c r="AL42" i="4" s="1"/>
  <c r="AF42" i="4"/>
  <c r="AG42" i="4" s="1"/>
  <c r="AI42" i="4" s="1"/>
  <c r="AP153" i="4"/>
  <c r="AQ153" i="4"/>
  <c r="AC153" i="4"/>
  <c r="AD153" i="4" s="1"/>
  <c r="AQ110" i="4"/>
  <c r="AC110" i="4"/>
  <c r="AD110" i="4" s="1"/>
  <c r="AQ157" i="4"/>
  <c r="AP157" i="4"/>
  <c r="AC157" i="4"/>
  <c r="AD157" i="4" s="1"/>
  <c r="AQ49" i="4"/>
  <c r="AP49" i="4"/>
  <c r="AC49" i="4"/>
  <c r="AD49" i="4" s="1"/>
  <c r="AN71" i="4"/>
  <c r="AK71" i="4"/>
  <c r="AL71" i="4" s="1"/>
  <c r="AF71" i="4"/>
  <c r="AG71" i="4" s="1"/>
  <c r="AI71" i="4" s="1"/>
  <c r="BJ391" i="5"/>
  <c r="BK391" i="5"/>
  <c r="BJ511" i="5"/>
  <c r="BK511" i="5"/>
  <c r="BK305" i="5"/>
  <c r="BJ305" i="5"/>
  <c r="BK112" i="5"/>
  <c r="BJ112" i="5"/>
  <c r="BJ243" i="5"/>
  <c r="BK243" i="5"/>
  <c r="BJ415" i="5"/>
  <c r="BK415" i="5"/>
  <c r="BJ241" i="5"/>
  <c r="BK241" i="5"/>
  <c r="BK555" i="5"/>
  <c r="BJ555" i="5"/>
  <c r="BK325" i="5"/>
  <c r="BJ325" i="5"/>
  <c r="BK132" i="5"/>
  <c r="BJ132" i="5"/>
  <c r="BJ279" i="5"/>
  <c r="BK279" i="5"/>
  <c r="BK540" i="5"/>
  <c r="BJ540" i="5"/>
  <c r="BJ526" i="5"/>
  <c r="BK526" i="5"/>
  <c r="BJ385" i="5"/>
  <c r="BK385" i="5"/>
  <c r="BK323" i="5"/>
  <c r="BJ323" i="5"/>
  <c r="BJ161" i="5"/>
  <c r="BK161" i="5"/>
  <c r="BJ222" i="5"/>
  <c r="BK222" i="5"/>
  <c r="BK160" i="5"/>
  <c r="BJ160" i="5"/>
  <c r="BJ479" i="5"/>
  <c r="BK479" i="5"/>
  <c r="BK426" i="5"/>
  <c r="BJ426" i="5"/>
  <c r="BK239" i="5"/>
  <c r="BJ239" i="5"/>
  <c r="BJ28" i="5"/>
  <c r="BK28" i="5"/>
  <c r="BJ553" i="5"/>
  <c r="BK553" i="5"/>
  <c r="AQ54" i="5"/>
  <c r="BI54" i="5"/>
  <c r="AR54" i="5"/>
  <c r="BK271" i="5"/>
  <c r="BJ271" i="5"/>
  <c r="BJ363" i="5"/>
  <c r="BK363" i="5"/>
  <c r="BK380" i="5"/>
  <c r="BJ380" i="5"/>
  <c r="BJ74" i="5"/>
  <c r="BK74" i="5"/>
  <c r="BK557" i="5"/>
  <c r="BJ557" i="5"/>
  <c r="BJ21" i="5"/>
  <c r="BK21" i="5"/>
  <c r="BK487" i="5"/>
  <c r="BJ487" i="5"/>
  <c r="AC85" i="4"/>
  <c r="AD85" i="4" s="1"/>
  <c r="AK41" i="4"/>
  <c r="AL41" i="4" s="1"/>
  <c r="AN41" i="4"/>
  <c r="AF41" i="4"/>
  <c r="AG41" i="4" s="1"/>
  <c r="AI41" i="4" s="1"/>
  <c r="AN39" i="4"/>
  <c r="AK39" i="4"/>
  <c r="AL39" i="4" s="1"/>
  <c r="AF39" i="4"/>
  <c r="AG39" i="4" s="1"/>
  <c r="AI39" i="4" s="1"/>
  <c r="AQ119" i="4"/>
  <c r="AP119" i="4"/>
  <c r="AC119" i="4"/>
  <c r="AD119" i="4" s="1"/>
  <c r="AP130" i="4"/>
  <c r="AQ130" i="4"/>
  <c r="AC130" i="4"/>
  <c r="AD130" i="4" s="1"/>
  <c r="AK105" i="4"/>
  <c r="AL105" i="4" s="1"/>
  <c r="AP55" i="4"/>
  <c r="AQ55" i="4"/>
  <c r="AC55" i="4"/>
  <c r="AD55" i="4" s="1"/>
  <c r="BJ206" i="5"/>
  <c r="BK206" i="5"/>
  <c r="BJ150" i="5"/>
  <c r="BK150" i="5"/>
  <c r="BK197" i="5"/>
  <c r="BJ197" i="5"/>
  <c r="BJ169" i="5"/>
  <c r="BK169" i="5"/>
  <c r="BJ253" i="5"/>
  <c r="BK253" i="5"/>
  <c r="BK498" i="5"/>
  <c r="BJ498" i="5"/>
  <c r="BJ193" i="5"/>
  <c r="BK193" i="5"/>
  <c r="BK477" i="5"/>
  <c r="BJ477" i="5"/>
  <c r="AQ372" i="5"/>
  <c r="AR372" i="5"/>
  <c r="BI372" i="5"/>
  <c r="BK166" i="5"/>
  <c r="BJ166" i="5"/>
  <c r="BK374" i="5"/>
  <c r="BJ374" i="5"/>
  <c r="BK207" i="5"/>
  <c r="BJ207" i="5"/>
  <c r="BK404" i="5"/>
  <c r="BJ404" i="5"/>
  <c r="BJ175" i="5"/>
  <c r="BK175" i="5"/>
  <c r="BK70" i="5"/>
  <c r="BJ70" i="5"/>
  <c r="BK384" i="5"/>
  <c r="BJ384" i="5"/>
  <c r="BK121" i="5"/>
  <c r="BJ121" i="5"/>
  <c r="BJ367" i="5"/>
  <c r="BK367" i="5"/>
  <c r="BJ103" i="5"/>
  <c r="BK103" i="5"/>
  <c r="BJ409" i="5"/>
  <c r="BK409" i="5"/>
  <c r="BK220" i="5"/>
  <c r="BJ220" i="5"/>
  <c r="BJ442" i="5"/>
  <c r="BK442" i="5"/>
  <c r="BI485" i="5"/>
  <c r="AR485" i="5"/>
  <c r="AQ485" i="5"/>
  <c r="BJ322" i="5"/>
  <c r="BK322" i="5"/>
  <c r="BK130" i="5"/>
  <c r="BJ130" i="5"/>
  <c r="BJ383" i="5"/>
  <c r="BK383" i="5"/>
  <c r="BK306" i="5"/>
  <c r="BJ306" i="5"/>
  <c r="BK289" i="5"/>
  <c r="BJ289" i="5"/>
  <c r="BK96" i="5"/>
  <c r="BJ531" i="5"/>
  <c r="BK531" i="5"/>
  <c r="BK264" i="5"/>
  <c r="BJ264" i="5"/>
  <c r="BK71" i="5"/>
  <c r="BJ71" i="5"/>
  <c r="BJ545" i="5"/>
  <c r="BK545" i="5"/>
  <c r="BK113" i="5"/>
  <c r="BJ113" i="5"/>
  <c r="BK432" i="5"/>
  <c r="BJ432" i="5"/>
  <c r="BJ376" i="5"/>
  <c r="BK376" i="5"/>
  <c r="S63" i="5"/>
  <c r="R63" i="5"/>
  <c r="S282" i="5"/>
  <c r="R282" i="5"/>
  <c r="S522" i="5"/>
  <c r="R522" i="5"/>
  <c r="S318" i="5"/>
  <c r="R318" i="5"/>
  <c r="R303" i="5"/>
  <c r="S303" i="5"/>
  <c r="S443" i="5"/>
  <c r="R443" i="5"/>
  <c r="S210" i="5"/>
  <c r="R210" i="5"/>
  <c r="R509" i="5"/>
  <c r="S509" i="5"/>
  <c r="S298" i="5"/>
  <c r="R298" i="5"/>
  <c r="S497" i="5"/>
  <c r="R497" i="5"/>
  <c r="S191" i="5"/>
  <c r="R191" i="5"/>
  <c r="S91" i="5"/>
  <c r="R91" i="5"/>
  <c r="R237" i="5"/>
  <c r="S237" i="5"/>
  <c r="R93" i="5"/>
  <c r="S93" i="5"/>
  <c r="S527" i="5"/>
  <c r="R527" i="5"/>
  <c r="S60" i="5"/>
  <c r="R60" i="5"/>
  <c r="R180" i="5"/>
  <c r="S180" i="5"/>
  <c r="S116" i="5"/>
  <c r="R116" i="5"/>
  <c r="S249" i="5"/>
  <c r="R249" i="5"/>
  <c r="S71" i="5"/>
  <c r="R71" i="5"/>
  <c r="R120" i="5"/>
  <c r="S120" i="5"/>
  <c r="S65" i="5"/>
  <c r="R65" i="5"/>
  <c r="R476" i="5"/>
  <c r="S476" i="5"/>
  <c r="R462" i="5"/>
  <c r="S462" i="5"/>
  <c r="S306" i="5"/>
  <c r="R306" i="5"/>
  <c r="R206" i="5"/>
  <c r="S206" i="5"/>
  <c r="R391" i="5"/>
  <c r="S391" i="5"/>
  <c r="R231" i="5"/>
  <c r="S231" i="5"/>
  <c r="R342" i="5"/>
  <c r="S342" i="5"/>
  <c r="R218" i="5"/>
  <c r="S218" i="5"/>
  <c r="S539" i="5"/>
  <c r="R539" i="5"/>
  <c r="S376" i="5"/>
  <c r="R376" i="5"/>
  <c r="R50" i="5"/>
  <c r="S50" i="5"/>
  <c r="S252" i="5"/>
  <c r="R252" i="5"/>
  <c r="R188" i="5"/>
  <c r="S188" i="5"/>
  <c r="R67" i="5"/>
  <c r="S67" i="5"/>
  <c r="R383" i="5"/>
  <c r="S383" i="5"/>
  <c r="S235" i="5"/>
  <c r="R235" i="5"/>
  <c r="S226" i="5"/>
  <c r="R226" i="5"/>
  <c r="R94" i="5"/>
  <c r="S94" i="5"/>
  <c r="S112" i="5"/>
  <c r="R112" i="5"/>
  <c r="R493" i="5"/>
  <c r="S493" i="5"/>
  <c r="R353" i="5"/>
  <c r="S353" i="5"/>
  <c r="S316" i="5"/>
  <c r="R316" i="5"/>
  <c r="S310" i="5"/>
  <c r="R310" i="5"/>
  <c r="S86" i="5"/>
  <c r="R86" i="5"/>
  <c r="S478" i="5"/>
  <c r="R478" i="5"/>
  <c r="S87" i="5"/>
  <c r="R87" i="5"/>
  <c r="S260" i="5"/>
  <c r="R260" i="5"/>
  <c r="S502" i="5"/>
  <c r="R502" i="5"/>
  <c r="R241" i="5"/>
  <c r="S241" i="5"/>
  <c r="R410" i="5"/>
  <c r="S410" i="5"/>
  <c r="R430" i="5"/>
  <c r="S430" i="5"/>
  <c r="S354" i="5"/>
  <c r="R354" i="5"/>
  <c r="S122" i="5"/>
  <c r="R122" i="5"/>
  <c r="R192" i="5"/>
  <c r="S192" i="5"/>
  <c r="S220" i="5"/>
  <c r="R220" i="5"/>
  <c r="R32" i="5"/>
  <c r="S32" i="5"/>
  <c r="S417" i="5"/>
  <c r="R417" i="5"/>
  <c r="R308" i="5"/>
  <c r="S308" i="5"/>
  <c r="R314" i="5"/>
  <c r="S314" i="5"/>
  <c r="S254" i="5"/>
  <c r="R254" i="5"/>
  <c r="R166" i="5"/>
  <c r="S166" i="5"/>
  <c r="R101" i="5"/>
  <c r="S101" i="5"/>
  <c r="S545" i="5"/>
  <c r="R545" i="5"/>
  <c r="R305" i="5"/>
  <c r="S305" i="5"/>
  <c r="S498" i="5"/>
  <c r="R498" i="5"/>
  <c r="S352" i="5"/>
  <c r="R352" i="5"/>
  <c r="S51" i="5"/>
  <c r="R51" i="5"/>
  <c r="S10" i="5"/>
  <c r="R10" i="5"/>
  <c r="R548" i="5"/>
  <c r="S548" i="5"/>
  <c r="R422" i="5"/>
  <c r="S422" i="5"/>
  <c r="S440" i="5"/>
  <c r="R440" i="5"/>
  <c r="R175" i="5"/>
  <c r="S175" i="5"/>
  <c r="S251" i="5"/>
  <c r="R251" i="5"/>
  <c r="S243" i="5"/>
  <c r="R243" i="5"/>
  <c r="S472" i="5"/>
  <c r="R472" i="5"/>
  <c r="S492" i="5"/>
  <c r="R492" i="5"/>
  <c r="R338" i="5"/>
  <c r="S338" i="5"/>
  <c r="S130" i="5"/>
  <c r="R130" i="5"/>
  <c r="S456" i="5"/>
  <c r="R456" i="5"/>
  <c r="S399" i="5"/>
  <c r="R399" i="5"/>
  <c r="S329" i="5"/>
  <c r="R329" i="5"/>
  <c r="S377" i="5"/>
  <c r="R377" i="5"/>
  <c r="R38" i="5"/>
  <c r="S38" i="5"/>
  <c r="R364" i="5"/>
  <c r="S364" i="5"/>
  <c r="R250" i="5"/>
  <c r="S250" i="5"/>
  <c r="R528" i="5"/>
  <c r="S528" i="5"/>
  <c r="R477" i="5"/>
  <c r="S477" i="5"/>
  <c r="S411" i="5"/>
  <c r="R411" i="5"/>
  <c r="R213" i="5"/>
  <c r="S213" i="5"/>
  <c r="S501" i="5"/>
  <c r="R501" i="5"/>
  <c r="R73" i="5"/>
  <c r="S73" i="5"/>
  <c r="R199" i="5"/>
  <c r="S199" i="5"/>
  <c r="R484" i="5"/>
  <c r="S484" i="5"/>
  <c r="S409" i="5"/>
  <c r="R409" i="5"/>
  <c r="R27" i="5"/>
  <c r="S27" i="5"/>
  <c r="S211" i="5"/>
  <c r="R211" i="5"/>
  <c r="S304" i="5"/>
  <c r="R304" i="5"/>
  <c r="R26" i="5"/>
  <c r="S26" i="5"/>
  <c r="S58" i="5"/>
  <c r="R58" i="5"/>
  <c r="R184" i="5"/>
  <c r="S184" i="5"/>
  <c r="S348" i="5"/>
  <c r="R348" i="5"/>
  <c r="S328" i="5"/>
  <c r="R328" i="5"/>
  <c r="R448" i="5"/>
  <c r="S448" i="5"/>
  <c r="S23" i="5"/>
  <c r="R23" i="5"/>
  <c r="S388" i="5"/>
  <c r="R388" i="5"/>
  <c r="R224" i="5"/>
  <c r="S224" i="5"/>
  <c r="S52" i="5"/>
  <c r="R52" i="5"/>
  <c r="R104" i="5"/>
  <c r="S104" i="5"/>
  <c r="R97" i="5"/>
  <c r="S97" i="5"/>
  <c r="R108" i="5"/>
  <c r="S108" i="5"/>
  <c r="S146" i="5"/>
  <c r="R146" i="5"/>
  <c r="R361" i="5"/>
  <c r="S361" i="5"/>
  <c r="S124" i="5"/>
  <c r="R124" i="5"/>
  <c r="R503" i="5"/>
  <c r="S503" i="5"/>
  <c r="S144" i="5"/>
  <c r="R144" i="5"/>
  <c r="S465" i="5"/>
  <c r="R465" i="5"/>
  <c r="S274" i="5"/>
  <c r="R274" i="5"/>
  <c r="R119" i="5"/>
  <c r="S119" i="5"/>
  <c r="R55" i="5"/>
  <c r="S55" i="5"/>
  <c r="S540" i="5"/>
  <c r="R540" i="5"/>
  <c r="R362" i="5"/>
  <c r="S362" i="5"/>
  <c r="R531" i="5"/>
  <c r="S531" i="5"/>
  <c r="S103" i="5"/>
  <c r="R103" i="5"/>
  <c r="S158" i="5"/>
  <c r="R158" i="5"/>
  <c r="S133" i="5"/>
  <c r="R133" i="5"/>
  <c r="S143" i="5"/>
  <c r="R143" i="5"/>
  <c r="R366" i="5"/>
  <c r="S366" i="5"/>
  <c r="R421" i="5"/>
  <c r="S421" i="5"/>
  <c r="S48" i="5"/>
  <c r="R48" i="5"/>
  <c r="R471" i="5"/>
  <c r="S471" i="5"/>
  <c r="R392" i="5"/>
  <c r="S392" i="5"/>
  <c r="R177" i="5"/>
  <c r="S177" i="5"/>
  <c r="S418" i="5"/>
  <c r="R418" i="5"/>
  <c r="R287" i="5"/>
  <c r="S287" i="5"/>
  <c r="S408" i="5"/>
  <c r="R408" i="5"/>
  <c r="BH7" i="5"/>
  <c r="BM7" i="5" s="1"/>
  <c r="BG7" i="5"/>
  <c r="BL7" i="5" s="1"/>
  <c r="BK344" i="5"/>
  <c r="BJ344" i="5"/>
  <c r="BJ217" i="5"/>
  <c r="BK217" i="5"/>
  <c r="AK53" i="4"/>
  <c r="AL53" i="4" s="1"/>
  <c r="AN53" i="4"/>
  <c r="AF53" i="4"/>
  <c r="AG53" i="4" s="1"/>
  <c r="AI53" i="4" s="1"/>
  <c r="AQ46" i="4"/>
  <c r="AC46" i="4"/>
  <c r="AD46" i="4" s="1"/>
  <c r="AP46" i="4"/>
  <c r="AC35" i="5"/>
  <c r="AC517" i="5"/>
  <c r="AC444" i="5"/>
  <c r="AC367" i="5"/>
  <c r="AC60" i="5"/>
  <c r="AC496" i="5"/>
  <c r="AC302" i="5"/>
  <c r="AC239" i="5"/>
  <c r="AC188" i="5"/>
  <c r="AC39" i="5"/>
  <c r="AC386" i="5"/>
  <c r="AC529" i="5"/>
  <c r="AC392" i="5"/>
  <c r="AC59" i="5"/>
  <c r="AC355" i="5"/>
  <c r="AC354" i="5"/>
  <c r="AC250" i="5"/>
  <c r="AC310" i="5"/>
  <c r="AC404" i="5"/>
  <c r="AC398" i="5"/>
  <c r="AC200" i="5"/>
  <c r="AC520" i="5"/>
  <c r="AC192" i="5"/>
  <c r="AC179" i="5"/>
  <c r="AC163" i="5"/>
  <c r="AC169" i="5"/>
  <c r="AC78" i="5"/>
  <c r="AC216" i="5"/>
  <c r="AC317" i="5"/>
  <c r="AC146" i="5"/>
  <c r="AC215" i="5"/>
  <c r="AC340" i="5"/>
  <c r="AC219" i="5"/>
  <c r="AC189" i="5"/>
  <c r="AC196" i="5"/>
  <c r="AC365" i="5"/>
  <c r="AC54" i="5"/>
  <c r="AC548" i="5"/>
  <c r="AC536" i="5"/>
  <c r="AC138" i="5"/>
  <c r="AC481" i="5"/>
  <c r="AC136" i="5"/>
  <c r="AC305" i="5"/>
  <c r="AC23" i="5"/>
  <c r="AC321" i="5"/>
  <c r="AC359" i="5"/>
  <c r="AC306" i="5"/>
  <c r="AC255" i="5"/>
  <c r="AC342" i="5"/>
  <c r="AC274" i="5"/>
  <c r="AC347" i="5"/>
  <c r="AC263" i="5"/>
  <c r="AC491" i="5"/>
  <c r="AC237" i="5"/>
  <c r="AC154" i="5"/>
  <c r="AC285" i="5"/>
  <c r="AC426" i="5"/>
  <c r="AC532" i="5"/>
  <c r="AC530" i="5"/>
  <c r="AC267" i="5"/>
  <c r="AC252" i="5"/>
  <c r="AC523" i="5"/>
  <c r="AC389" i="5"/>
  <c r="AC476" i="5"/>
  <c r="AC168" i="5"/>
  <c r="AC159" i="5"/>
  <c r="AC335" i="5"/>
  <c r="AC266" i="5"/>
  <c r="AC290" i="5"/>
  <c r="AC99" i="5"/>
  <c r="AC223" i="5"/>
  <c r="AC307" i="5"/>
  <c r="AC526" i="5"/>
  <c r="AC229" i="5"/>
  <c r="AC155" i="5"/>
  <c r="AC121" i="5"/>
  <c r="AC477" i="5"/>
  <c r="AC394" i="5"/>
  <c r="AC323" i="5"/>
  <c r="AC449" i="5"/>
  <c r="AC231" i="5"/>
  <c r="AC495" i="5"/>
  <c r="AC33" i="5"/>
  <c r="AC535" i="5"/>
  <c r="AC538" i="5"/>
  <c r="AC412" i="5"/>
  <c r="AC82" i="5"/>
  <c r="AC435" i="5"/>
  <c r="AC112" i="5"/>
  <c r="AC262" i="5"/>
  <c r="AC346" i="5"/>
  <c r="AC457" i="5"/>
  <c r="AC185" i="5"/>
  <c r="AC417" i="5"/>
  <c r="AC399" i="5"/>
  <c r="AC171" i="5"/>
  <c r="AC482" i="5"/>
  <c r="AC339" i="5"/>
  <c r="AC74" i="5"/>
  <c r="AC124" i="5"/>
  <c r="AC429" i="5"/>
  <c r="AC349" i="5"/>
  <c r="AC153" i="5"/>
  <c r="AC162" i="5"/>
  <c r="AC243" i="5"/>
  <c r="AC195" i="5"/>
  <c r="AC301" i="5"/>
  <c r="AC402" i="5"/>
  <c r="AC245" i="5"/>
  <c r="AC329" i="5"/>
  <c r="AC458" i="5"/>
  <c r="AC324" i="5"/>
  <c r="AC370" i="5"/>
  <c r="AC554" i="5"/>
  <c r="AC87" i="5"/>
  <c r="AC277" i="5"/>
  <c r="AC254" i="5"/>
  <c r="AC164" i="5"/>
  <c r="AC353" i="5"/>
  <c r="AC473" i="5"/>
  <c r="AC8" i="5"/>
  <c r="AC500" i="5"/>
  <c r="AC209" i="5"/>
  <c r="AC421" i="5"/>
  <c r="AC88" i="5"/>
  <c r="AC110" i="5"/>
  <c r="AC181" i="5"/>
  <c r="AC415" i="5"/>
  <c r="AC144" i="5"/>
  <c r="AC328" i="5"/>
  <c r="AC341" i="5"/>
  <c r="AC542" i="5"/>
  <c r="AC431" i="5"/>
  <c r="AC137" i="5"/>
  <c r="AC19" i="5"/>
  <c r="AC28" i="5"/>
  <c r="AC44" i="5"/>
  <c r="AQ139" i="4"/>
  <c r="AC139" i="4"/>
  <c r="AD139" i="4" s="1"/>
  <c r="AP139" i="4"/>
  <c r="AP104" i="4"/>
  <c r="AQ104" i="4"/>
  <c r="AC104" i="4"/>
  <c r="AD104" i="4" s="1"/>
  <c r="AN69" i="4"/>
  <c r="BK341" i="5"/>
  <c r="BJ341" i="5"/>
  <c r="BK64" i="5"/>
  <c r="BJ64" i="5"/>
  <c r="AN142" i="4"/>
  <c r="AK142" i="4"/>
  <c r="AL142" i="4" s="1"/>
  <c r="AF142" i="4"/>
  <c r="AG142" i="4" s="1"/>
  <c r="AI142" i="4" s="1"/>
  <c r="BJ232" i="5"/>
  <c r="BK232" i="5"/>
  <c r="BJ167" i="5"/>
  <c r="BK167" i="5"/>
  <c r="BK330" i="5"/>
  <c r="BJ330" i="5"/>
  <c r="BJ551" i="5"/>
  <c r="BK551" i="5"/>
  <c r="BJ208" i="5"/>
  <c r="BK208" i="5"/>
  <c r="BJ116" i="5"/>
  <c r="BK116" i="5"/>
  <c r="BK318" i="5"/>
  <c r="BJ318" i="5"/>
  <c r="BJ76" i="5"/>
  <c r="BK76" i="5"/>
  <c r="BK268" i="5"/>
  <c r="BJ268" i="5"/>
  <c r="BK346" i="5"/>
  <c r="BJ346" i="5"/>
  <c r="BJ291" i="5"/>
  <c r="BK291" i="5"/>
  <c r="BJ399" i="5"/>
  <c r="BK399" i="5"/>
  <c r="BJ52" i="5"/>
  <c r="BK52" i="5"/>
  <c r="BJ326" i="5"/>
  <c r="BK326" i="5"/>
  <c r="BJ66" i="5"/>
  <c r="BK66" i="5"/>
  <c r="BJ350" i="5"/>
  <c r="BK350" i="5"/>
  <c r="BK23" i="5"/>
  <c r="BJ23" i="5"/>
  <c r="BJ455" i="5"/>
  <c r="BK261" i="5"/>
  <c r="BJ261" i="5"/>
  <c r="AQ411" i="5"/>
  <c r="BI411" i="5"/>
  <c r="AR411" i="5"/>
  <c r="AQ446" i="5"/>
  <c r="BI446" i="5"/>
  <c r="AR446" i="5"/>
  <c r="BK280" i="5"/>
  <c r="BJ280" i="5"/>
  <c r="BJ481" i="5"/>
  <c r="BK481" i="5"/>
  <c r="BJ351" i="5"/>
  <c r="BK351" i="5"/>
  <c r="BJ377" i="5"/>
  <c r="BK377" i="5"/>
  <c r="BJ40" i="5"/>
  <c r="BK40" i="5"/>
  <c r="BK365" i="5"/>
  <c r="BJ365" i="5"/>
  <c r="BK476" i="5"/>
  <c r="BJ476" i="5"/>
  <c r="BJ349" i="5"/>
  <c r="BK349" i="5"/>
  <c r="BK226" i="5"/>
  <c r="BJ226" i="5"/>
  <c r="BK471" i="5"/>
  <c r="BJ471" i="5"/>
  <c r="BJ512" i="5"/>
  <c r="BK512" i="5"/>
  <c r="BK343" i="5"/>
  <c r="BJ343" i="5"/>
  <c r="AP87" i="4"/>
  <c r="AQ87" i="4"/>
  <c r="AC87" i="4"/>
  <c r="AD87" i="4" s="1"/>
  <c r="AF25" i="4"/>
  <c r="AG25" i="4" s="1"/>
  <c r="AI25" i="4" s="1"/>
  <c r="AK25" i="4"/>
  <c r="AL25" i="4" s="1"/>
  <c r="AN25" i="4"/>
  <c r="AP82" i="4"/>
  <c r="AN27" i="4"/>
  <c r="AK27" i="4"/>
  <c r="AL27" i="4" s="1"/>
  <c r="AF27" i="4"/>
  <c r="AG27" i="4" s="1"/>
  <c r="AI27" i="4" s="1"/>
  <c r="BJ170" i="5"/>
  <c r="BK170" i="5"/>
  <c r="BJ80" i="5"/>
  <c r="BK80" i="5"/>
  <c r="BJ527" i="5"/>
  <c r="BK527" i="5"/>
  <c r="BJ459" i="5"/>
  <c r="BK459" i="5"/>
  <c r="BK247" i="5"/>
  <c r="BJ247" i="5"/>
  <c r="BJ368" i="5"/>
  <c r="BK368" i="5"/>
  <c r="BK8" i="5"/>
  <c r="BJ8" i="5"/>
  <c r="BJ554" i="5"/>
  <c r="BK554" i="5"/>
  <c r="BK240" i="5"/>
  <c r="BJ240" i="5"/>
  <c r="BJ282" i="5"/>
  <c r="BK282" i="5"/>
  <c r="BK229" i="5"/>
  <c r="BJ229" i="5"/>
  <c r="BK218" i="5"/>
  <c r="BJ218" i="5"/>
  <c r="BK145" i="5"/>
  <c r="BJ145" i="5"/>
  <c r="BK463" i="5"/>
  <c r="BJ463" i="5"/>
  <c r="BK356" i="5"/>
  <c r="BJ356" i="5"/>
  <c r="BK535" i="5"/>
  <c r="BJ535" i="5"/>
  <c r="AC133" i="5"/>
  <c r="AC454" i="5"/>
  <c r="AC92" i="5"/>
  <c r="AC75" i="5"/>
  <c r="AC193" i="5"/>
  <c r="AC280" i="5"/>
  <c r="AC413" i="5"/>
  <c r="AC244" i="5"/>
  <c r="AC356" i="5"/>
  <c r="AC283" i="5"/>
  <c r="AC456" i="5"/>
  <c r="AC546" i="5"/>
  <c r="AC371" i="5"/>
  <c r="AC557" i="5"/>
  <c r="AC94" i="5"/>
  <c r="AC484" i="5"/>
  <c r="AC460" i="5"/>
  <c r="AC336" i="5"/>
  <c r="AC228" i="5"/>
  <c r="AC174" i="5"/>
  <c r="AC198" i="5"/>
  <c r="AC152" i="5"/>
  <c r="AC173" i="5"/>
  <c r="AC469" i="5"/>
  <c r="AC395" i="5"/>
  <c r="AC251" i="5"/>
  <c r="AC117" i="5"/>
  <c r="AC241" i="5"/>
  <c r="AC407" i="5"/>
  <c r="AC420" i="5"/>
  <c r="AC48" i="5"/>
  <c r="AC471" i="5"/>
  <c r="AC89" i="5"/>
  <c r="AC143" i="5"/>
  <c r="AC428" i="5"/>
  <c r="AC211" i="5"/>
  <c r="AC57" i="5"/>
  <c r="AC490" i="5"/>
  <c r="AC493" i="5"/>
  <c r="AC472" i="5"/>
  <c r="AC177" i="5"/>
  <c r="AC291" i="5"/>
  <c r="AC547" i="5"/>
  <c r="AC199" i="5"/>
  <c r="AC374" i="5"/>
  <c r="AC480" i="5"/>
  <c r="AC351" i="5"/>
  <c r="AC433" i="5"/>
  <c r="AC105" i="5"/>
  <c r="AC497" i="5"/>
  <c r="AC288" i="5"/>
  <c r="AC25" i="5"/>
  <c r="AC427" i="5"/>
  <c r="AC130" i="5"/>
  <c r="AC388" i="5"/>
  <c r="AC483" i="5"/>
  <c r="AC505" i="5"/>
  <c r="AC100" i="5"/>
  <c r="AC53" i="5"/>
  <c r="AC151" i="5"/>
  <c r="AC264" i="5"/>
  <c r="AC156" i="5"/>
  <c r="AC512" i="5"/>
  <c r="AC275" i="5"/>
  <c r="AC303" i="5"/>
  <c r="AC343" i="5"/>
  <c r="AC452" i="5"/>
  <c r="AC67" i="5"/>
  <c r="AC314" i="5"/>
  <c r="AC68" i="5"/>
  <c r="AC295" i="5"/>
  <c r="AC378" i="5"/>
  <c r="AC539" i="5"/>
  <c r="AC65" i="5"/>
  <c r="AC253" i="5"/>
  <c r="AC545" i="5"/>
  <c r="AC47" i="5"/>
  <c r="AC425" i="5"/>
  <c r="AC432" i="5"/>
  <c r="AC333" i="5"/>
  <c r="AC450" i="5"/>
  <c r="AC271" i="5"/>
  <c r="AC287" i="5"/>
  <c r="AC95" i="5"/>
  <c r="AC120" i="5"/>
  <c r="AC289" i="5"/>
  <c r="AC544" i="5"/>
  <c r="AC486" i="5"/>
  <c r="AC488" i="5"/>
  <c r="AC487" i="5"/>
  <c r="AC128" i="5"/>
  <c r="AC203" i="5"/>
  <c r="AC453" i="5"/>
  <c r="AC220" i="5"/>
  <c r="AC191" i="5"/>
  <c r="AC322" i="5"/>
  <c r="AC381" i="5"/>
  <c r="AC207" i="5"/>
  <c r="AC474" i="5"/>
  <c r="AC424" i="5"/>
  <c r="AC41" i="5"/>
  <c r="AC279" i="5"/>
  <c r="AC93" i="5"/>
  <c r="AC393" i="5"/>
  <c r="AC331" i="5"/>
  <c r="AC150" i="5"/>
  <c r="AC236" i="5"/>
  <c r="AC352" i="5"/>
  <c r="AC551" i="5"/>
  <c r="AC549" i="5"/>
  <c r="AC83" i="5"/>
  <c r="AC234" i="5"/>
  <c r="AC316" i="5"/>
  <c r="AC372" i="5"/>
  <c r="AC51" i="5"/>
  <c r="AC187" i="5"/>
  <c r="AC309" i="5"/>
  <c r="AC437" i="5"/>
  <c r="AC507" i="5"/>
  <c r="AC558" i="5"/>
  <c r="AC522" i="5"/>
  <c r="AC210" i="5"/>
  <c r="AC166" i="5"/>
  <c r="AC258" i="5"/>
  <c r="AC70" i="5"/>
  <c r="AC21" i="5"/>
  <c r="AC76" i="5"/>
  <c r="AC282" i="5"/>
  <c r="AC29" i="5"/>
  <c r="AC541" i="5"/>
  <c r="AN114" i="4"/>
  <c r="AK114" i="4"/>
  <c r="AL114" i="4" s="1"/>
  <c r="AF114" i="4"/>
  <c r="AG114" i="4" s="1"/>
  <c r="AI114" i="4" s="1"/>
  <c r="AN51" i="4"/>
  <c r="AK51" i="4"/>
  <c r="AL51" i="4" s="1"/>
  <c r="AF51" i="4"/>
  <c r="AG51" i="4" s="1"/>
  <c r="AI51" i="4" s="1"/>
  <c r="BJ336" i="5"/>
  <c r="BK336" i="5"/>
  <c r="BJ196" i="5"/>
  <c r="BK196" i="5"/>
  <c r="BJ536" i="5"/>
  <c r="BK536" i="5"/>
  <c r="BK436" i="5"/>
  <c r="BJ436" i="5"/>
  <c r="BK182" i="5"/>
  <c r="BJ182" i="5"/>
  <c r="BJ184" i="5"/>
  <c r="BK184" i="5"/>
  <c r="AK120" i="4"/>
  <c r="AL120" i="4" s="1"/>
  <c r="AF120" i="4"/>
  <c r="AG120" i="4" s="1"/>
  <c r="AI120" i="4" s="1"/>
  <c r="AN120" i="4"/>
  <c r="BK496" i="5"/>
  <c r="BJ496" i="5"/>
  <c r="BK164" i="5"/>
  <c r="BJ164" i="5"/>
  <c r="BJ454" i="5"/>
  <c r="BK454" i="5"/>
  <c r="BK537" i="5"/>
  <c r="BJ537" i="5"/>
  <c r="BK142" i="5"/>
  <c r="BJ142" i="5"/>
  <c r="BK135" i="5"/>
  <c r="BJ135" i="5"/>
  <c r="BK490" i="5"/>
  <c r="BJ490" i="5"/>
  <c r="BJ507" i="5"/>
  <c r="BK507" i="5"/>
  <c r="BK156" i="5"/>
  <c r="BJ156" i="5"/>
  <c r="BK45" i="5"/>
  <c r="BJ45" i="5"/>
  <c r="BK312" i="5"/>
  <c r="BJ312" i="5"/>
  <c r="BJ392" i="5"/>
  <c r="BK392" i="5"/>
  <c r="BK237" i="5"/>
  <c r="BJ237" i="5"/>
  <c r="AQ176" i="5"/>
  <c r="AR176" i="5"/>
  <c r="BI176" i="5"/>
  <c r="BJ483" i="5"/>
  <c r="BK483" i="5"/>
  <c r="BJ199" i="5"/>
  <c r="BK199" i="5"/>
  <c r="BK400" i="5"/>
  <c r="BJ400" i="5"/>
  <c r="BK494" i="5"/>
  <c r="BJ494" i="5"/>
  <c r="BK328" i="5"/>
  <c r="BJ328" i="5"/>
  <c r="BK22" i="5"/>
  <c r="BJ22" i="5"/>
  <c r="BK115" i="5"/>
  <c r="BJ115" i="5"/>
  <c r="BJ275" i="5"/>
  <c r="BK275" i="5"/>
  <c r="BJ316" i="5"/>
  <c r="BK316" i="5"/>
  <c r="AN29" i="4"/>
  <c r="AK29" i="4"/>
  <c r="AL29" i="4" s="1"/>
  <c r="AF29" i="4"/>
  <c r="AG29" i="4" s="1"/>
  <c r="AI29" i="4" s="1"/>
  <c r="AC10" i="4"/>
  <c r="AD10" i="4" s="1"/>
  <c r="AQ138" i="4"/>
  <c r="AP138" i="4"/>
  <c r="AC138" i="4"/>
  <c r="AD138" i="4" s="1"/>
  <c r="BK168" i="5"/>
  <c r="BJ168" i="5"/>
  <c r="BJ213" i="5"/>
  <c r="BK213" i="5"/>
  <c r="BJ304" i="5"/>
  <c r="BK304" i="5"/>
  <c r="BK286" i="5"/>
  <c r="BJ286" i="5"/>
  <c r="BK34" i="5"/>
  <c r="BJ34" i="5"/>
  <c r="AN9" i="4"/>
  <c r="AK9" i="4"/>
  <c r="AL9" i="4" s="1"/>
  <c r="AF9" i="4"/>
  <c r="AG9" i="4" s="1"/>
  <c r="AI9" i="4" s="1"/>
  <c r="BJ333" i="5"/>
  <c r="BK333" i="5"/>
  <c r="BK525" i="5"/>
  <c r="BJ525" i="5"/>
  <c r="BK387" i="5"/>
  <c r="BJ387" i="5"/>
  <c r="BJ124" i="5"/>
  <c r="BK124" i="5"/>
  <c r="BK437" i="5"/>
  <c r="BJ437" i="5"/>
  <c r="BJ299" i="5"/>
  <c r="BK299" i="5"/>
  <c r="BK274" i="5"/>
  <c r="BJ274" i="5"/>
  <c r="BJ106" i="5"/>
  <c r="BK106" i="5"/>
  <c r="BJ162" i="5"/>
  <c r="BK162" i="5"/>
  <c r="BJ38" i="5"/>
  <c r="BK38" i="5"/>
  <c r="AC556" i="5"/>
  <c r="AC345" i="5"/>
  <c r="AC233" i="5"/>
  <c r="AC238" i="5"/>
  <c r="AC32" i="5"/>
  <c r="AC232" i="5"/>
  <c r="AC127" i="5"/>
  <c r="AC270" i="5"/>
  <c r="AC10" i="5"/>
  <c r="AC503" i="5"/>
  <c r="AC212" i="5"/>
  <c r="AC145" i="5"/>
  <c r="AC259" i="5"/>
  <c r="AC157" i="5"/>
  <c r="AC227" i="5"/>
  <c r="AC126" i="5"/>
  <c r="AC12" i="5"/>
  <c r="AC334" i="5"/>
  <c r="AC161" i="5"/>
  <c r="AC461" i="5"/>
  <c r="AC293" i="5"/>
  <c r="AC318" i="5"/>
  <c r="AC114" i="5"/>
  <c r="AC176" i="5"/>
  <c r="AC284" i="5"/>
  <c r="AC106" i="5"/>
  <c r="AC86" i="5"/>
  <c r="AC501" i="5"/>
  <c r="AC396" i="5"/>
  <c r="AC205" i="5"/>
  <c r="AC511" i="5"/>
  <c r="AC247" i="5"/>
  <c r="AC63" i="5"/>
  <c r="AC516" i="5"/>
  <c r="AC533" i="5"/>
  <c r="AC508" i="5"/>
  <c r="AC186" i="5"/>
  <c r="AC20" i="5"/>
  <c r="AC246" i="5"/>
  <c r="AC190" i="5"/>
  <c r="AC366" i="5"/>
  <c r="AC182" i="5"/>
  <c r="AC434" i="5"/>
  <c r="AC118" i="5"/>
  <c r="AC66" i="5"/>
  <c r="AC552" i="5"/>
  <c r="AC506" i="5"/>
  <c r="AC201" i="5"/>
  <c r="AC296" i="5"/>
  <c r="AC510" i="5"/>
  <c r="AC222" i="5"/>
  <c r="AC397" i="5"/>
  <c r="AC73" i="5"/>
  <c r="AC308" i="5"/>
  <c r="AC204" i="5"/>
  <c r="AC414" i="5"/>
  <c r="AC327" i="5"/>
  <c r="AC208" i="5"/>
  <c r="AC240" i="5"/>
  <c r="AC178" i="5"/>
  <c r="AC325" i="5"/>
  <c r="AC139" i="5"/>
  <c r="AC555" i="5"/>
  <c r="AC230" i="5"/>
  <c r="AC55" i="5"/>
  <c r="AC470" i="5"/>
  <c r="AC411" i="5"/>
  <c r="AC22" i="5"/>
  <c r="AC268" i="5"/>
  <c r="AC519" i="5"/>
  <c r="AC61" i="5"/>
  <c r="AC269" i="5"/>
  <c r="AC194" i="5"/>
  <c r="AC383" i="5"/>
  <c r="AC492" i="5"/>
  <c r="AC79" i="5"/>
  <c r="AC543" i="5"/>
  <c r="AC122" i="5"/>
  <c r="AC465" i="5"/>
  <c r="AC509" i="5"/>
  <c r="AC72" i="5"/>
  <c r="AC479" i="5"/>
  <c r="AC403" i="5"/>
  <c r="AC320" i="5"/>
  <c r="AC217" i="5"/>
  <c r="AC104" i="5"/>
  <c r="AC401" i="5"/>
  <c r="AC132" i="5"/>
  <c r="AC515" i="5"/>
  <c r="AC134" i="5"/>
  <c r="AC440" i="5"/>
  <c r="AC214" i="5"/>
  <c r="AC332" i="5"/>
  <c r="AC513" i="5"/>
  <c r="AC31" i="5"/>
  <c r="AC36" i="5"/>
  <c r="AC406" i="5"/>
  <c r="AC531" i="5"/>
  <c r="AC98" i="5"/>
  <c r="AC292" i="5"/>
  <c r="AC160" i="5"/>
  <c r="AC265" i="5"/>
  <c r="AC443" i="5"/>
  <c r="AC125" i="5"/>
  <c r="AC485" i="5"/>
  <c r="AC45" i="5"/>
  <c r="AC475" i="5"/>
  <c r="AC362" i="5"/>
  <c r="AC286" i="5"/>
  <c r="AC141" i="5"/>
  <c r="AC90" i="5"/>
  <c r="AC445" i="5"/>
  <c r="AC448" i="5"/>
  <c r="AC38" i="5"/>
  <c r="AC213" i="5"/>
  <c r="AC377" i="5"/>
  <c r="AC430" i="5"/>
  <c r="AC260" i="5"/>
  <c r="AC225" i="5"/>
  <c r="AC419" i="5"/>
  <c r="AC81" i="5"/>
  <c r="AC358" i="5"/>
  <c r="AC49" i="5"/>
  <c r="AC326" i="5"/>
  <c r="AC410" i="5"/>
  <c r="AC97" i="5"/>
  <c r="AC281" i="5"/>
  <c r="AC85" i="5"/>
  <c r="AC524" i="5"/>
  <c r="AC297" i="5"/>
  <c r="AN100" i="4"/>
  <c r="AK100" i="4"/>
  <c r="AL100" i="4" s="1"/>
  <c r="AF100" i="4"/>
  <c r="AG100" i="4" s="1"/>
  <c r="AI100" i="4" s="1"/>
  <c r="AN104" i="4"/>
  <c r="AK104" i="4"/>
  <c r="AL104" i="4" s="1"/>
  <c r="AF104" i="4"/>
  <c r="AG104" i="4" s="1"/>
  <c r="AI104" i="4" s="1"/>
  <c r="AP114" i="4"/>
  <c r="AQ51" i="4"/>
  <c r="AP51" i="4"/>
  <c r="AC51" i="4"/>
  <c r="AD51" i="4" s="1"/>
  <c r="BK543" i="5"/>
  <c r="BJ543" i="5"/>
  <c r="BJ421" i="5"/>
  <c r="BK421" i="5"/>
  <c r="BJ311" i="5"/>
  <c r="BK311" i="5"/>
  <c r="AP120" i="4"/>
  <c r="AQ120" i="4"/>
  <c r="AC120" i="4"/>
  <c r="AD120" i="4" s="1"/>
  <c r="BJ539" i="5"/>
  <c r="BK539" i="5"/>
  <c r="BK210" i="5"/>
  <c r="BJ210" i="5"/>
  <c r="BJ347" i="5"/>
  <c r="BK347" i="5"/>
  <c r="BK308" i="5"/>
  <c r="BJ308" i="5"/>
  <c r="AR252" i="5"/>
  <c r="BI252" i="5"/>
  <c r="AQ252" i="5"/>
  <c r="AQ260" i="5"/>
  <c r="AR260" i="5"/>
  <c r="BI260" i="5"/>
  <c r="BK26" i="5"/>
  <c r="BJ26" i="5"/>
  <c r="BK441" i="5"/>
  <c r="BJ441" i="5"/>
  <c r="BJ31" i="5"/>
  <c r="BK31" i="5"/>
  <c r="AR154" i="5"/>
  <c r="BI154" i="5"/>
  <c r="AQ154" i="5"/>
  <c r="BJ339" i="5"/>
  <c r="BK339" i="5"/>
  <c r="BJ108" i="5"/>
  <c r="BK108" i="5"/>
  <c r="BJ307" i="5"/>
  <c r="BK307" i="5"/>
  <c r="BI529" i="5"/>
  <c r="AR529" i="5"/>
  <c r="AQ529" i="5"/>
  <c r="BK141" i="5"/>
  <c r="BJ141" i="5"/>
  <c r="BJ251" i="5"/>
  <c r="BK251" i="5"/>
  <c r="BK119" i="5"/>
  <c r="BJ119" i="5"/>
  <c r="BJ72" i="5"/>
  <c r="BK72" i="5"/>
  <c r="BK86" i="5"/>
  <c r="BJ86" i="5"/>
  <c r="BJ65" i="5"/>
  <c r="BK65" i="5"/>
  <c r="BI68" i="5"/>
  <c r="AR68" i="5"/>
  <c r="AQ68" i="5"/>
  <c r="BJ396" i="5"/>
  <c r="BK396" i="5"/>
  <c r="BJ90" i="5"/>
  <c r="BK90" i="5"/>
  <c r="BK83" i="5"/>
  <c r="BJ83" i="5"/>
  <c r="BJ337" i="5"/>
  <c r="BK337" i="5"/>
  <c r="BJ102" i="5"/>
  <c r="BK102" i="5"/>
  <c r="BJ10" i="5"/>
  <c r="BK10" i="5"/>
  <c r="BK332" i="5"/>
  <c r="BJ332" i="5"/>
  <c r="BK301" i="5"/>
  <c r="BJ301" i="5"/>
  <c r="AP47" i="4"/>
  <c r="AQ47" i="4"/>
  <c r="AC47" i="4"/>
  <c r="AD47" i="4" s="1"/>
  <c r="AK138" i="4"/>
  <c r="AL138" i="4" s="1"/>
  <c r="AN138" i="4"/>
  <c r="AF138" i="4"/>
  <c r="AG138" i="4" s="1"/>
  <c r="AI138" i="4" s="1"/>
  <c r="AQ80" i="4"/>
  <c r="AP80" i="4"/>
  <c r="AC80" i="4"/>
  <c r="AD80" i="4" s="1"/>
  <c r="BJ315" i="5"/>
  <c r="BK315" i="5"/>
  <c r="BK402" i="5"/>
  <c r="BJ402" i="5"/>
  <c r="BK254" i="5"/>
  <c r="BJ254" i="5"/>
  <c r="BK57" i="5"/>
  <c r="BJ57" i="5"/>
  <c r="BJ181" i="5"/>
  <c r="BK181" i="5"/>
  <c r="BK313" i="5"/>
  <c r="BJ313" i="5"/>
  <c r="BJ178" i="5"/>
  <c r="BK178" i="5"/>
  <c r="BK185" i="5"/>
  <c r="BJ185" i="5"/>
  <c r="BK317" i="5"/>
  <c r="BJ317" i="5"/>
  <c r="BK179" i="5"/>
  <c r="BJ179" i="5"/>
  <c r="BK183" i="5"/>
  <c r="BJ183" i="5"/>
  <c r="BK111" i="5"/>
  <c r="BJ111" i="5"/>
  <c r="BJ12" i="5"/>
  <c r="BK12" i="5"/>
  <c r="BK273" i="5"/>
  <c r="BJ273" i="5"/>
  <c r="AQ99" i="4"/>
  <c r="AP99" i="4"/>
  <c r="AC99" i="4"/>
  <c r="AD99" i="4" s="1"/>
  <c r="AN91" i="4"/>
  <c r="AK91" i="4"/>
  <c r="AL91" i="4" s="1"/>
  <c r="AF91" i="4"/>
  <c r="AG91" i="4" s="1"/>
  <c r="AI91" i="4" s="1"/>
  <c r="AK46" i="4"/>
  <c r="AL46" i="4" s="1"/>
  <c r="AN46" i="4"/>
  <c r="AF46" i="4"/>
  <c r="AG46" i="4" s="1"/>
  <c r="AI46" i="4" s="1"/>
  <c r="AC9" i="5"/>
  <c r="AC455" i="5"/>
  <c r="AC344" i="5"/>
  <c r="AC96" i="5"/>
  <c r="AC382" i="5"/>
  <c r="AC311" i="5"/>
  <c r="AC534" i="5"/>
  <c r="AC459" i="5"/>
  <c r="AC363" i="5"/>
  <c r="AC58" i="5"/>
  <c r="AC330" i="5"/>
  <c r="AC50" i="5"/>
  <c r="AC313" i="5"/>
  <c r="AC423" i="5"/>
  <c r="AC135" i="5"/>
  <c r="AC142" i="5"/>
  <c r="AC224" i="5"/>
  <c r="AC111" i="5"/>
  <c r="AC439" i="5"/>
  <c r="AC261" i="5"/>
  <c r="AC24" i="5"/>
  <c r="AC71" i="5"/>
  <c r="AC312" i="5"/>
  <c r="AC206" i="5"/>
  <c r="AC257" i="5"/>
  <c r="AC273" i="5"/>
  <c r="AC147" i="5"/>
  <c r="AC140" i="5"/>
  <c r="AC131" i="5"/>
  <c r="AC540" i="5"/>
  <c r="AC400" i="5"/>
  <c r="AC103" i="5"/>
  <c r="AC375" i="5"/>
  <c r="AC357" i="5"/>
  <c r="AC502" i="5"/>
  <c r="AC361" i="5"/>
  <c r="AC390" i="5"/>
  <c r="AC553" i="5"/>
  <c r="AC102" i="5"/>
  <c r="AC52" i="5"/>
  <c r="AC338" i="5"/>
  <c r="AC221" i="5"/>
  <c r="AC467" i="5"/>
  <c r="AC26" i="5"/>
  <c r="AC226" i="5"/>
  <c r="AC446" i="5"/>
  <c r="AC158" i="5"/>
  <c r="AC436" i="5"/>
  <c r="AC550" i="5"/>
  <c r="AC165" i="5"/>
  <c r="AC202" i="5"/>
  <c r="AC368" i="5"/>
  <c r="AC80" i="5"/>
  <c r="AC278" i="5"/>
  <c r="AC464" i="5"/>
  <c r="AC478" i="5"/>
  <c r="AC463" i="5"/>
  <c r="AC376" i="5"/>
  <c r="AC387" i="5"/>
  <c r="AC183" i="5"/>
  <c r="AC108" i="5"/>
  <c r="AC422" i="5"/>
  <c r="AC184" i="5"/>
  <c r="AC197" i="5"/>
  <c r="AC84" i="5"/>
  <c r="AC294" i="5"/>
  <c r="AC498" i="5"/>
  <c r="AC385" i="5"/>
  <c r="AC380" i="5"/>
  <c r="AC499" i="5"/>
  <c r="AC298" i="5"/>
  <c r="AC409" i="5"/>
  <c r="AC113" i="5"/>
  <c r="AC148" i="5"/>
  <c r="AC107" i="5"/>
  <c r="AC391" i="5"/>
  <c r="AC489" i="5"/>
  <c r="AC43" i="5"/>
  <c r="AC360" i="5"/>
  <c r="AC101" i="5"/>
  <c r="AC30" i="5"/>
  <c r="AC337" i="5"/>
  <c r="AC40" i="5"/>
  <c r="AC172" i="5"/>
  <c r="AC379" i="5"/>
  <c r="AC408" i="5"/>
  <c r="AC116" i="5"/>
  <c r="AC518" i="5"/>
  <c r="AC276" i="5"/>
  <c r="AC175" i="5"/>
  <c r="AC528" i="5"/>
  <c r="AC384" i="5"/>
  <c r="AC451" i="5"/>
  <c r="AC441" i="5"/>
  <c r="AC56" i="5"/>
  <c r="AC91" i="5"/>
  <c r="AC438" i="5"/>
  <c r="AC416" i="5"/>
  <c r="AC109" i="5"/>
  <c r="AC364" i="5"/>
  <c r="AC13" i="5"/>
  <c r="AC319" i="5"/>
  <c r="AC300" i="5"/>
  <c r="AC69" i="5"/>
  <c r="AC442" i="5"/>
  <c r="AC462" i="5"/>
  <c r="AC42" i="5"/>
  <c r="AC64" i="5"/>
  <c r="AC123" i="5"/>
  <c r="AC537" i="5"/>
  <c r="AC521" i="5"/>
  <c r="AC447" i="5"/>
  <c r="AC350" i="5"/>
  <c r="AC369" i="5"/>
  <c r="AC115" i="5"/>
  <c r="AC27" i="5"/>
  <c r="AC149" i="5"/>
  <c r="AC373" i="5"/>
  <c r="AC504" i="5"/>
  <c r="AC180" i="5"/>
  <c r="AC34" i="5"/>
  <c r="AC119" i="5"/>
  <c r="AC242" i="5"/>
  <c r="AC299" i="5"/>
  <c r="AC466" i="5"/>
  <c r="AC272" i="5"/>
  <c r="AC514" i="5"/>
  <c r="AC559" i="5"/>
  <c r="AC62" i="5"/>
  <c r="AC560" i="5"/>
  <c r="AC77" i="5"/>
  <c r="AC37" i="5"/>
  <c r="AC405" i="5"/>
  <c r="AC468" i="5"/>
  <c r="AC256" i="5"/>
  <c r="AC348" i="5"/>
  <c r="AC46" i="5"/>
  <c r="AQ100" i="4"/>
  <c r="AP100" i="4"/>
  <c r="AC100" i="4"/>
  <c r="AD100" i="4" s="1"/>
  <c r="AN139" i="4"/>
  <c r="AK139" i="4"/>
  <c r="AL139" i="4" s="1"/>
  <c r="AF139" i="4"/>
  <c r="AG139" i="4" s="1"/>
  <c r="AI139" i="4" s="1"/>
  <c r="BJ359" i="5"/>
  <c r="BK359" i="5"/>
  <c r="BK244" i="5"/>
  <c r="BJ244" i="5"/>
  <c r="BK171" i="5"/>
  <c r="BJ171" i="5"/>
  <c r="BK266" i="5"/>
  <c r="BJ266" i="5"/>
  <c r="BK227" i="5"/>
  <c r="BJ227" i="5"/>
  <c r="BK523" i="5"/>
  <c r="BJ245" i="5"/>
  <c r="BK245" i="5"/>
  <c r="BJ412" i="5"/>
  <c r="BK412" i="5"/>
  <c r="BJ278" i="5"/>
  <c r="BK278" i="5"/>
  <c r="BJ408" i="5"/>
  <c r="BK408" i="5"/>
  <c r="AQ394" i="5"/>
  <c r="AR394" i="5"/>
  <c r="BI394" i="5"/>
  <c r="BK201" i="5"/>
  <c r="BJ201" i="5"/>
  <c r="BK134" i="5"/>
  <c r="BJ134" i="5"/>
  <c r="BK403" i="5"/>
  <c r="BJ403" i="5"/>
  <c r="BK516" i="5"/>
  <c r="BJ516" i="5"/>
  <c r="BK87" i="5"/>
  <c r="BJ87" i="5"/>
  <c r="BJ125" i="5"/>
  <c r="BK125" i="5"/>
  <c r="BJ469" i="5"/>
  <c r="BK469" i="5"/>
  <c r="BJ522" i="5"/>
  <c r="BK522" i="5"/>
  <c r="AQ444" i="5"/>
  <c r="AR444" i="5"/>
  <c r="BI444" i="5"/>
  <c r="BJ41" i="5"/>
  <c r="BK41" i="5"/>
  <c r="BJ433" i="5"/>
  <c r="BK433" i="5"/>
  <c r="BJ109" i="5"/>
  <c r="BK109" i="5"/>
  <c r="BJ235" i="5"/>
  <c r="BK235" i="5"/>
  <c r="BK173" i="5"/>
  <c r="BJ173" i="5"/>
  <c r="BJ501" i="5"/>
  <c r="BK501" i="5"/>
  <c r="BI159" i="5"/>
  <c r="AQ159" i="5"/>
  <c r="AR159" i="5"/>
  <c r="BJ397" i="5"/>
  <c r="BK397" i="5"/>
  <c r="BK61" i="5"/>
  <c r="BJ61" i="5"/>
  <c r="BK195" i="5"/>
  <c r="BJ195" i="5"/>
  <c r="BK101" i="5"/>
  <c r="BJ101" i="5"/>
  <c r="BK59" i="5"/>
  <c r="BJ59" i="5"/>
  <c r="BK331" i="5"/>
  <c r="BJ331" i="5"/>
  <c r="BJ327" i="5"/>
  <c r="BK327" i="5"/>
  <c r="BK97" i="5"/>
  <c r="BJ97" i="5"/>
  <c r="BJ534" i="5"/>
  <c r="BK534" i="5"/>
  <c r="BJ105" i="5"/>
  <c r="BK105" i="5"/>
  <c r="AN87" i="4"/>
  <c r="AK87" i="4"/>
  <c r="AL87" i="4" s="1"/>
  <c r="AF87" i="4"/>
  <c r="AG87" i="4" s="1"/>
  <c r="AI87" i="4" s="1"/>
  <c r="AQ76" i="4"/>
  <c r="AP76" i="4"/>
  <c r="AC76" i="4"/>
  <c r="AD76" i="4" s="1"/>
  <c r="AP78" i="4"/>
  <c r="AQ78" i="4"/>
  <c r="AC78" i="4"/>
  <c r="AD78" i="4" s="1"/>
  <c r="AN47" i="4"/>
  <c r="AK47" i="4"/>
  <c r="AL47" i="4" s="1"/>
  <c r="AF47" i="4"/>
  <c r="AG47" i="4" s="1"/>
  <c r="AI47" i="4" s="1"/>
  <c r="AQ27" i="4"/>
  <c r="AC27" i="4"/>
  <c r="AD27" i="4" s="1"/>
  <c r="AK35" i="4"/>
  <c r="AL35" i="4" s="1"/>
  <c r="AN35" i="4"/>
  <c r="AF35" i="4"/>
  <c r="AG35" i="4" s="1"/>
  <c r="AI35" i="4" s="1"/>
  <c r="AK10" i="4"/>
  <c r="AL10" i="4" s="1"/>
  <c r="AN10" i="4"/>
  <c r="AF10" i="4"/>
  <c r="AG10" i="4" s="1"/>
  <c r="AI10" i="4" s="1"/>
  <c r="AK80" i="4"/>
  <c r="AL80" i="4" s="1"/>
  <c r="AN80" i="4"/>
  <c r="AF80" i="4"/>
  <c r="AG80" i="4" s="1"/>
  <c r="AI80" i="4" s="1"/>
  <c r="BJ335" i="5"/>
  <c r="BK335" i="5"/>
  <c r="BK296" i="5"/>
  <c r="BJ296" i="5"/>
  <c r="BK198" i="5"/>
  <c r="BK492" i="5"/>
  <c r="BJ492" i="5"/>
  <c r="AF16" i="4"/>
  <c r="AG16" i="4" s="1"/>
  <c r="AI16" i="4" s="1"/>
  <c r="AN16" i="4"/>
  <c r="AK16" i="4"/>
  <c r="AL16" i="4" s="1"/>
  <c r="BJ538" i="5"/>
  <c r="BK538" i="5"/>
  <c r="BJ546" i="5"/>
  <c r="BK546" i="5"/>
  <c r="BJ58" i="5"/>
  <c r="BK58" i="5"/>
  <c r="BJ533" i="5"/>
  <c r="BK533" i="5"/>
  <c r="BK448" i="5"/>
  <c r="BJ448" i="5"/>
  <c r="BJ489" i="5"/>
  <c r="BK489" i="5"/>
  <c r="BK515" i="5"/>
  <c r="BJ515" i="5"/>
  <c r="BK78" i="5"/>
  <c r="BJ78" i="5"/>
  <c r="AP85" i="4" l="1"/>
  <c r="AF55" i="4"/>
  <c r="AG55" i="4" s="1"/>
  <c r="AI55" i="4" s="1"/>
  <c r="AQ108" i="4"/>
  <c r="AK55" i="4"/>
  <c r="AL55" i="4" s="1"/>
  <c r="AP34" i="4"/>
  <c r="AC86" i="4"/>
  <c r="AD86" i="4" s="1"/>
  <c r="AP28" i="4"/>
  <c r="BJ24" i="5"/>
  <c r="BK99" i="5"/>
  <c r="AQ28" i="4"/>
  <c r="AC34" i="4"/>
  <c r="AD34" i="4" s="1"/>
  <c r="AF140" i="4"/>
  <c r="AG140" i="4" s="1"/>
  <c r="AI140" i="4" s="1"/>
  <c r="AC101" i="4"/>
  <c r="AD101" i="4" s="1"/>
  <c r="AP86" i="4"/>
  <c r="AN140" i="4"/>
  <c r="AO140" i="4" s="1"/>
  <c r="AQ101" i="4"/>
  <c r="BK129" i="5"/>
  <c r="AQ97" i="4"/>
  <c r="AF127" i="4"/>
  <c r="AG127" i="4" s="1"/>
  <c r="AI127" i="4" s="1"/>
  <c r="AP97" i="4"/>
  <c r="AK127" i="4"/>
  <c r="AL127" i="4" s="1"/>
  <c r="AK155" i="4"/>
  <c r="AL155" i="4" s="1"/>
  <c r="AF155" i="4"/>
  <c r="AG155" i="4" s="1"/>
  <c r="AI155" i="4" s="1"/>
  <c r="BJ120" i="5"/>
  <c r="AQ19" i="4"/>
  <c r="AF78" i="4"/>
  <c r="AG78" i="4" s="1"/>
  <c r="AI78" i="4" s="1"/>
  <c r="AC19" i="4"/>
  <c r="AD19" i="4" s="1"/>
  <c r="AN78" i="4"/>
  <c r="BK324" i="5"/>
  <c r="AF123" i="4"/>
  <c r="AG123" i="4" s="1"/>
  <c r="AI123" i="4" s="1"/>
  <c r="AN56" i="4"/>
  <c r="BK424" i="5"/>
  <c r="AK56" i="4"/>
  <c r="AL56" i="4" s="1"/>
  <c r="AC21" i="4"/>
  <c r="AD21" i="4" s="1"/>
  <c r="AF75" i="4"/>
  <c r="AG75" i="4" s="1"/>
  <c r="AI75" i="4" s="1"/>
  <c r="BJ155" i="5"/>
  <c r="AP21" i="4"/>
  <c r="AK75" i="4"/>
  <c r="AL75" i="4" s="1"/>
  <c r="AC124" i="4"/>
  <c r="AD124" i="4" s="1"/>
  <c r="AP124" i="4"/>
  <c r="AF156" i="4"/>
  <c r="AG156" i="4" s="1"/>
  <c r="AI156" i="4" s="1"/>
  <c r="BJ91" i="5"/>
  <c r="AN156" i="4"/>
  <c r="BK204" i="5"/>
  <c r="BK475" i="5"/>
  <c r="BK389" i="5"/>
  <c r="BK249" i="5"/>
  <c r="BK7" i="5"/>
  <c r="BK470" i="5"/>
  <c r="BK94" i="5"/>
  <c r="BJ188" i="5"/>
  <c r="BJ362" i="5"/>
  <c r="BJ427" i="5"/>
  <c r="BK63" i="5"/>
  <c r="BJ30" i="5"/>
  <c r="BJ212" i="5"/>
  <c r="BJ449" i="5"/>
  <c r="BK248" i="5"/>
  <c r="BK303" i="5"/>
  <c r="BK27" i="5"/>
  <c r="BK233" i="5"/>
  <c r="BJ488" i="5"/>
  <c r="BJ390" i="5"/>
  <c r="BJ42" i="5"/>
  <c r="BK230" i="5"/>
  <c r="BJ203" i="5"/>
  <c r="BK187" i="5"/>
  <c r="BK158" i="5"/>
  <c r="BK425" i="5"/>
  <c r="BJ69" i="5"/>
  <c r="BK163" i="5"/>
  <c r="BK152" i="5"/>
  <c r="BK451" i="5"/>
  <c r="BJ79" i="5"/>
  <c r="BJ236" i="5"/>
  <c r="BJ502" i="5"/>
  <c r="BK290" i="5"/>
  <c r="BJ310" i="5"/>
  <c r="BJ288" i="5"/>
  <c r="BJ214" i="5"/>
  <c r="BK393" i="5"/>
  <c r="AN126" i="4"/>
  <c r="BJ123" i="5"/>
  <c r="BK472" i="5"/>
  <c r="AF109" i="4"/>
  <c r="AG109" i="4" s="1"/>
  <c r="AI109" i="4" s="1"/>
  <c r="BJ258" i="5"/>
  <c r="AN109" i="4"/>
  <c r="AO109" i="4" s="1"/>
  <c r="BK19" i="5"/>
  <c r="BK422" i="5"/>
  <c r="BJ352" i="5"/>
  <c r="BK473" i="5"/>
  <c r="AF126" i="4"/>
  <c r="AG126" i="4" s="1"/>
  <c r="AI126" i="4" s="1"/>
  <c r="AC145" i="4"/>
  <c r="AD145" i="4" s="1"/>
  <c r="BK272" i="5"/>
  <c r="BK505" i="5"/>
  <c r="AF145" i="4"/>
  <c r="AG145" i="4" s="1"/>
  <c r="AI145" i="4" s="1"/>
  <c r="AN145" i="4"/>
  <c r="AN92" i="4"/>
  <c r="AO92" i="4" s="1"/>
  <c r="BK334" i="5"/>
  <c r="AF92" i="4"/>
  <c r="AG92" i="4" s="1"/>
  <c r="AI92" i="4" s="1"/>
  <c r="BK355" i="5"/>
  <c r="AQ35" i="4"/>
  <c r="AC29" i="4"/>
  <c r="AD29" i="4" s="1"/>
  <c r="AC35" i="4"/>
  <c r="AD35" i="4" s="1"/>
  <c r="AQ29" i="4"/>
  <c r="BJ180" i="5"/>
  <c r="AF62" i="4"/>
  <c r="AG62" i="4" s="1"/>
  <c r="AI62" i="4" s="1"/>
  <c r="BK450" i="5"/>
  <c r="AP54" i="4"/>
  <c r="AC54" i="4"/>
  <c r="AD54" i="4" s="1"/>
  <c r="AQ114" i="4"/>
  <c r="AN105" i="4"/>
  <c r="AO105" i="4" s="1"/>
  <c r="BK353" i="5"/>
  <c r="AP151" i="4"/>
  <c r="AQ30" i="4"/>
  <c r="BK287" i="5"/>
  <c r="BK364" i="5"/>
  <c r="BJ458" i="5"/>
  <c r="AC152" i="4"/>
  <c r="AD152" i="4" s="1"/>
  <c r="AP30" i="4"/>
  <c r="BK519" i="5"/>
  <c r="AN117" i="4"/>
  <c r="AO117" i="4" s="1"/>
  <c r="B189" i="2"/>
  <c r="B224" i="2" s="1"/>
  <c r="F69" i="1" s="1"/>
  <c r="BK174" i="5"/>
  <c r="AK31" i="4"/>
  <c r="AL31" i="4" s="1"/>
  <c r="AO31" i="4" s="1"/>
  <c r="BJ95" i="5"/>
  <c r="BJ314" i="5"/>
  <c r="BJ221" i="5"/>
  <c r="BK548" i="5"/>
  <c r="AF54" i="4"/>
  <c r="AG54" i="4" s="1"/>
  <c r="AI54" i="4" s="1"/>
  <c r="AN63" i="4"/>
  <c r="AO63" i="4" s="1"/>
  <c r="AQ128" i="4"/>
  <c r="AK108" i="4"/>
  <c r="AL108" i="4" s="1"/>
  <c r="BK302" i="5"/>
  <c r="AQ152" i="4"/>
  <c r="AK54" i="4"/>
  <c r="AL54" i="4" s="1"/>
  <c r="AO54" i="4" s="1"/>
  <c r="BK104" i="5"/>
  <c r="AC75" i="4"/>
  <c r="AD75" i="4" s="1"/>
  <c r="AQ75" i="4"/>
  <c r="BJ131" i="5"/>
  <c r="AP32" i="4"/>
  <c r="AQ32" i="4"/>
  <c r="AC26" i="4"/>
  <c r="AD26" i="4" s="1"/>
  <c r="AA31" i="4"/>
  <c r="AP128" i="4"/>
  <c r="AP26" i="4"/>
  <c r="AN108" i="4"/>
  <c r="AN76" i="4"/>
  <c r="BK371" i="5"/>
  <c r="AQ142" i="4"/>
  <c r="AC142" i="4"/>
  <c r="AD142" i="4" s="1"/>
  <c r="BK107" i="5"/>
  <c r="AQ140" i="4"/>
  <c r="AQ61" i="4"/>
  <c r="AP8" i="4"/>
  <c r="AC151" i="4"/>
  <c r="AD151" i="4" s="1"/>
  <c r="AK90" i="4"/>
  <c r="AL90" i="4" s="1"/>
  <c r="AP113" i="4"/>
  <c r="AQ77" i="4"/>
  <c r="AF106" i="4"/>
  <c r="AG106" i="4" s="1"/>
  <c r="AI106" i="4" s="1"/>
  <c r="AK85" i="4"/>
  <c r="AL85" i="4" s="1"/>
  <c r="AO85" i="4" s="1"/>
  <c r="AU85" i="4" s="1"/>
  <c r="AW85" i="4" s="1"/>
  <c r="AK106" i="4"/>
  <c r="AL106" i="4" s="1"/>
  <c r="AO106" i="4" s="1"/>
  <c r="AC155" i="4"/>
  <c r="AD155" i="4" s="1"/>
  <c r="AQ155" i="4"/>
  <c r="AF134" i="4"/>
  <c r="AG134" i="4" s="1"/>
  <c r="AI134" i="4" s="1"/>
  <c r="AN118" i="4"/>
  <c r="AN134" i="4"/>
  <c r="AO134" i="4" s="1"/>
  <c r="AP105" i="4"/>
  <c r="AC89" i="4"/>
  <c r="AD89" i="4" s="1"/>
  <c r="AN90" i="4"/>
  <c r="AC105" i="4"/>
  <c r="AD105" i="4" s="1"/>
  <c r="AC13" i="4"/>
  <c r="AD13" i="4" s="1"/>
  <c r="AP77" i="4"/>
  <c r="AP11" i="4"/>
  <c r="AP89" i="4"/>
  <c r="AC81" i="4"/>
  <c r="AD81" i="4" s="1"/>
  <c r="AC117" i="4"/>
  <c r="AD117" i="4" s="1"/>
  <c r="AF118" i="4"/>
  <c r="AG118" i="4" s="1"/>
  <c r="AI118" i="4" s="1"/>
  <c r="AC62" i="4"/>
  <c r="AD62" i="4" s="1"/>
  <c r="AC95" i="4"/>
  <c r="AD95" i="4" s="1"/>
  <c r="AQ81" i="4"/>
  <c r="AP117" i="4"/>
  <c r="AQ62" i="4"/>
  <c r="AP95" i="4"/>
  <c r="AC11" i="4"/>
  <c r="AD11" i="4" s="1"/>
  <c r="AC134" i="4"/>
  <c r="AD134" i="4" s="1"/>
  <c r="AQ134" i="4"/>
  <c r="AC148" i="4"/>
  <c r="AD148" i="4" s="1"/>
  <c r="AQ148" i="4"/>
  <c r="AF63" i="4"/>
  <c r="AG63" i="4" s="1"/>
  <c r="AI63" i="4" s="1"/>
  <c r="AN116" i="4"/>
  <c r="AO116" i="4" s="1"/>
  <c r="AF117" i="4"/>
  <c r="AG117" i="4" s="1"/>
  <c r="AI117" i="4" s="1"/>
  <c r="AP129" i="4"/>
  <c r="AP61" i="4"/>
  <c r="AQ129" i="4"/>
  <c r="AF57" i="4"/>
  <c r="AG57" i="4" s="1"/>
  <c r="AI57" i="4" s="1"/>
  <c r="AC149" i="4"/>
  <c r="AD149" i="4" s="1"/>
  <c r="AP149" i="4"/>
  <c r="AC82" i="4"/>
  <c r="AD82" i="4" s="1"/>
  <c r="AP90" i="4"/>
  <c r="AK141" i="4"/>
  <c r="AL141" i="4" s="1"/>
  <c r="AO141" i="4" s="1"/>
  <c r="AP140" i="4"/>
  <c r="AP106" i="4"/>
  <c r="AF149" i="4"/>
  <c r="AG149" i="4" s="1"/>
  <c r="AI149" i="4" s="1"/>
  <c r="AQ13" i="4"/>
  <c r="AK129" i="4"/>
  <c r="AL129" i="4" s="1"/>
  <c r="AO129" i="4" s="1"/>
  <c r="AF133" i="4"/>
  <c r="AG133" i="4" s="1"/>
  <c r="AI133" i="4" s="1"/>
  <c r="AK76" i="4"/>
  <c r="AL76" i="4" s="1"/>
  <c r="AQ106" i="4"/>
  <c r="AN149" i="4"/>
  <c r="AO149" i="4" s="1"/>
  <c r="AF129" i="4"/>
  <c r="AG129" i="4" s="1"/>
  <c r="AI129" i="4" s="1"/>
  <c r="AP66" i="4"/>
  <c r="AQ74" i="4"/>
  <c r="AK133" i="4"/>
  <c r="AL133" i="4" s="1"/>
  <c r="AO133" i="4" s="1"/>
  <c r="AC122" i="4"/>
  <c r="AD122" i="4" s="1"/>
  <c r="AP122" i="4"/>
  <c r="AC141" i="4"/>
  <c r="AD141" i="4" s="1"/>
  <c r="AK62" i="4"/>
  <c r="AL62" i="4" s="1"/>
  <c r="AO62" i="4" s="1"/>
  <c r="AQ10" i="4"/>
  <c r="AQ90" i="4"/>
  <c r="AF141" i="4"/>
  <c r="AG141" i="4" s="1"/>
  <c r="AI141" i="4" s="1"/>
  <c r="AP141" i="4"/>
  <c r="AK60" i="4"/>
  <c r="AL60" i="4" s="1"/>
  <c r="AO60" i="4" s="1"/>
  <c r="AK136" i="4"/>
  <c r="AL136" i="4" s="1"/>
  <c r="AO136" i="4" s="1"/>
  <c r="AC79" i="4"/>
  <c r="AD79" i="4" s="1"/>
  <c r="AC59" i="4"/>
  <c r="AD59" i="4" s="1"/>
  <c r="AF69" i="4"/>
  <c r="AG69" i="4" s="1"/>
  <c r="AI69" i="4" s="1"/>
  <c r="AF61" i="4"/>
  <c r="AG61" i="4" s="1"/>
  <c r="AI61" i="4" s="1"/>
  <c r="AK61" i="4"/>
  <c r="AL61" i="4" s="1"/>
  <c r="AO61" i="4" s="1"/>
  <c r="AK110" i="4"/>
  <c r="AL110" i="4" s="1"/>
  <c r="AO110" i="4" s="1"/>
  <c r="AC63" i="4"/>
  <c r="AD63" i="4" s="1"/>
  <c r="AN112" i="4"/>
  <c r="AO112" i="4" s="1"/>
  <c r="AP63" i="4"/>
  <c r="AF135" i="4"/>
  <c r="AG135" i="4" s="1"/>
  <c r="AI135" i="4" s="1"/>
  <c r="AP108" i="4"/>
  <c r="AF113" i="4"/>
  <c r="AG113" i="4" s="1"/>
  <c r="AI113" i="4" s="1"/>
  <c r="AC69" i="4"/>
  <c r="AD69" i="4" s="1"/>
  <c r="AK135" i="4"/>
  <c r="AL135" i="4" s="1"/>
  <c r="AO135" i="4" s="1"/>
  <c r="AN113" i="4"/>
  <c r="AO113" i="4" s="1"/>
  <c r="AC98" i="4"/>
  <c r="AD98" i="4" s="1"/>
  <c r="AF122" i="4"/>
  <c r="AG122" i="4" s="1"/>
  <c r="AI122" i="4" s="1"/>
  <c r="AP69" i="4"/>
  <c r="AQ98" i="4"/>
  <c r="AQ133" i="4"/>
  <c r="AK122" i="4"/>
  <c r="AL122" i="4" s="1"/>
  <c r="AO122" i="4" s="1"/>
  <c r="AC94" i="4"/>
  <c r="AD94" i="4" s="1"/>
  <c r="AP144" i="4"/>
  <c r="AF74" i="4"/>
  <c r="AG74" i="4" s="1"/>
  <c r="AI74" i="4" s="1"/>
  <c r="AP94" i="4"/>
  <c r="AQ144" i="4"/>
  <c r="AK101" i="4"/>
  <c r="AL101" i="4" s="1"/>
  <c r="AF111" i="4"/>
  <c r="AG111" i="4" s="1"/>
  <c r="AI111" i="4" s="1"/>
  <c r="AK74" i="4"/>
  <c r="AL74" i="4" s="1"/>
  <c r="AO74" i="4" s="1"/>
  <c r="AN101" i="4"/>
  <c r="AN111" i="4"/>
  <c r="AO111" i="4" s="1"/>
  <c r="AC133" i="4"/>
  <c r="AD133" i="4" s="1"/>
  <c r="AQ109" i="4"/>
  <c r="AP9" i="4"/>
  <c r="AP112" i="4"/>
  <c r="AF110" i="4"/>
  <c r="AG110" i="4" s="1"/>
  <c r="AI110" i="4" s="1"/>
  <c r="AC109" i="4"/>
  <c r="AD109" i="4" s="1"/>
  <c r="AF112" i="4"/>
  <c r="AG112" i="4" s="1"/>
  <c r="AI112" i="4" s="1"/>
  <c r="AP67" i="4"/>
  <c r="AK124" i="4"/>
  <c r="AL124" i="4" s="1"/>
  <c r="AQ112" i="4"/>
  <c r="AC12" i="4"/>
  <c r="AD12" i="4" s="1"/>
  <c r="AC137" i="4"/>
  <c r="AD137" i="4" s="1"/>
  <c r="AQ137" i="4"/>
  <c r="AF152" i="4"/>
  <c r="AG152" i="4" s="1"/>
  <c r="AI152" i="4" s="1"/>
  <c r="AK94" i="4"/>
  <c r="AL94" i="4" s="1"/>
  <c r="AN89" i="4"/>
  <c r="AO89" i="4" s="1"/>
  <c r="AK152" i="4"/>
  <c r="AL152" i="4" s="1"/>
  <c r="AO152" i="4" s="1"/>
  <c r="AN94" i="4"/>
  <c r="AQ67" i="4"/>
  <c r="AC18" i="4"/>
  <c r="AD18" i="4" s="1"/>
  <c r="AC74" i="4"/>
  <c r="AD74" i="4" s="1"/>
  <c r="AF93" i="4"/>
  <c r="AG93" i="4" s="1"/>
  <c r="AI93" i="4" s="1"/>
  <c r="AP14" i="4"/>
  <c r="AK93" i="4"/>
  <c r="AL93" i="4" s="1"/>
  <c r="AO93" i="4" s="1"/>
  <c r="AC14" i="4"/>
  <c r="AD14" i="4" s="1"/>
  <c r="AQ8" i="4"/>
  <c r="AQ18" i="4"/>
  <c r="AQ24" i="4"/>
  <c r="AF136" i="4"/>
  <c r="AG136" i="4" s="1"/>
  <c r="AI136" i="4" s="1"/>
  <c r="AK59" i="4"/>
  <c r="AL59" i="4" s="1"/>
  <c r="AF116" i="4"/>
  <c r="AG116" i="4" s="1"/>
  <c r="AI116" i="4" s="1"/>
  <c r="AC93" i="4"/>
  <c r="AD93" i="4" s="1"/>
  <c r="AQ22" i="4"/>
  <c r="AQ136" i="4"/>
  <c r="AF60" i="4"/>
  <c r="AG60" i="4" s="1"/>
  <c r="AI60" i="4" s="1"/>
  <c r="AN59" i="4"/>
  <c r="AP93" i="4"/>
  <c r="AQ79" i="4"/>
  <c r="AP22" i="4"/>
  <c r="AP136" i="4"/>
  <c r="AP59" i="4"/>
  <c r="AC25" i="4"/>
  <c r="AD25" i="4" s="1"/>
  <c r="AK95" i="4"/>
  <c r="AL95" i="4" s="1"/>
  <c r="AO95" i="4" s="1"/>
  <c r="AQ25" i="4"/>
  <c r="AF95" i="4"/>
  <c r="AG95" i="4" s="1"/>
  <c r="AI95" i="4" s="1"/>
  <c r="AF143" i="4"/>
  <c r="AG143" i="4" s="1"/>
  <c r="AI143" i="4" s="1"/>
  <c r="AC60" i="4"/>
  <c r="AD60" i="4" s="1"/>
  <c r="AC24" i="4"/>
  <c r="AD24" i="4" s="1"/>
  <c r="AK143" i="4"/>
  <c r="AL143" i="4" s="1"/>
  <c r="AO143" i="4" s="1"/>
  <c r="AP60" i="4"/>
  <c r="AP135" i="4"/>
  <c r="AQ135" i="4"/>
  <c r="AC113" i="4"/>
  <c r="AD113" i="4" s="1"/>
  <c r="AC66" i="4"/>
  <c r="AD66" i="4" s="1"/>
  <c r="AP96" i="4"/>
  <c r="AK57" i="4"/>
  <c r="AL57" i="4" s="1"/>
  <c r="AO57" i="4" s="1"/>
  <c r="AC57" i="4"/>
  <c r="AD57" i="4" s="1"/>
  <c r="AP57" i="4"/>
  <c r="AK137" i="4"/>
  <c r="AL137" i="4" s="1"/>
  <c r="AF97" i="4"/>
  <c r="AG97" i="4" s="1"/>
  <c r="AI97" i="4" s="1"/>
  <c r="AQ16" i="4"/>
  <c r="AF144" i="4"/>
  <c r="AG144" i="4" s="1"/>
  <c r="AI144" i="4" s="1"/>
  <c r="AC11" i="5"/>
  <c r="AE11" i="5" s="1"/>
  <c r="AN97" i="4"/>
  <c r="AO97" i="4" s="1"/>
  <c r="AC92" i="4"/>
  <c r="AD92" i="4" s="1"/>
  <c r="AN82" i="4"/>
  <c r="AO82" i="4" s="1"/>
  <c r="AP7" i="4"/>
  <c r="AQ7" i="4"/>
  <c r="AC23" i="4"/>
  <c r="AD23" i="4" s="1"/>
  <c r="AN144" i="4"/>
  <c r="AO144" i="4" s="1"/>
  <c r="AP92" i="4"/>
  <c r="AF65" i="4"/>
  <c r="AG65" i="4" s="1"/>
  <c r="AI65" i="4" s="1"/>
  <c r="AF67" i="4"/>
  <c r="AG67" i="4" s="1"/>
  <c r="AI67" i="4" s="1"/>
  <c r="AF77" i="4"/>
  <c r="AG77" i="4" s="1"/>
  <c r="AI77" i="4" s="1"/>
  <c r="AQ23" i="4"/>
  <c r="AC111" i="4"/>
  <c r="AD111" i="4" s="1"/>
  <c r="AK65" i="4"/>
  <c r="AL65" i="4" s="1"/>
  <c r="AO65" i="4" s="1"/>
  <c r="AN67" i="4"/>
  <c r="AO67" i="4" s="1"/>
  <c r="AK77" i="4"/>
  <c r="AL77" i="4" s="1"/>
  <c r="AO77" i="4" s="1"/>
  <c r="AF128" i="4"/>
  <c r="AG128" i="4" s="1"/>
  <c r="AI128" i="4" s="1"/>
  <c r="AK81" i="4"/>
  <c r="AL81" i="4" s="1"/>
  <c r="AO81" i="4" s="1"/>
  <c r="AQ111" i="4"/>
  <c r="AN128" i="4"/>
  <c r="AO128" i="4" s="1"/>
  <c r="AF81" i="4"/>
  <c r="AG81" i="4" s="1"/>
  <c r="AI81" i="4" s="1"/>
  <c r="AC156" i="4"/>
  <c r="AD156" i="4" s="1"/>
  <c r="AF98" i="4"/>
  <c r="AG98" i="4" s="1"/>
  <c r="AI98" i="4" s="1"/>
  <c r="AF79" i="4"/>
  <c r="AG79" i="4" s="1"/>
  <c r="AI79" i="4" s="1"/>
  <c r="AP156" i="4"/>
  <c r="AP16" i="4"/>
  <c r="AF82" i="4"/>
  <c r="AG82" i="4" s="1"/>
  <c r="AI82" i="4" s="1"/>
  <c r="AN98" i="4"/>
  <c r="AO98" i="4" s="1"/>
  <c r="AK79" i="4"/>
  <c r="AL79" i="4" s="1"/>
  <c r="AO79" i="4" s="1"/>
  <c r="AO18" i="4"/>
  <c r="AC102" i="4"/>
  <c r="AD102" i="4" s="1"/>
  <c r="AP143" i="4"/>
  <c r="AN137" i="4"/>
  <c r="AP102" i="4"/>
  <c r="AC143" i="4"/>
  <c r="AD143" i="4" s="1"/>
  <c r="AN66" i="4"/>
  <c r="AN121" i="4"/>
  <c r="AO121" i="4" s="1"/>
  <c r="AF102" i="4"/>
  <c r="AG102" i="4" s="1"/>
  <c r="AI102" i="4" s="1"/>
  <c r="AK66" i="4"/>
  <c r="AL66" i="4" s="1"/>
  <c r="AF121" i="4"/>
  <c r="AG121" i="4" s="1"/>
  <c r="AI121" i="4" s="1"/>
  <c r="AP118" i="4"/>
  <c r="AP20" i="4"/>
  <c r="AK102" i="4"/>
  <c r="AL102" i="4" s="1"/>
  <c r="AO102" i="4" s="1"/>
  <c r="AC15" i="4"/>
  <c r="AD15" i="4" s="1"/>
  <c r="AC118" i="4"/>
  <c r="AD118" i="4" s="1"/>
  <c r="AP65" i="4"/>
  <c r="AC20" i="4"/>
  <c r="AD20" i="4" s="1"/>
  <c r="AP15" i="4"/>
  <c r="AC65" i="4"/>
  <c r="AD65" i="4" s="1"/>
  <c r="AC96" i="4"/>
  <c r="AD96" i="4" s="1"/>
  <c r="AP116" i="4"/>
  <c r="AQ9" i="4"/>
  <c r="AP12" i="4"/>
  <c r="AN124" i="4"/>
  <c r="AQ116" i="4"/>
  <c r="AF96" i="4"/>
  <c r="AG96" i="4" s="1"/>
  <c r="AI96" i="4" s="1"/>
  <c r="AC121" i="4"/>
  <c r="AD121" i="4" s="1"/>
  <c r="AK96" i="4"/>
  <c r="AL96" i="4" s="1"/>
  <c r="AO96" i="4" s="1"/>
  <c r="AQ121" i="4"/>
  <c r="AO107" i="4"/>
  <c r="AU107" i="4" s="1"/>
  <c r="AW107" i="4" s="1"/>
  <c r="AF125" i="4"/>
  <c r="AG125" i="4" s="1"/>
  <c r="AI125" i="4" s="1"/>
  <c r="AF89" i="4"/>
  <c r="AG89" i="4" s="1"/>
  <c r="AI89" i="4" s="1"/>
  <c r="AK125" i="4"/>
  <c r="AL125" i="4" s="1"/>
  <c r="AO125" i="4" s="1"/>
  <c r="AO150" i="4"/>
  <c r="AU150" i="4" s="1"/>
  <c r="AW150" i="4" s="1"/>
  <c r="AO34" i="4"/>
  <c r="AU34" i="4" s="1"/>
  <c r="AW34" i="4" s="1"/>
  <c r="AO157" i="4"/>
  <c r="AU157" i="4" s="1"/>
  <c r="AW157" i="4" s="1"/>
  <c r="AO58" i="4"/>
  <c r="AU58" i="4" s="1"/>
  <c r="AW58" i="4" s="1"/>
  <c r="AO22" i="4"/>
  <c r="AO48" i="4"/>
  <c r="AU48" i="4" s="1"/>
  <c r="AW48" i="4" s="1"/>
  <c r="AO130" i="4"/>
  <c r="AU130" i="4" s="1"/>
  <c r="AW130" i="4" s="1"/>
  <c r="AO155" i="4"/>
  <c r="AO26" i="4"/>
  <c r="AO132" i="4"/>
  <c r="AU132" i="4" s="1"/>
  <c r="AW132" i="4" s="1"/>
  <c r="AO7" i="4"/>
  <c r="AO19" i="4"/>
  <c r="AO127" i="4"/>
  <c r="AO11" i="4"/>
  <c r="AO103" i="4"/>
  <c r="AU103" i="4" s="1"/>
  <c r="AW103" i="4" s="1"/>
  <c r="AO87" i="4"/>
  <c r="AU87" i="4" s="1"/>
  <c r="AW87" i="4" s="1"/>
  <c r="AO91" i="4"/>
  <c r="AU91" i="4" s="1"/>
  <c r="AW91" i="4" s="1"/>
  <c r="AO138" i="4"/>
  <c r="AU138" i="4" s="1"/>
  <c r="AW138" i="4" s="1"/>
  <c r="AO78" i="4"/>
  <c r="AU78" i="4" s="1"/>
  <c r="AW78" i="4" s="1"/>
  <c r="AO80" i="4"/>
  <c r="AU80" i="4" s="1"/>
  <c r="AW80" i="4" s="1"/>
  <c r="BF418" i="5"/>
  <c r="BH418" i="5" s="1"/>
  <c r="BM418" i="5" s="1"/>
  <c r="AO16" i="4"/>
  <c r="AO9" i="4"/>
  <c r="AO53" i="4"/>
  <c r="AU53" i="4" s="1"/>
  <c r="AW53" i="4" s="1"/>
  <c r="AO42" i="4"/>
  <c r="AU42" i="4" s="1"/>
  <c r="AW42" i="4" s="1"/>
  <c r="AO32" i="4"/>
  <c r="AO21" i="4"/>
  <c r="AE418" i="5"/>
  <c r="AO123" i="4"/>
  <c r="AU123" i="4" s="1"/>
  <c r="AW123" i="4" s="1"/>
  <c r="AO72" i="4"/>
  <c r="AU72" i="4" s="1"/>
  <c r="AW72" i="4" s="1"/>
  <c r="AO38" i="4"/>
  <c r="AU38" i="4" s="1"/>
  <c r="AW38" i="4" s="1"/>
  <c r="AO52" i="4"/>
  <c r="AU52" i="4" s="1"/>
  <c r="AW52" i="4" s="1"/>
  <c r="AO86" i="4"/>
  <c r="AU86" i="4" s="1"/>
  <c r="AW86" i="4" s="1"/>
  <c r="AO147" i="4"/>
  <c r="AU147" i="4" s="1"/>
  <c r="AW147" i="4" s="1"/>
  <c r="AO88" i="4"/>
  <c r="AU88" i="4" s="1"/>
  <c r="AW88" i="4" s="1"/>
  <c r="AO55" i="4"/>
  <c r="AU55" i="4" s="1"/>
  <c r="AW55" i="4" s="1"/>
  <c r="AO49" i="4"/>
  <c r="AU49" i="4" s="1"/>
  <c r="AW49" i="4" s="1"/>
  <c r="AO73" i="4"/>
  <c r="AU73" i="4" s="1"/>
  <c r="AW73" i="4" s="1"/>
  <c r="AO151" i="4"/>
  <c r="AO15" i="4"/>
  <c r="AO8" i="4"/>
  <c r="AO24" i="4"/>
  <c r="AO36" i="4"/>
  <c r="AU36" i="4" s="1"/>
  <c r="AW36" i="4" s="1"/>
  <c r="AO40" i="4"/>
  <c r="AU40" i="4" s="1"/>
  <c r="AW40" i="4" s="1"/>
  <c r="AO68" i="4"/>
  <c r="AU68" i="4" s="1"/>
  <c r="AW68" i="4" s="1"/>
  <c r="AO13" i="4"/>
  <c r="AO10" i="4"/>
  <c r="AO27" i="4"/>
  <c r="AU27" i="4" s="1"/>
  <c r="AW27" i="4" s="1"/>
  <c r="AO50" i="4"/>
  <c r="AU50" i="4" s="1"/>
  <c r="AW50" i="4" s="1"/>
  <c r="AO20" i="4"/>
  <c r="AO84" i="4"/>
  <c r="AU84" i="4" s="1"/>
  <c r="AW84" i="4" s="1"/>
  <c r="AO37" i="4"/>
  <c r="AU37" i="4" s="1"/>
  <c r="AW37" i="4" s="1"/>
  <c r="AO12" i="4"/>
  <c r="AO45" i="4"/>
  <c r="AU45" i="4" s="1"/>
  <c r="AW45" i="4" s="1"/>
  <c r="AO25" i="4"/>
  <c r="AD559" i="5"/>
  <c r="BF559" i="5"/>
  <c r="AE559" i="5"/>
  <c r="AD27" i="5"/>
  <c r="BF27" i="5"/>
  <c r="AE27" i="5"/>
  <c r="AD69" i="5"/>
  <c r="BF69" i="5"/>
  <c r="AE69" i="5"/>
  <c r="AE384" i="5"/>
  <c r="AD384" i="5"/>
  <c r="BF384" i="5"/>
  <c r="AE101" i="5"/>
  <c r="AD101" i="5"/>
  <c r="BF101" i="5"/>
  <c r="BF391" i="5"/>
  <c r="AE391" i="5"/>
  <c r="AD391" i="5"/>
  <c r="AE409" i="5"/>
  <c r="AD409" i="5"/>
  <c r="BF409" i="5"/>
  <c r="AD385" i="5"/>
  <c r="AE385" i="5"/>
  <c r="BF385" i="5"/>
  <c r="AE197" i="5"/>
  <c r="AD197" i="5"/>
  <c r="BF197" i="5"/>
  <c r="AE183" i="5"/>
  <c r="AD183" i="5"/>
  <c r="BF183" i="5"/>
  <c r="AE478" i="5"/>
  <c r="BF478" i="5"/>
  <c r="AD478" i="5"/>
  <c r="AE368" i="5"/>
  <c r="AD368" i="5"/>
  <c r="BF368" i="5"/>
  <c r="AE436" i="5"/>
  <c r="AD436" i="5"/>
  <c r="BF436" i="5"/>
  <c r="AD26" i="5"/>
  <c r="AE26" i="5"/>
  <c r="BF26" i="5"/>
  <c r="BF52" i="5"/>
  <c r="AE52" i="5"/>
  <c r="AD52" i="5"/>
  <c r="AD361" i="5"/>
  <c r="BF361" i="5"/>
  <c r="AE361" i="5"/>
  <c r="AD103" i="5"/>
  <c r="AE103" i="5"/>
  <c r="BF103" i="5"/>
  <c r="AD140" i="5"/>
  <c r="BF140" i="5"/>
  <c r="AE140" i="5"/>
  <c r="AE206" i="5"/>
  <c r="BF206" i="5"/>
  <c r="AD206" i="5"/>
  <c r="AE261" i="5"/>
  <c r="AD261" i="5"/>
  <c r="BF261" i="5"/>
  <c r="BF142" i="5"/>
  <c r="AD142" i="5"/>
  <c r="AE142" i="5"/>
  <c r="BF50" i="5"/>
  <c r="AE50" i="5"/>
  <c r="AD50" i="5"/>
  <c r="AE459" i="5"/>
  <c r="BF459" i="5"/>
  <c r="AD459" i="5"/>
  <c r="BF96" i="5"/>
  <c r="AD96" i="5"/>
  <c r="AE96" i="5"/>
  <c r="BK260" i="5"/>
  <c r="BJ260" i="5"/>
  <c r="BK252" i="5"/>
  <c r="BJ252" i="5"/>
  <c r="AD297" i="5"/>
  <c r="AE297" i="5"/>
  <c r="BF297" i="5"/>
  <c r="AD97" i="5"/>
  <c r="AE97" i="5"/>
  <c r="BF97" i="5"/>
  <c r="AD358" i="5"/>
  <c r="AE358" i="5"/>
  <c r="BF358" i="5"/>
  <c r="AD260" i="5"/>
  <c r="AE260" i="5"/>
  <c r="BF260" i="5"/>
  <c r="AD38" i="5"/>
  <c r="BF38" i="5"/>
  <c r="AE38" i="5"/>
  <c r="BF141" i="5"/>
  <c r="AE141" i="5"/>
  <c r="AD141" i="5"/>
  <c r="AD45" i="5"/>
  <c r="BF45" i="5"/>
  <c r="AE45" i="5"/>
  <c r="AD265" i="5"/>
  <c r="AE265" i="5"/>
  <c r="BF265" i="5"/>
  <c r="AD531" i="5"/>
  <c r="BF531" i="5"/>
  <c r="AE531" i="5"/>
  <c r="BF513" i="5"/>
  <c r="AD513" i="5"/>
  <c r="AE513" i="5"/>
  <c r="AE134" i="5"/>
  <c r="BF134" i="5"/>
  <c r="AD134" i="5"/>
  <c r="BF104" i="5"/>
  <c r="AD104" i="5"/>
  <c r="AE104" i="5"/>
  <c r="AE479" i="5"/>
  <c r="AD479" i="5"/>
  <c r="BF479" i="5"/>
  <c r="BF122" i="5"/>
  <c r="AD122" i="5"/>
  <c r="AE122" i="5"/>
  <c r="BF383" i="5"/>
  <c r="AE383" i="5"/>
  <c r="AD383" i="5"/>
  <c r="AD519" i="5"/>
  <c r="AE519" i="5"/>
  <c r="BF519" i="5"/>
  <c r="AD470" i="5"/>
  <c r="AE470" i="5"/>
  <c r="BF470" i="5"/>
  <c r="BF139" i="5"/>
  <c r="AE139" i="5"/>
  <c r="AD139" i="5"/>
  <c r="AD208" i="5"/>
  <c r="BF208" i="5"/>
  <c r="AE208" i="5"/>
  <c r="AE308" i="5"/>
  <c r="AD308" i="5"/>
  <c r="BF308" i="5"/>
  <c r="BF510" i="5"/>
  <c r="AD510" i="5"/>
  <c r="AE510" i="5"/>
  <c r="AD552" i="5"/>
  <c r="AE552" i="5"/>
  <c r="BF552" i="5"/>
  <c r="BF182" i="5"/>
  <c r="AD182" i="5"/>
  <c r="AE182" i="5"/>
  <c r="AE20" i="5"/>
  <c r="BF20" i="5"/>
  <c r="AD20" i="5"/>
  <c r="AE516" i="5"/>
  <c r="AD516" i="5"/>
  <c r="BF516" i="5"/>
  <c r="AD205" i="5"/>
  <c r="BF205" i="5"/>
  <c r="AE205" i="5"/>
  <c r="AE106" i="5"/>
  <c r="BF106" i="5"/>
  <c r="AD106" i="5"/>
  <c r="AE318" i="5"/>
  <c r="BF318" i="5"/>
  <c r="AD318" i="5"/>
  <c r="AE334" i="5"/>
  <c r="BF334" i="5"/>
  <c r="AD334" i="5"/>
  <c r="AE157" i="5"/>
  <c r="BF157" i="5"/>
  <c r="AD157" i="5"/>
  <c r="AE503" i="5"/>
  <c r="BF503" i="5"/>
  <c r="AD503" i="5"/>
  <c r="AD232" i="5"/>
  <c r="BF232" i="5"/>
  <c r="AE232" i="5"/>
  <c r="BF345" i="5"/>
  <c r="AE345" i="5"/>
  <c r="AD345" i="5"/>
  <c r="AD541" i="5"/>
  <c r="BF541" i="5"/>
  <c r="AE541" i="5"/>
  <c r="AE21" i="5"/>
  <c r="AD21" i="5"/>
  <c r="BF21" i="5"/>
  <c r="AE210" i="5"/>
  <c r="BF210" i="5"/>
  <c r="AD210" i="5"/>
  <c r="AD437" i="5"/>
  <c r="BF437" i="5"/>
  <c r="AE437" i="5"/>
  <c r="BF372" i="5"/>
  <c r="AD372" i="5"/>
  <c r="AE372" i="5"/>
  <c r="AE549" i="5"/>
  <c r="BF549" i="5"/>
  <c r="AD549" i="5"/>
  <c r="AE150" i="5"/>
  <c r="AD150" i="5"/>
  <c r="BF150" i="5"/>
  <c r="AD279" i="5"/>
  <c r="BF279" i="5"/>
  <c r="AE279" i="5"/>
  <c r="AE207" i="5"/>
  <c r="AD207" i="5"/>
  <c r="BF207" i="5"/>
  <c r="BF128" i="5"/>
  <c r="AE128" i="5"/>
  <c r="AD128" i="5"/>
  <c r="AE544" i="5"/>
  <c r="AD544" i="5"/>
  <c r="BF544" i="5"/>
  <c r="AD287" i="5"/>
  <c r="BF287" i="5"/>
  <c r="AE287" i="5"/>
  <c r="AD432" i="5"/>
  <c r="AE432" i="5"/>
  <c r="BF432" i="5"/>
  <c r="AD253" i="5"/>
  <c r="BF253" i="5"/>
  <c r="AE253" i="5"/>
  <c r="AE295" i="5"/>
  <c r="AD295" i="5"/>
  <c r="BF295" i="5"/>
  <c r="AD452" i="5"/>
  <c r="BF452" i="5"/>
  <c r="AE452" i="5"/>
  <c r="AE512" i="5"/>
  <c r="BF512" i="5"/>
  <c r="AD512" i="5"/>
  <c r="AD53" i="5"/>
  <c r="AE53" i="5"/>
  <c r="BF53" i="5"/>
  <c r="AE388" i="5"/>
  <c r="AD388" i="5"/>
  <c r="BF388" i="5"/>
  <c r="AE288" i="5"/>
  <c r="AD288" i="5"/>
  <c r="BF288" i="5"/>
  <c r="AE351" i="5"/>
  <c r="AD351" i="5"/>
  <c r="BF351" i="5"/>
  <c r="AE547" i="5"/>
  <c r="AD547" i="5"/>
  <c r="BF547" i="5"/>
  <c r="AE493" i="5"/>
  <c r="AD493" i="5"/>
  <c r="BF493" i="5"/>
  <c r="BF428" i="5"/>
  <c r="AD428" i="5"/>
  <c r="AE428" i="5"/>
  <c r="BF48" i="5"/>
  <c r="AD48" i="5"/>
  <c r="AE48" i="5"/>
  <c r="AE117" i="5"/>
  <c r="AD117" i="5"/>
  <c r="BF117" i="5"/>
  <c r="AE173" i="5"/>
  <c r="BF173" i="5"/>
  <c r="AD173" i="5"/>
  <c r="AD228" i="5"/>
  <c r="AE228" i="5"/>
  <c r="BF228" i="5"/>
  <c r="AE94" i="5"/>
  <c r="AD94" i="5"/>
  <c r="BF94" i="5"/>
  <c r="AD456" i="5"/>
  <c r="BF456" i="5"/>
  <c r="AE456" i="5"/>
  <c r="AD413" i="5"/>
  <c r="AE413" i="5"/>
  <c r="BF413" i="5"/>
  <c r="AD92" i="5"/>
  <c r="AE92" i="5"/>
  <c r="BF92" i="5"/>
  <c r="BK411" i="5"/>
  <c r="BJ411" i="5"/>
  <c r="AD44" i="5"/>
  <c r="BF44" i="5"/>
  <c r="AE44" i="5"/>
  <c r="AD431" i="5"/>
  <c r="AE431" i="5"/>
  <c r="BF431" i="5"/>
  <c r="AE144" i="5"/>
  <c r="AD144" i="5"/>
  <c r="BF144" i="5"/>
  <c r="BF88" i="5"/>
  <c r="AE88" i="5"/>
  <c r="AD88" i="5"/>
  <c r="AD8" i="5"/>
  <c r="AE8" i="5"/>
  <c r="BF8" i="5"/>
  <c r="BF254" i="5"/>
  <c r="AE254" i="5"/>
  <c r="AD254" i="5"/>
  <c r="AD370" i="5"/>
  <c r="AE370" i="5"/>
  <c r="BF370" i="5"/>
  <c r="AD245" i="5"/>
  <c r="BF245" i="5"/>
  <c r="AE245" i="5"/>
  <c r="AE243" i="5"/>
  <c r="BF243" i="5"/>
  <c r="AD243" i="5"/>
  <c r="BF429" i="5"/>
  <c r="AD429" i="5"/>
  <c r="AE429" i="5"/>
  <c r="AE482" i="5"/>
  <c r="BF482" i="5"/>
  <c r="AD482" i="5"/>
  <c r="AE185" i="5"/>
  <c r="BF185" i="5"/>
  <c r="AD185" i="5"/>
  <c r="AD112" i="5"/>
  <c r="AE112" i="5"/>
  <c r="BF112" i="5"/>
  <c r="AE538" i="5"/>
  <c r="BF538" i="5"/>
  <c r="AD538" i="5"/>
  <c r="AD231" i="5"/>
  <c r="BF231" i="5"/>
  <c r="AE231" i="5"/>
  <c r="AE477" i="5"/>
  <c r="AD477" i="5"/>
  <c r="BF477" i="5"/>
  <c r="AE526" i="5"/>
  <c r="AD526" i="5"/>
  <c r="BF526" i="5"/>
  <c r="AE290" i="5"/>
  <c r="AD290" i="5"/>
  <c r="BF290" i="5"/>
  <c r="AD168" i="5"/>
  <c r="BF168" i="5"/>
  <c r="AE168" i="5"/>
  <c r="AE252" i="5"/>
  <c r="BF252" i="5"/>
  <c r="AD252" i="5"/>
  <c r="AD426" i="5"/>
  <c r="BF426" i="5"/>
  <c r="AE426" i="5"/>
  <c r="AE491" i="5"/>
  <c r="AD491" i="5"/>
  <c r="BF491" i="5"/>
  <c r="BF342" i="5"/>
  <c r="AE342" i="5"/>
  <c r="AD342" i="5"/>
  <c r="AE321" i="5"/>
  <c r="AD321" i="5"/>
  <c r="BF321" i="5"/>
  <c r="BF481" i="5"/>
  <c r="AE481" i="5"/>
  <c r="AD481" i="5"/>
  <c r="AD54" i="5"/>
  <c r="BF54" i="5"/>
  <c r="AE54" i="5"/>
  <c r="AE219" i="5"/>
  <c r="AD219" i="5"/>
  <c r="BF219" i="5"/>
  <c r="AE317" i="5"/>
  <c r="BF317" i="5"/>
  <c r="AD317" i="5"/>
  <c r="AE163" i="5"/>
  <c r="BF163" i="5"/>
  <c r="AD163" i="5"/>
  <c r="AE200" i="5"/>
  <c r="AD200" i="5"/>
  <c r="BF200" i="5"/>
  <c r="AD250" i="5"/>
  <c r="BF250" i="5"/>
  <c r="AE250" i="5"/>
  <c r="AE392" i="5"/>
  <c r="AD392" i="5"/>
  <c r="BF392" i="5"/>
  <c r="BF188" i="5"/>
  <c r="AD188" i="5"/>
  <c r="AE188" i="5"/>
  <c r="AE60" i="5"/>
  <c r="AD60" i="5"/>
  <c r="BF60" i="5"/>
  <c r="AE35" i="5"/>
  <c r="AD35" i="5"/>
  <c r="BF35" i="5"/>
  <c r="BK485" i="5"/>
  <c r="BJ485" i="5"/>
  <c r="AO71" i="4"/>
  <c r="AU71" i="4" s="1"/>
  <c r="AW71" i="4" s="1"/>
  <c r="AE218" i="5"/>
  <c r="BF218" i="5"/>
  <c r="AD218" i="5"/>
  <c r="AD235" i="5"/>
  <c r="BF235" i="5"/>
  <c r="AE235" i="5"/>
  <c r="BK209" i="5"/>
  <c r="BJ209" i="5"/>
  <c r="AO23" i="4"/>
  <c r="BK497" i="5"/>
  <c r="BJ497" i="5"/>
  <c r="AE167" i="5"/>
  <c r="AD167" i="5"/>
  <c r="BF167" i="5"/>
  <c r="AO99" i="4"/>
  <c r="AU99" i="4" s="1"/>
  <c r="AW99" i="4" s="1"/>
  <c r="BJ84" i="5"/>
  <c r="BK84" i="5"/>
  <c r="AO146" i="4"/>
  <c r="AU146" i="4" s="1"/>
  <c r="AW146" i="4" s="1"/>
  <c r="BJ127" i="5"/>
  <c r="BK127" i="5"/>
  <c r="AO30" i="4"/>
  <c r="AB11" i="5"/>
  <c r="AA11" i="5"/>
  <c r="U11" i="5"/>
  <c r="V11" i="5"/>
  <c r="AH11" i="5"/>
  <c r="AI11" i="5"/>
  <c r="AO148" i="4"/>
  <c r="BK284" i="5"/>
  <c r="BJ284" i="5"/>
  <c r="BK419" i="5"/>
  <c r="BJ419" i="5"/>
  <c r="BJ148" i="5"/>
  <c r="BK148" i="5"/>
  <c r="AO17" i="4"/>
  <c r="AU17" i="4" s="1"/>
  <c r="AW17" i="4" s="1"/>
  <c r="AD348" i="5"/>
  <c r="BF348" i="5"/>
  <c r="AE348" i="5"/>
  <c r="AE299" i="5"/>
  <c r="BF299" i="5"/>
  <c r="AD299" i="5"/>
  <c r="BF447" i="5"/>
  <c r="AE447" i="5"/>
  <c r="AD447" i="5"/>
  <c r="AE364" i="5"/>
  <c r="AD364" i="5"/>
  <c r="BF364" i="5"/>
  <c r="AE172" i="5"/>
  <c r="BF172" i="5"/>
  <c r="AD172" i="5"/>
  <c r="AO35" i="4"/>
  <c r="AO47" i="4"/>
  <c r="AU47" i="4" s="1"/>
  <c r="AW47" i="4" s="1"/>
  <c r="AE256" i="5"/>
  <c r="BF256" i="5"/>
  <c r="AD256" i="5"/>
  <c r="BF77" i="5"/>
  <c r="AE77" i="5"/>
  <c r="AD77" i="5"/>
  <c r="AD514" i="5"/>
  <c r="AE514" i="5"/>
  <c r="BF514" i="5"/>
  <c r="AE242" i="5"/>
  <c r="BF242" i="5"/>
  <c r="AD242" i="5"/>
  <c r="AD504" i="5"/>
  <c r="BF504" i="5"/>
  <c r="AE504" i="5"/>
  <c r="BF115" i="5"/>
  <c r="AE115" i="5"/>
  <c r="AD115" i="5"/>
  <c r="AD521" i="5"/>
  <c r="BF521" i="5"/>
  <c r="AE521" i="5"/>
  <c r="AD42" i="5"/>
  <c r="BF42" i="5"/>
  <c r="AE42" i="5"/>
  <c r="AD300" i="5"/>
  <c r="AE300" i="5"/>
  <c r="BF300" i="5"/>
  <c r="AE109" i="5"/>
  <c r="AD109" i="5"/>
  <c r="BF109" i="5"/>
  <c r="AD56" i="5"/>
  <c r="AE56" i="5"/>
  <c r="BF56" i="5"/>
  <c r="AE528" i="5"/>
  <c r="BF528" i="5"/>
  <c r="AD528" i="5"/>
  <c r="AD116" i="5"/>
  <c r="AE116" i="5"/>
  <c r="BF116" i="5"/>
  <c r="AE40" i="5"/>
  <c r="AD40" i="5"/>
  <c r="BF40" i="5"/>
  <c r="AE360" i="5"/>
  <c r="BF360" i="5"/>
  <c r="AD360" i="5"/>
  <c r="AD107" i="5"/>
  <c r="AE107" i="5"/>
  <c r="BF107" i="5"/>
  <c r="BF298" i="5"/>
  <c r="AD298" i="5"/>
  <c r="AE298" i="5"/>
  <c r="AD498" i="5"/>
  <c r="AE498" i="5"/>
  <c r="BF498" i="5"/>
  <c r="AE184" i="5"/>
  <c r="AD184" i="5"/>
  <c r="BF184" i="5"/>
  <c r="AE387" i="5"/>
  <c r="BF387" i="5"/>
  <c r="AD387" i="5"/>
  <c r="AD464" i="5"/>
  <c r="AE464" i="5"/>
  <c r="BF464" i="5"/>
  <c r="AE202" i="5"/>
  <c r="AD202" i="5"/>
  <c r="BF202" i="5"/>
  <c r="AE158" i="5"/>
  <c r="AD158" i="5"/>
  <c r="BF158" i="5"/>
  <c r="AE467" i="5"/>
  <c r="BF467" i="5"/>
  <c r="AD467" i="5"/>
  <c r="AE102" i="5"/>
  <c r="AD102" i="5"/>
  <c r="BF102" i="5"/>
  <c r="BF502" i="5"/>
  <c r="AD502" i="5"/>
  <c r="AE502" i="5"/>
  <c r="AD400" i="5"/>
  <c r="BF400" i="5"/>
  <c r="AE400" i="5"/>
  <c r="AE147" i="5"/>
  <c r="AD147" i="5"/>
  <c r="BF147" i="5"/>
  <c r="AE312" i="5"/>
  <c r="AD312" i="5"/>
  <c r="BF312" i="5"/>
  <c r="AD439" i="5"/>
  <c r="BF439" i="5"/>
  <c r="AE439" i="5"/>
  <c r="BF135" i="5"/>
  <c r="AE135" i="5"/>
  <c r="AD135" i="5"/>
  <c r="AE330" i="5"/>
  <c r="AD330" i="5"/>
  <c r="BF330" i="5"/>
  <c r="AE534" i="5"/>
  <c r="BF534" i="5"/>
  <c r="AD534" i="5"/>
  <c r="AE344" i="5"/>
  <c r="BF344" i="5"/>
  <c r="AD344" i="5"/>
  <c r="AD524" i="5"/>
  <c r="AE524" i="5"/>
  <c r="BF524" i="5"/>
  <c r="AD410" i="5"/>
  <c r="AE410" i="5"/>
  <c r="BF410" i="5"/>
  <c r="AD81" i="5"/>
  <c r="BF81" i="5"/>
  <c r="AE81" i="5"/>
  <c r="BF430" i="5"/>
  <c r="AD430" i="5"/>
  <c r="AE430" i="5"/>
  <c r="BF448" i="5"/>
  <c r="AE448" i="5"/>
  <c r="AD448" i="5"/>
  <c r="AD286" i="5"/>
  <c r="BF286" i="5"/>
  <c r="AE286" i="5"/>
  <c r="AD485" i="5"/>
  <c r="BF485" i="5"/>
  <c r="AE485" i="5"/>
  <c r="AD160" i="5"/>
  <c r="BF160" i="5"/>
  <c r="AE160" i="5"/>
  <c r="BF406" i="5"/>
  <c r="AD406" i="5"/>
  <c r="AE406" i="5"/>
  <c r="AE332" i="5"/>
  <c r="BF332" i="5"/>
  <c r="AD332" i="5"/>
  <c r="AD515" i="5"/>
  <c r="BF515" i="5"/>
  <c r="AE515" i="5"/>
  <c r="BF217" i="5"/>
  <c r="AD217" i="5"/>
  <c r="AE217" i="5"/>
  <c r="AD72" i="5"/>
  <c r="AE72" i="5"/>
  <c r="BF72" i="5"/>
  <c r="AE543" i="5"/>
  <c r="BF543" i="5"/>
  <c r="AD543" i="5"/>
  <c r="AE194" i="5"/>
  <c r="AD194" i="5"/>
  <c r="BF194" i="5"/>
  <c r="BF268" i="5"/>
  <c r="AE268" i="5"/>
  <c r="AD268" i="5"/>
  <c r="BF55" i="5"/>
  <c r="AD55" i="5"/>
  <c r="AE55" i="5"/>
  <c r="AE325" i="5"/>
  <c r="AD325" i="5"/>
  <c r="BF325" i="5"/>
  <c r="BF327" i="5"/>
  <c r="AD327" i="5"/>
  <c r="AE327" i="5"/>
  <c r="AE73" i="5"/>
  <c r="AD73" i="5"/>
  <c r="BF73" i="5"/>
  <c r="BF296" i="5"/>
  <c r="AE296" i="5"/>
  <c r="AD296" i="5"/>
  <c r="AE66" i="5"/>
  <c r="AD66" i="5"/>
  <c r="BF66" i="5"/>
  <c r="BF366" i="5"/>
  <c r="AD366" i="5"/>
  <c r="AE366" i="5"/>
  <c r="BF186" i="5"/>
  <c r="AE186" i="5"/>
  <c r="AD186" i="5"/>
  <c r="AD63" i="5"/>
  <c r="AE63" i="5"/>
  <c r="BF63" i="5"/>
  <c r="AD396" i="5"/>
  <c r="BF396" i="5"/>
  <c r="AE396" i="5"/>
  <c r="BF284" i="5"/>
  <c r="AD284" i="5"/>
  <c r="AE284" i="5"/>
  <c r="AE293" i="5"/>
  <c r="AD293" i="5"/>
  <c r="BF293" i="5"/>
  <c r="AD12" i="5"/>
  <c r="BF12" i="5"/>
  <c r="AE12" i="5"/>
  <c r="AE259" i="5"/>
  <c r="BF259" i="5"/>
  <c r="AD259" i="5"/>
  <c r="AD10" i="5"/>
  <c r="AE10" i="5"/>
  <c r="BF10" i="5"/>
  <c r="AD32" i="5"/>
  <c r="AE32" i="5"/>
  <c r="BF32" i="5"/>
  <c r="AE556" i="5"/>
  <c r="AD556" i="5"/>
  <c r="BF556" i="5"/>
  <c r="AO120" i="4"/>
  <c r="AU120" i="4" s="1"/>
  <c r="AW120" i="4" s="1"/>
  <c r="AE29" i="5"/>
  <c r="AD29" i="5"/>
  <c r="BF29" i="5"/>
  <c r="AE70" i="5"/>
  <c r="BF70" i="5"/>
  <c r="AD70" i="5"/>
  <c r="AD522" i="5"/>
  <c r="AE522" i="5"/>
  <c r="BF522" i="5"/>
  <c r="AE309" i="5"/>
  <c r="AD309" i="5"/>
  <c r="BF309" i="5"/>
  <c r="BF316" i="5"/>
  <c r="AE316" i="5"/>
  <c r="AD316" i="5"/>
  <c r="BF551" i="5"/>
  <c r="AD551" i="5"/>
  <c r="AE551" i="5"/>
  <c r="AE331" i="5"/>
  <c r="AD331" i="5"/>
  <c r="BF331" i="5"/>
  <c r="BF41" i="5"/>
  <c r="AE41" i="5"/>
  <c r="AD41" i="5"/>
  <c r="AD381" i="5"/>
  <c r="AE381" i="5"/>
  <c r="BF381" i="5"/>
  <c r="AE220" i="5"/>
  <c r="AD220" i="5"/>
  <c r="BF220" i="5"/>
  <c r="BF487" i="5"/>
  <c r="AE487" i="5"/>
  <c r="AD487" i="5"/>
  <c r="AD289" i="5"/>
  <c r="AE289" i="5"/>
  <c r="BF289" i="5"/>
  <c r="AE271" i="5"/>
  <c r="AD271" i="5"/>
  <c r="BF271" i="5"/>
  <c r="AE425" i="5"/>
  <c r="AD425" i="5"/>
  <c r="BF425" i="5"/>
  <c r="AE65" i="5"/>
  <c r="AD65" i="5"/>
  <c r="BF65" i="5"/>
  <c r="AD68" i="5"/>
  <c r="BF68" i="5"/>
  <c r="AE68" i="5"/>
  <c r="BF343" i="5"/>
  <c r="AE343" i="5"/>
  <c r="AD343" i="5"/>
  <c r="BF156" i="5"/>
  <c r="AD156" i="5"/>
  <c r="AE156" i="5"/>
  <c r="BF100" i="5"/>
  <c r="AE100" i="5"/>
  <c r="AD100" i="5"/>
  <c r="AE130" i="5"/>
  <c r="BF130" i="5"/>
  <c r="AD130" i="5"/>
  <c r="AD497" i="5"/>
  <c r="AE497" i="5"/>
  <c r="BF497" i="5"/>
  <c r="BF480" i="5"/>
  <c r="AD480" i="5"/>
  <c r="AE480" i="5"/>
  <c r="AD291" i="5"/>
  <c r="AE291" i="5"/>
  <c r="BF291" i="5"/>
  <c r="AD490" i="5"/>
  <c r="AE490" i="5"/>
  <c r="BF490" i="5"/>
  <c r="AD143" i="5"/>
  <c r="AE143" i="5"/>
  <c r="BF143" i="5"/>
  <c r="AD420" i="5"/>
  <c r="AE420" i="5"/>
  <c r="BF420" i="5"/>
  <c r="AE251" i="5"/>
  <c r="AD251" i="5"/>
  <c r="BF251" i="5"/>
  <c r="AE152" i="5"/>
  <c r="BF152" i="5"/>
  <c r="AD152" i="5"/>
  <c r="AD336" i="5"/>
  <c r="AE336" i="5"/>
  <c r="BF336" i="5"/>
  <c r="AD557" i="5"/>
  <c r="AE557" i="5"/>
  <c r="BF557" i="5"/>
  <c r="AE283" i="5"/>
  <c r="AD283" i="5"/>
  <c r="BF283" i="5"/>
  <c r="AE280" i="5"/>
  <c r="AD280" i="5"/>
  <c r="BF280" i="5"/>
  <c r="AE454" i="5"/>
  <c r="AD454" i="5"/>
  <c r="BF454" i="5"/>
  <c r="BJ446" i="5"/>
  <c r="BK446" i="5"/>
  <c r="AO69" i="4"/>
  <c r="AE28" i="5"/>
  <c r="BF28" i="5"/>
  <c r="AD28" i="5"/>
  <c r="AD542" i="5"/>
  <c r="AE542" i="5"/>
  <c r="BF542" i="5"/>
  <c r="BF415" i="5"/>
  <c r="AE415" i="5"/>
  <c r="AD415" i="5"/>
  <c r="AE421" i="5"/>
  <c r="BF421" i="5"/>
  <c r="AD421" i="5"/>
  <c r="AD473" i="5"/>
  <c r="AE473" i="5"/>
  <c r="BF473" i="5"/>
  <c r="AE277" i="5"/>
  <c r="AD277" i="5"/>
  <c r="BF277" i="5"/>
  <c r="AE324" i="5"/>
  <c r="BF324" i="5"/>
  <c r="AD324" i="5"/>
  <c r="AD402" i="5"/>
  <c r="AE402" i="5"/>
  <c r="BF402" i="5"/>
  <c r="AE162" i="5"/>
  <c r="AD162" i="5"/>
  <c r="BF162" i="5"/>
  <c r="BF124" i="5"/>
  <c r="AD124" i="5"/>
  <c r="AE124" i="5"/>
  <c r="AE171" i="5"/>
  <c r="AD171" i="5"/>
  <c r="BF171" i="5"/>
  <c r="AE457" i="5"/>
  <c r="BF457" i="5"/>
  <c r="AD457" i="5"/>
  <c r="BF435" i="5"/>
  <c r="AD435" i="5"/>
  <c r="AE435" i="5"/>
  <c r="AD535" i="5"/>
  <c r="AE535" i="5"/>
  <c r="BF535" i="5"/>
  <c r="BF449" i="5"/>
  <c r="AD449" i="5"/>
  <c r="AE449" i="5"/>
  <c r="AD121" i="5"/>
  <c r="AE121" i="5"/>
  <c r="BF121" i="5"/>
  <c r="BF307" i="5"/>
  <c r="AD307" i="5"/>
  <c r="AE307" i="5"/>
  <c r="AD266" i="5"/>
  <c r="AE266" i="5"/>
  <c r="BF266" i="5"/>
  <c r="AE476" i="5"/>
  <c r="AD476" i="5"/>
  <c r="BF476" i="5"/>
  <c r="AD267" i="5"/>
  <c r="BF267" i="5"/>
  <c r="AE267" i="5"/>
  <c r="BF285" i="5"/>
  <c r="AE285" i="5"/>
  <c r="AD285" i="5"/>
  <c r="AE263" i="5"/>
  <c r="BF263" i="5"/>
  <c r="AD263" i="5"/>
  <c r="AD255" i="5"/>
  <c r="BF255" i="5"/>
  <c r="AE255" i="5"/>
  <c r="AE23" i="5"/>
  <c r="BF23" i="5"/>
  <c r="AD23" i="5"/>
  <c r="AE138" i="5"/>
  <c r="BF138" i="5"/>
  <c r="AD138" i="5"/>
  <c r="AD365" i="5"/>
  <c r="BF365" i="5"/>
  <c r="AE365" i="5"/>
  <c r="AE340" i="5"/>
  <c r="AD340" i="5"/>
  <c r="BF340" i="5"/>
  <c r="AE216" i="5"/>
  <c r="BF216" i="5"/>
  <c r="AD216" i="5"/>
  <c r="AE179" i="5"/>
  <c r="AD179" i="5"/>
  <c r="BF179" i="5"/>
  <c r="AD398" i="5"/>
  <c r="BF398" i="5"/>
  <c r="AE398" i="5"/>
  <c r="AD354" i="5"/>
  <c r="BF354" i="5"/>
  <c r="AE354" i="5"/>
  <c r="AE529" i="5"/>
  <c r="AD529" i="5"/>
  <c r="BF529" i="5"/>
  <c r="BF239" i="5"/>
  <c r="AE239" i="5"/>
  <c r="AD239" i="5"/>
  <c r="AD367" i="5"/>
  <c r="AE367" i="5"/>
  <c r="BF367" i="5"/>
  <c r="BK524" i="5"/>
  <c r="BJ524" i="5"/>
  <c r="AD494" i="5"/>
  <c r="AE494" i="5"/>
  <c r="BF494" i="5"/>
  <c r="AE248" i="5"/>
  <c r="AD248" i="5"/>
  <c r="BF248" i="5"/>
  <c r="BJ151" i="5"/>
  <c r="BK151" i="5"/>
  <c r="BK73" i="5"/>
  <c r="BJ73" i="5"/>
  <c r="BJ33" i="5"/>
  <c r="BK33" i="5"/>
  <c r="AE315" i="5"/>
  <c r="BF315" i="5"/>
  <c r="AD315" i="5"/>
  <c r="AE249" i="5"/>
  <c r="BF249" i="5"/>
  <c r="AD249" i="5"/>
  <c r="BK416" i="5"/>
  <c r="BJ416" i="5"/>
  <c r="BJ77" i="5"/>
  <c r="BK77" i="5"/>
  <c r="BJ267" i="5"/>
  <c r="BK267" i="5"/>
  <c r="BK9" i="5"/>
  <c r="BJ9" i="5"/>
  <c r="X11" i="5"/>
  <c r="Y11" i="5"/>
  <c r="BB11" i="5"/>
  <c r="BA11" i="5"/>
  <c r="S11" i="5"/>
  <c r="R11" i="5"/>
  <c r="BJ386" i="5"/>
  <c r="BK386" i="5"/>
  <c r="BK186" i="5"/>
  <c r="BJ186" i="5"/>
  <c r="BJ462" i="5"/>
  <c r="BK462" i="5"/>
  <c r="AE37" i="5"/>
  <c r="BF37" i="5"/>
  <c r="AD37" i="5"/>
  <c r="AD180" i="5"/>
  <c r="BF180" i="5"/>
  <c r="AE180" i="5"/>
  <c r="AD64" i="5"/>
  <c r="AE64" i="5"/>
  <c r="BF64" i="5"/>
  <c r="BF91" i="5"/>
  <c r="AD91" i="5"/>
  <c r="AE91" i="5"/>
  <c r="AD518" i="5"/>
  <c r="AE518" i="5"/>
  <c r="BF518" i="5"/>
  <c r="BK444" i="5"/>
  <c r="BJ444" i="5"/>
  <c r="AO139" i="4"/>
  <c r="AU139" i="4" s="1"/>
  <c r="AW139" i="4" s="1"/>
  <c r="AE468" i="5"/>
  <c r="BF468" i="5"/>
  <c r="AD468" i="5"/>
  <c r="AE560" i="5"/>
  <c r="BF560" i="5"/>
  <c r="AD560" i="5"/>
  <c r="BF272" i="5"/>
  <c r="AD272" i="5"/>
  <c r="AE272" i="5"/>
  <c r="AD119" i="5"/>
  <c r="BF119" i="5"/>
  <c r="AE119" i="5"/>
  <c r="AD373" i="5"/>
  <c r="AE373" i="5"/>
  <c r="BF373" i="5"/>
  <c r="AE369" i="5"/>
  <c r="BF369" i="5"/>
  <c r="AD369" i="5"/>
  <c r="AD537" i="5"/>
  <c r="AE537" i="5"/>
  <c r="BF537" i="5"/>
  <c r="BF462" i="5"/>
  <c r="AE462" i="5"/>
  <c r="AD462" i="5"/>
  <c r="AE319" i="5"/>
  <c r="BF319" i="5"/>
  <c r="AD319" i="5"/>
  <c r="AD416" i="5"/>
  <c r="AE416" i="5"/>
  <c r="BF416" i="5"/>
  <c r="AD441" i="5"/>
  <c r="AE441" i="5"/>
  <c r="BF441" i="5"/>
  <c r="BF175" i="5"/>
  <c r="AD175" i="5"/>
  <c r="AE175" i="5"/>
  <c r="AD408" i="5"/>
  <c r="AE408" i="5"/>
  <c r="BF408" i="5"/>
  <c r="AD337" i="5"/>
  <c r="BF337" i="5"/>
  <c r="AE337" i="5"/>
  <c r="AD43" i="5"/>
  <c r="BF43" i="5"/>
  <c r="AE43" i="5"/>
  <c r="BF148" i="5"/>
  <c r="AE148" i="5"/>
  <c r="AD148" i="5"/>
  <c r="AD499" i="5"/>
  <c r="AE499" i="5"/>
  <c r="BF499" i="5"/>
  <c r="AE294" i="5"/>
  <c r="BF294" i="5"/>
  <c r="AD294" i="5"/>
  <c r="AE422" i="5"/>
  <c r="BF422" i="5"/>
  <c r="AD422" i="5"/>
  <c r="AD376" i="5"/>
  <c r="BF376" i="5"/>
  <c r="AE376" i="5"/>
  <c r="AE278" i="5"/>
  <c r="AD278" i="5"/>
  <c r="BF278" i="5"/>
  <c r="AD165" i="5"/>
  <c r="AE165" i="5"/>
  <c r="BF165" i="5"/>
  <c r="AE446" i="5"/>
  <c r="BF446" i="5"/>
  <c r="AD446" i="5"/>
  <c r="AE221" i="5"/>
  <c r="BF221" i="5"/>
  <c r="AD221" i="5"/>
  <c r="AD553" i="5"/>
  <c r="AE553" i="5"/>
  <c r="BF553" i="5"/>
  <c r="AD357" i="5"/>
  <c r="BF357" i="5"/>
  <c r="AE357" i="5"/>
  <c r="AE540" i="5"/>
  <c r="AD540" i="5"/>
  <c r="BF540" i="5"/>
  <c r="BF273" i="5"/>
  <c r="AD273" i="5"/>
  <c r="AE273" i="5"/>
  <c r="AE71" i="5"/>
  <c r="AD71" i="5"/>
  <c r="BF71" i="5"/>
  <c r="AE111" i="5"/>
  <c r="AD111" i="5"/>
  <c r="BF111" i="5"/>
  <c r="BF423" i="5"/>
  <c r="AE423" i="5"/>
  <c r="AD423" i="5"/>
  <c r="AE58" i="5"/>
  <c r="BF58" i="5"/>
  <c r="AD58" i="5"/>
  <c r="AE311" i="5"/>
  <c r="AD311" i="5"/>
  <c r="BF311" i="5"/>
  <c r="AE455" i="5"/>
  <c r="AD455" i="5"/>
  <c r="BF455" i="5"/>
  <c r="AO46" i="4"/>
  <c r="AU46" i="4" s="1"/>
  <c r="AW46" i="4" s="1"/>
  <c r="BK529" i="5"/>
  <c r="BJ529" i="5"/>
  <c r="BK154" i="5"/>
  <c r="BJ154" i="5"/>
  <c r="AO100" i="4"/>
  <c r="AU100" i="4" s="1"/>
  <c r="AW100" i="4" s="1"/>
  <c r="AD85" i="5"/>
  <c r="BF85" i="5"/>
  <c r="AE85" i="5"/>
  <c r="AD326" i="5"/>
  <c r="BF326" i="5"/>
  <c r="AE326" i="5"/>
  <c r="AD419" i="5"/>
  <c r="BF419" i="5"/>
  <c r="AE419" i="5"/>
  <c r="AD377" i="5"/>
  <c r="AE377" i="5"/>
  <c r="BF377" i="5"/>
  <c r="BF445" i="5"/>
  <c r="AD445" i="5"/>
  <c r="AE445" i="5"/>
  <c r="AE362" i="5"/>
  <c r="BF362" i="5"/>
  <c r="AD362" i="5"/>
  <c r="AE125" i="5"/>
  <c r="BF125" i="5"/>
  <c r="AD125" i="5"/>
  <c r="AE292" i="5"/>
  <c r="BF292" i="5"/>
  <c r="AD292" i="5"/>
  <c r="BF36" i="5"/>
  <c r="AD36" i="5"/>
  <c r="AE36" i="5"/>
  <c r="BF214" i="5"/>
  <c r="AD214" i="5"/>
  <c r="AE214" i="5"/>
  <c r="AE132" i="5"/>
  <c r="BF132" i="5"/>
  <c r="AD132" i="5"/>
  <c r="AD320" i="5"/>
  <c r="AE320" i="5"/>
  <c r="BF320" i="5"/>
  <c r="AE509" i="5"/>
  <c r="AD509" i="5"/>
  <c r="BF509" i="5"/>
  <c r="AE79" i="5"/>
  <c r="BF79" i="5"/>
  <c r="AD79" i="5"/>
  <c r="AE269" i="5"/>
  <c r="BF269" i="5"/>
  <c r="AD269" i="5"/>
  <c r="AD22" i="5"/>
  <c r="AE22" i="5"/>
  <c r="BF22" i="5"/>
  <c r="AD230" i="5"/>
  <c r="AE230" i="5"/>
  <c r="BF230" i="5"/>
  <c r="AD178" i="5"/>
  <c r="BF178" i="5"/>
  <c r="AE178" i="5"/>
  <c r="BF414" i="5"/>
  <c r="AE414" i="5"/>
  <c r="AD414" i="5"/>
  <c r="AE397" i="5"/>
  <c r="AD397" i="5"/>
  <c r="BF397" i="5"/>
  <c r="BF201" i="5"/>
  <c r="AD201" i="5"/>
  <c r="AE201" i="5"/>
  <c r="BF118" i="5"/>
  <c r="AD118" i="5"/>
  <c r="AE118" i="5"/>
  <c r="AD190" i="5"/>
  <c r="BF190" i="5"/>
  <c r="AE190" i="5"/>
  <c r="AD508" i="5"/>
  <c r="BF508" i="5"/>
  <c r="AE508" i="5"/>
  <c r="BF247" i="5"/>
  <c r="AD247" i="5"/>
  <c r="AE247" i="5"/>
  <c r="AD501" i="5"/>
  <c r="BF501" i="5"/>
  <c r="AE501" i="5"/>
  <c r="BF176" i="5"/>
  <c r="AD176" i="5"/>
  <c r="AE176" i="5"/>
  <c r="AD461" i="5"/>
  <c r="AE461" i="5"/>
  <c r="BF461" i="5"/>
  <c r="AE126" i="5"/>
  <c r="BF126" i="5"/>
  <c r="AD126" i="5"/>
  <c r="AD145" i="5"/>
  <c r="AE145" i="5"/>
  <c r="BF145" i="5"/>
  <c r="BF270" i="5"/>
  <c r="AD270" i="5"/>
  <c r="AE270" i="5"/>
  <c r="AE238" i="5"/>
  <c r="AD238" i="5"/>
  <c r="BF238" i="5"/>
  <c r="BK176" i="5"/>
  <c r="BJ176" i="5"/>
  <c r="AO114" i="4"/>
  <c r="BF282" i="5"/>
  <c r="AE282" i="5"/>
  <c r="AD282" i="5"/>
  <c r="AE258" i="5"/>
  <c r="AD258" i="5"/>
  <c r="BF258" i="5"/>
  <c r="BF558" i="5"/>
  <c r="AE558" i="5"/>
  <c r="AD558" i="5"/>
  <c r="AD187" i="5"/>
  <c r="AE187" i="5"/>
  <c r="BF187" i="5"/>
  <c r="AD234" i="5"/>
  <c r="AE234" i="5"/>
  <c r="BF234" i="5"/>
  <c r="AD352" i="5"/>
  <c r="BF352" i="5"/>
  <c r="AE352" i="5"/>
  <c r="AD393" i="5"/>
  <c r="AE393" i="5"/>
  <c r="BF393" i="5"/>
  <c r="AE424" i="5"/>
  <c r="AD424" i="5"/>
  <c r="BF424" i="5"/>
  <c r="AD322" i="5"/>
  <c r="BF322" i="5"/>
  <c r="AE322" i="5"/>
  <c r="BF453" i="5"/>
  <c r="AE453" i="5"/>
  <c r="AD453" i="5"/>
  <c r="BF488" i="5"/>
  <c r="AE488" i="5"/>
  <c r="AD488" i="5"/>
  <c r="AE120" i="5"/>
  <c r="BF120" i="5"/>
  <c r="AD120" i="5"/>
  <c r="AE450" i="5"/>
  <c r="AD450" i="5"/>
  <c r="BF450" i="5"/>
  <c r="AD47" i="5"/>
  <c r="AE47" i="5"/>
  <c r="BF47" i="5"/>
  <c r="BF539" i="5"/>
  <c r="AD539" i="5"/>
  <c r="AE539" i="5"/>
  <c r="AE314" i="5"/>
  <c r="AD314" i="5"/>
  <c r="BF314" i="5"/>
  <c r="AE303" i="5"/>
  <c r="BF303" i="5"/>
  <c r="AD303" i="5"/>
  <c r="BF264" i="5"/>
  <c r="AD264" i="5"/>
  <c r="AE264" i="5"/>
  <c r="AE505" i="5"/>
  <c r="AD505" i="5"/>
  <c r="BF505" i="5"/>
  <c r="AE427" i="5"/>
  <c r="BF427" i="5"/>
  <c r="AD427" i="5"/>
  <c r="AE105" i="5"/>
  <c r="BF105" i="5"/>
  <c r="AD105" i="5"/>
  <c r="AE374" i="5"/>
  <c r="AD374" i="5"/>
  <c r="BF374" i="5"/>
  <c r="BF177" i="5"/>
  <c r="AE177" i="5"/>
  <c r="AD177" i="5"/>
  <c r="AE57" i="5"/>
  <c r="AD57" i="5"/>
  <c r="BF57" i="5"/>
  <c r="AD89" i="5"/>
  <c r="AE89" i="5"/>
  <c r="BF89" i="5"/>
  <c r="AD407" i="5"/>
  <c r="BF407" i="5"/>
  <c r="AE407" i="5"/>
  <c r="AD395" i="5"/>
  <c r="AE395" i="5"/>
  <c r="BF395" i="5"/>
  <c r="AE198" i="5"/>
  <c r="BF198" i="5"/>
  <c r="AD198" i="5"/>
  <c r="BF460" i="5"/>
  <c r="AD460" i="5"/>
  <c r="AE460" i="5"/>
  <c r="AE371" i="5"/>
  <c r="BF371" i="5"/>
  <c r="AD371" i="5"/>
  <c r="AE356" i="5"/>
  <c r="AD356" i="5"/>
  <c r="BF356" i="5"/>
  <c r="AD193" i="5"/>
  <c r="AE193" i="5"/>
  <c r="BF193" i="5"/>
  <c r="BF133" i="5"/>
  <c r="AD133" i="5"/>
  <c r="AE133" i="5"/>
  <c r="AE19" i="5"/>
  <c r="AD19" i="5"/>
  <c r="BF19" i="5"/>
  <c r="AE341" i="5"/>
  <c r="AD341" i="5"/>
  <c r="BF341" i="5"/>
  <c r="AD181" i="5"/>
  <c r="BF181" i="5"/>
  <c r="AE181" i="5"/>
  <c r="AD209" i="5"/>
  <c r="BF209" i="5"/>
  <c r="AE209" i="5"/>
  <c r="AD353" i="5"/>
  <c r="AE353" i="5"/>
  <c r="BF353" i="5"/>
  <c r="AE87" i="5"/>
  <c r="AD87" i="5"/>
  <c r="BF87" i="5"/>
  <c r="AE458" i="5"/>
  <c r="BF458" i="5"/>
  <c r="AD458" i="5"/>
  <c r="AD301" i="5"/>
  <c r="AE301" i="5"/>
  <c r="BF301" i="5"/>
  <c r="BF153" i="5"/>
  <c r="AD153" i="5"/>
  <c r="AE153" i="5"/>
  <c r="AE74" i="5"/>
  <c r="BF74" i="5"/>
  <c r="AD74" i="5"/>
  <c r="AE399" i="5"/>
  <c r="AD399" i="5"/>
  <c r="BF399" i="5"/>
  <c r="AD346" i="5"/>
  <c r="AE346" i="5"/>
  <c r="BF346" i="5"/>
  <c r="AE82" i="5"/>
  <c r="AD82" i="5"/>
  <c r="BF82" i="5"/>
  <c r="AE33" i="5"/>
  <c r="AD33" i="5"/>
  <c r="BF33" i="5"/>
  <c r="AD323" i="5"/>
  <c r="BF323" i="5"/>
  <c r="AE323" i="5"/>
  <c r="AE155" i="5"/>
  <c r="AD155" i="5"/>
  <c r="BF155" i="5"/>
  <c r="AD223" i="5"/>
  <c r="BF223" i="5"/>
  <c r="AE223" i="5"/>
  <c r="AE335" i="5"/>
  <c r="BF335" i="5"/>
  <c r="AD335" i="5"/>
  <c r="AD389" i="5"/>
  <c r="AE389" i="5"/>
  <c r="BF389" i="5"/>
  <c r="AD530" i="5"/>
  <c r="AE530" i="5"/>
  <c r="BF530" i="5"/>
  <c r="BF154" i="5"/>
  <c r="AE154" i="5"/>
  <c r="AD154" i="5"/>
  <c r="AD347" i="5"/>
  <c r="BF347" i="5"/>
  <c r="AE347" i="5"/>
  <c r="AD306" i="5"/>
  <c r="BF306" i="5"/>
  <c r="AE306" i="5"/>
  <c r="BF305" i="5"/>
  <c r="AE305" i="5"/>
  <c r="AD305" i="5"/>
  <c r="AD536" i="5"/>
  <c r="BF536" i="5"/>
  <c r="AE536" i="5"/>
  <c r="AE196" i="5"/>
  <c r="AD196" i="5"/>
  <c r="BF196" i="5"/>
  <c r="AD215" i="5"/>
  <c r="AE215" i="5"/>
  <c r="BF215" i="5"/>
  <c r="AE78" i="5"/>
  <c r="BF78" i="5"/>
  <c r="AD78" i="5"/>
  <c r="AE192" i="5"/>
  <c r="BF192" i="5"/>
  <c r="AD192" i="5"/>
  <c r="AE404" i="5"/>
  <c r="AD404" i="5"/>
  <c r="BF404" i="5"/>
  <c r="AD355" i="5"/>
  <c r="AE355" i="5"/>
  <c r="BF355" i="5"/>
  <c r="BF386" i="5"/>
  <c r="AD386" i="5"/>
  <c r="AE386" i="5"/>
  <c r="AD302" i="5"/>
  <c r="AE302" i="5"/>
  <c r="BF302" i="5"/>
  <c r="BF444" i="5"/>
  <c r="AD444" i="5"/>
  <c r="AE444" i="5"/>
  <c r="AO41" i="4"/>
  <c r="AU41" i="4" s="1"/>
  <c r="AW41" i="4" s="1"/>
  <c r="BK54" i="5"/>
  <c r="BJ54" i="5"/>
  <c r="AO145" i="4"/>
  <c r="AU145" i="4" s="1"/>
  <c r="AW145" i="4" s="1"/>
  <c r="AO115" i="4"/>
  <c r="AU115" i="4" s="1"/>
  <c r="AW115" i="4" s="1"/>
  <c r="AE304" i="5"/>
  <c r="AD304" i="5"/>
  <c r="BF304" i="5"/>
  <c r="BJ219" i="5"/>
  <c r="BK219" i="5"/>
  <c r="BK13" i="5"/>
  <c r="BJ13" i="5"/>
  <c r="AO14" i="4"/>
  <c r="AE527" i="5"/>
  <c r="BF527" i="5"/>
  <c r="AD527" i="5"/>
  <c r="AD129" i="5"/>
  <c r="BF129" i="5"/>
  <c r="AE129" i="5"/>
  <c r="AO44" i="4"/>
  <c r="AU44" i="4" s="1"/>
  <c r="AW44" i="4" s="1"/>
  <c r="AK11" i="5"/>
  <c r="AL11" i="5"/>
  <c r="AP11" i="5"/>
  <c r="AO11" i="5"/>
  <c r="AN11" i="5"/>
  <c r="AO70" i="4"/>
  <c r="AU70" i="4" s="1"/>
  <c r="AW70" i="4" s="1"/>
  <c r="AO56" i="4"/>
  <c r="AU56" i="4" s="1"/>
  <c r="AW56" i="4" s="1"/>
  <c r="AO64" i="4"/>
  <c r="AU64" i="4" s="1"/>
  <c r="AW64" i="4" s="1"/>
  <c r="BK159" i="5"/>
  <c r="BJ159" i="5"/>
  <c r="BJ394" i="5"/>
  <c r="BK394" i="5"/>
  <c r="AO118" i="4"/>
  <c r="BF46" i="5"/>
  <c r="AD46" i="5"/>
  <c r="AE46" i="5"/>
  <c r="AD405" i="5"/>
  <c r="BF405" i="5"/>
  <c r="AE405" i="5"/>
  <c r="AE62" i="5"/>
  <c r="AD62" i="5"/>
  <c r="BF62" i="5"/>
  <c r="AD466" i="5"/>
  <c r="BF466" i="5"/>
  <c r="AE466" i="5"/>
  <c r="AD34" i="5"/>
  <c r="BF34" i="5"/>
  <c r="AE34" i="5"/>
  <c r="AE149" i="5"/>
  <c r="AD149" i="5"/>
  <c r="BF149" i="5"/>
  <c r="AE350" i="5"/>
  <c r="BF350" i="5"/>
  <c r="AD350" i="5"/>
  <c r="AE123" i="5"/>
  <c r="AD123" i="5"/>
  <c r="BF123" i="5"/>
  <c r="AE442" i="5"/>
  <c r="BF442" i="5"/>
  <c r="AD442" i="5"/>
  <c r="AE13" i="5"/>
  <c r="AD13" i="5"/>
  <c r="BF13" i="5"/>
  <c r="BF438" i="5"/>
  <c r="AE438" i="5"/>
  <c r="AD438" i="5"/>
  <c r="AD451" i="5"/>
  <c r="AE451" i="5"/>
  <c r="BF451" i="5"/>
  <c r="AD276" i="5"/>
  <c r="BF276" i="5"/>
  <c r="AE276" i="5"/>
  <c r="AE379" i="5"/>
  <c r="AD379" i="5"/>
  <c r="BF379" i="5"/>
  <c r="AE30" i="5"/>
  <c r="BF30" i="5"/>
  <c r="AD30" i="5"/>
  <c r="AD489" i="5"/>
  <c r="BF489" i="5"/>
  <c r="AE489" i="5"/>
  <c r="BF113" i="5"/>
  <c r="AE113" i="5"/>
  <c r="AD113" i="5"/>
  <c r="AE380" i="5"/>
  <c r="BF380" i="5"/>
  <c r="AD380" i="5"/>
  <c r="AE84" i="5"/>
  <c r="BF84" i="5"/>
  <c r="AD84" i="5"/>
  <c r="AD108" i="5"/>
  <c r="AE108" i="5"/>
  <c r="BF108" i="5"/>
  <c r="AE463" i="5"/>
  <c r="BF463" i="5"/>
  <c r="AD463" i="5"/>
  <c r="AE80" i="5"/>
  <c r="BF80" i="5"/>
  <c r="AD80" i="5"/>
  <c r="BF550" i="5"/>
  <c r="AD550" i="5"/>
  <c r="AE550" i="5"/>
  <c r="AE226" i="5"/>
  <c r="BF226" i="5"/>
  <c r="AD226" i="5"/>
  <c r="BF338" i="5"/>
  <c r="AE338" i="5"/>
  <c r="AD338" i="5"/>
  <c r="AD390" i="5"/>
  <c r="AE390" i="5"/>
  <c r="BF390" i="5"/>
  <c r="AD375" i="5"/>
  <c r="AE375" i="5"/>
  <c r="BF375" i="5"/>
  <c r="AE131" i="5"/>
  <c r="AD131" i="5"/>
  <c r="BF131" i="5"/>
  <c r="AE257" i="5"/>
  <c r="BF257" i="5"/>
  <c r="AD257" i="5"/>
  <c r="BF24" i="5"/>
  <c r="AE24" i="5"/>
  <c r="AD24" i="5"/>
  <c r="AE224" i="5"/>
  <c r="BF224" i="5"/>
  <c r="AD224" i="5"/>
  <c r="AE313" i="5"/>
  <c r="AD313" i="5"/>
  <c r="BF313" i="5"/>
  <c r="AD363" i="5"/>
  <c r="AE363" i="5"/>
  <c r="BF363" i="5"/>
  <c r="AD382" i="5"/>
  <c r="AE382" i="5"/>
  <c r="BF382" i="5"/>
  <c r="AE9" i="5"/>
  <c r="AD9" i="5"/>
  <c r="BF9" i="5"/>
  <c r="BJ68" i="5"/>
  <c r="BK68" i="5"/>
  <c r="AO104" i="4"/>
  <c r="AU104" i="4" s="1"/>
  <c r="AW104" i="4" s="1"/>
  <c r="AE281" i="5"/>
  <c r="BF281" i="5"/>
  <c r="AD281" i="5"/>
  <c r="AD49" i="5"/>
  <c r="AE49" i="5"/>
  <c r="BF49" i="5"/>
  <c r="BF225" i="5"/>
  <c r="AD225" i="5"/>
  <c r="AE225" i="5"/>
  <c r="BF213" i="5"/>
  <c r="AE213" i="5"/>
  <c r="AD213" i="5"/>
  <c r="BF90" i="5"/>
  <c r="AD90" i="5"/>
  <c r="AE90" i="5"/>
  <c r="AE475" i="5"/>
  <c r="AD475" i="5"/>
  <c r="BF475" i="5"/>
  <c r="AD443" i="5"/>
  <c r="BF443" i="5"/>
  <c r="AE443" i="5"/>
  <c r="AD98" i="5"/>
  <c r="BF98" i="5"/>
  <c r="AE98" i="5"/>
  <c r="AE31" i="5"/>
  <c r="AD31" i="5"/>
  <c r="BF31" i="5"/>
  <c r="BF440" i="5"/>
  <c r="AE440" i="5"/>
  <c r="AD440" i="5"/>
  <c r="AE401" i="5"/>
  <c r="BF401" i="5"/>
  <c r="AD401" i="5"/>
  <c r="BF403" i="5"/>
  <c r="AD403" i="5"/>
  <c r="AE403" i="5"/>
  <c r="BF465" i="5"/>
  <c r="AE465" i="5"/>
  <c r="AD465" i="5"/>
  <c r="AD492" i="5"/>
  <c r="AE492" i="5"/>
  <c r="BF492" i="5"/>
  <c r="AD61" i="5"/>
  <c r="AE61" i="5"/>
  <c r="BF61" i="5"/>
  <c r="AD411" i="5"/>
  <c r="AE411" i="5"/>
  <c r="BF411" i="5"/>
  <c r="BF555" i="5"/>
  <c r="AE555" i="5"/>
  <c r="AD555" i="5"/>
  <c r="AD240" i="5"/>
  <c r="AE240" i="5"/>
  <c r="BF240" i="5"/>
  <c r="AD204" i="5"/>
  <c r="AE204" i="5"/>
  <c r="BF204" i="5"/>
  <c r="AE222" i="5"/>
  <c r="AD222" i="5"/>
  <c r="BF222" i="5"/>
  <c r="AE506" i="5"/>
  <c r="AD506" i="5"/>
  <c r="BF506" i="5"/>
  <c r="BF434" i="5"/>
  <c r="AD434" i="5"/>
  <c r="AE434" i="5"/>
  <c r="BF246" i="5"/>
  <c r="AE246" i="5"/>
  <c r="AD246" i="5"/>
  <c r="AE533" i="5"/>
  <c r="BF533" i="5"/>
  <c r="AD533" i="5"/>
  <c r="BF511" i="5"/>
  <c r="AE511" i="5"/>
  <c r="AD511" i="5"/>
  <c r="BF86" i="5"/>
  <c r="AE86" i="5"/>
  <c r="AD86" i="5"/>
  <c r="AD114" i="5"/>
  <c r="AE114" i="5"/>
  <c r="BF114" i="5"/>
  <c r="BF161" i="5"/>
  <c r="AE161" i="5"/>
  <c r="AD161" i="5"/>
  <c r="BF227" i="5"/>
  <c r="AD227" i="5"/>
  <c r="AE227" i="5"/>
  <c r="AD212" i="5"/>
  <c r="BF212" i="5"/>
  <c r="AE212" i="5"/>
  <c r="AD127" i="5"/>
  <c r="BF127" i="5"/>
  <c r="AE127" i="5"/>
  <c r="AE233" i="5"/>
  <c r="AD233" i="5"/>
  <c r="BF233" i="5"/>
  <c r="AO29" i="4"/>
  <c r="AO51" i="4"/>
  <c r="AU51" i="4" s="1"/>
  <c r="AW51" i="4" s="1"/>
  <c r="AD76" i="5"/>
  <c r="AE76" i="5"/>
  <c r="BF76" i="5"/>
  <c r="BF166" i="5"/>
  <c r="AE166" i="5"/>
  <c r="AD166" i="5"/>
  <c r="BF507" i="5"/>
  <c r="AE507" i="5"/>
  <c r="AD507" i="5"/>
  <c r="BF51" i="5"/>
  <c r="AE51" i="5"/>
  <c r="AD51" i="5"/>
  <c r="AE83" i="5"/>
  <c r="AD83" i="5"/>
  <c r="BF83" i="5"/>
  <c r="AD236" i="5"/>
  <c r="BF236" i="5"/>
  <c r="AE236" i="5"/>
  <c r="AE93" i="5"/>
  <c r="AD93" i="5"/>
  <c r="BF93" i="5"/>
  <c r="AD474" i="5"/>
  <c r="BF474" i="5"/>
  <c r="AE474" i="5"/>
  <c r="BF191" i="5"/>
  <c r="AD191" i="5"/>
  <c r="AE191" i="5"/>
  <c r="AD203" i="5"/>
  <c r="BF203" i="5"/>
  <c r="AE203" i="5"/>
  <c r="AD486" i="5"/>
  <c r="AE486" i="5"/>
  <c r="BF486" i="5"/>
  <c r="BF95" i="5"/>
  <c r="AD95" i="5"/>
  <c r="AE95" i="5"/>
  <c r="AD333" i="5"/>
  <c r="BF333" i="5"/>
  <c r="AE333" i="5"/>
  <c r="AD545" i="5"/>
  <c r="BF545" i="5"/>
  <c r="AE545" i="5"/>
  <c r="BF378" i="5"/>
  <c r="AE378" i="5"/>
  <c r="AD378" i="5"/>
  <c r="AE67" i="5"/>
  <c r="AD67" i="5"/>
  <c r="BF67" i="5"/>
  <c r="BF275" i="5"/>
  <c r="AE275" i="5"/>
  <c r="AD275" i="5"/>
  <c r="BF151" i="5"/>
  <c r="AE151" i="5"/>
  <c r="AD151" i="5"/>
  <c r="BF483" i="5"/>
  <c r="AE483" i="5"/>
  <c r="AD483" i="5"/>
  <c r="AD25" i="5"/>
  <c r="BF25" i="5"/>
  <c r="AE25" i="5"/>
  <c r="AD433" i="5"/>
  <c r="BF433" i="5"/>
  <c r="AE433" i="5"/>
  <c r="AD199" i="5"/>
  <c r="AE199" i="5"/>
  <c r="BF199" i="5"/>
  <c r="BF472" i="5"/>
  <c r="AE472" i="5"/>
  <c r="AD472" i="5"/>
  <c r="AE211" i="5"/>
  <c r="AD211" i="5"/>
  <c r="BF211" i="5"/>
  <c r="AE471" i="5"/>
  <c r="BF471" i="5"/>
  <c r="AD471" i="5"/>
  <c r="BF241" i="5"/>
  <c r="AE241" i="5"/>
  <c r="AD241" i="5"/>
  <c r="AE469" i="5"/>
  <c r="AD469" i="5"/>
  <c r="BF469" i="5"/>
  <c r="BF174" i="5"/>
  <c r="AE174" i="5"/>
  <c r="AD174" i="5"/>
  <c r="AE484" i="5"/>
  <c r="BF484" i="5"/>
  <c r="AD484" i="5"/>
  <c r="AE546" i="5"/>
  <c r="AD546" i="5"/>
  <c r="BF546" i="5"/>
  <c r="AD244" i="5"/>
  <c r="BF244" i="5"/>
  <c r="AE244" i="5"/>
  <c r="BF75" i="5"/>
  <c r="AE75" i="5"/>
  <c r="AD75" i="5"/>
  <c r="AO142" i="4"/>
  <c r="AE137" i="5"/>
  <c r="AD137" i="5"/>
  <c r="BF137" i="5"/>
  <c r="AE328" i="5"/>
  <c r="AD328" i="5"/>
  <c r="BF328" i="5"/>
  <c r="BF110" i="5"/>
  <c r="AD110" i="5"/>
  <c r="AE110" i="5"/>
  <c r="BF500" i="5"/>
  <c r="AE500" i="5"/>
  <c r="AD500" i="5"/>
  <c r="AD164" i="5"/>
  <c r="AE164" i="5"/>
  <c r="BF164" i="5"/>
  <c r="BF554" i="5"/>
  <c r="AD554" i="5"/>
  <c r="AE554" i="5"/>
  <c r="AE329" i="5"/>
  <c r="BF329" i="5"/>
  <c r="AD329" i="5"/>
  <c r="AE195" i="5"/>
  <c r="BF195" i="5"/>
  <c r="AD195" i="5"/>
  <c r="AE349" i="5"/>
  <c r="AD349" i="5"/>
  <c r="BF349" i="5"/>
  <c r="AE339" i="5"/>
  <c r="AD339" i="5"/>
  <c r="BF339" i="5"/>
  <c r="BF417" i="5"/>
  <c r="AD417" i="5"/>
  <c r="AE417" i="5"/>
  <c r="BF262" i="5"/>
  <c r="AE262" i="5"/>
  <c r="AD262" i="5"/>
  <c r="AE412" i="5"/>
  <c r="AD412" i="5"/>
  <c r="BF412" i="5"/>
  <c r="BF495" i="5"/>
  <c r="AD495" i="5"/>
  <c r="AE495" i="5"/>
  <c r="AD394" i="5"/>
  <c r="AE394" i="5"/>
  <c r="BF394" i="5"/>
  <c r="AD229" i="5"/>
  <c r="AE229" i="5"/>
  <c r="BF229" i="5"/>
  <c r="AE99" i="5"/>
  <c r="BF99" i="5"/>
  <c r="AD99" i="5"/>
  <c r="AD159" i="5"/>
  <c r="AE159" i="5"/>
  <c r="BF159" i="5"/>
  <c r="AD523" i="5"/>
  <c r="BF523" i="5"/>
  <c r="AE523" i="5"/>
  <c r="AE532" i="5"/>
  <c r="BF532" i="5"/>
  <c r="AD532" i="5"/>
  <c r="AE237" i="5"/>
  <c r="BF237" i="5"/>
  <c r="AD237" i="5"/>
  <c r="BF274" i="5"/>
  <c r="AE274" i="5"/>
  <c r="AD274" i="5"/>
  <c r="AE359" i="5"/>
  <c r="AD359" i="5"/>
  <c r="BF359" i="5"/>
  <c r="AD136" i="5"/>
  <c r="BF136" i="5"/>
  <c r="AE136" i="5"/>
  <c r="BF548" i="5"/>
  <c r="AE548" i="5"/>
  <c r="AD548" i="5"/>
  <c r="AD189" i="5"/>
  <c r="BF189" i="5"/>
  <c r="AE189" i="5"/>
  <c r="AD146" i="5"/>
  <c r="BF146" i="5"/>
  <c r="AE146" i="5"/>
  <c r="AD169" i="5"/>
  <c r="AE169" i="5"/>
  <c r="BF169" i="5"/>
  <c r="AD520" i="5"/>
  <c r="AE520" i="5"/>
  <c r="BF520" i="5"/>
  <c r="AE310" i="5"/>
  <c r="BF310" i="5"/>
  <c r="AD310" i="5"/>
  <c r="AD59" i="5"/>
  <c r="BF59" i="5"/>
  <c r="AE59" i="5"/>
  <c r="AD39" i="5"/>
  <c r="BF39" i="5"/>
  <c r="AE39" i="5"/>
  <c r="AE496" i="5"/>
  <c r="AD496" i="5"/>
  <c r="BF496" i="5"/>
  <c r="AD517" i="5"/>
  <c r="AE517" i="5"/>
  <c r="BF517" i="5"/>
  <c r="BK372" i="5"/>
  <c r="BJ372" i="5"/>
  <c r="AO39" i="4"/>
  <c r="AU39" i="4" s="1"/>
  <c r="AW39" i="4" s="1"/>
  <c r="BK452" i="5"/>
  <c r="BJ452" i="5"/>
  <c r="AO75" i="4"/>
  <c r="BF525" i="5"/>
  <c r="AE525" i="5"/>
  <c r="AD525" i="5"/>
  <c r="AO153" i="4"/>
  <c r="AU153" i="4" s="1"/>
  <c r="AW153" i="4" s="1"/>
  <c r="AO126" i="4"/>
  <c r="AO156" i="4"/>
  <c r="AO154" i="4"/>
  <c r="AU154" i="4" s="1"/>
  <c r="AW154" i="4" s="1"/>
  <c r="AD170" i="5"/>
  <c r="BF170" i="5"/>
  <c r="AE170" i="5"/>
  <c r="AO131" i="4"/>
  <c r="AU131" i="4" s="1"/>
  <c r="AW131" i="4" s="1"/>
  <c r="AO83" i="4"/>
  <c r="AU83" i="4" s="1"/>
  <c r="AW83" i="4" s="1"/>
  <c r="BK500" i="5"/>
  <c r="BJ500" i="5"/>
  <c r="AO33" i="4"/>
  <c r="AU33" i="4" s="1"/>
  <c r="AW33" i="4" s="1"/>
  <c r="AX11" i="5"/>
  <c r="AY11" i="5"/>
  <c r="AU11" i="5"/>
  <c r="BC11" i="5"/>
  <c r="AV11" i="5"/>
  <c r="AO43" i="4"/>
  <c r="AU43" i="4" s="1"/>
  <c r="AW43" i="4" s="1"/>
  <c r="AO119" i="4"/>
  <c r="AU119" i="4" s="1"/>
  <c r="AW119" i="4" s="1"/>
  <c r="BJ504" i="5"/>
  <c r="BK504" i="5"/>
  <c r="AO28" i="4"/>
  <c r="AU28" i="4" s="1"/>
  <c r="AW28" i="4" s="1"/>
  <c r="AU140" i="4" l="1"/>
  <c r="AW140" i="4" s="1"/>
  <c r="AU21" i="4"/>
  <c r="AW21" i="4" s="1"/>
  <c r="AU19" i="4"/>
  <c r="AW19" i="4" s="1"/>
  <c r="AU127" i="4"/>
  <c r="AW127" i="4" s="1"/>
  <c r="AU114" i="4"/>
  <c r="AW114" i="4" s="1"/>
  <c r="AU32" i="4"/>
  <c r="AW32" i="4" s="1"/>
  <c r="AU54" i="4"/>
  <c r="AW54" i="4" s="1"/>
  <c r="AU29" i="4"/>
  <c r="AW29" i="4" s="1"/>
  <c r="BG418" i="5"/>
  <c r="BL418" i="5" s="1"/>
  <c r="AU126" i="4"/>
  <c r="AW126" i="4" s="1"/>
  <c r="AO76" i="4"/>
  <c r="AU76" i="4" s="1"/>
  <c r="AW76" i="4" s="1"/>
  <c r="AU35" i="4"/>
  <c r="AW35" i="4" s="1"/>
  <c r="AU149" i="4"/>
  <c r="AW149" i="4" s="1"/>
  <c r="AU142" i="4"/>
  <c r="AW142" i="4" s="1"/>
  <c r="AU151" i="4"/>
  <c r="AW151" i="4" s="1"/>
  <c r="AO108" i="4"/>
  <c r="AU108" i="4" s="1"/>
  <c r="AW108" i="4" s="1"/>
  <c r="AU148" i="4"/>
  <c r="AW148" i="4" s="1"/>
  <c r="AU11" i="4"/>
  <c r="AW11" i="4" s="1"/>
  <c r="AU75" i="4"/>
  <c r="AW75" i="4" s="1"/>
  <c r="AO90" i="4"/>
  <c r="AU30" i="4"/>
  <c r="AW30" i="4" s="1"/>
  <c r="AU26" i="4"/>
  <c r="AW26" i="4" s="1"/>
  <c r="AP31" i="4"/>
  <c r="AQ31" i="4"/>
  <c r="AC31" i="4"/>
  <c r="AD31" i="4" s="1"/>
  <c r="AU117" i="4"/>
  <c r="AW117" i="4" s="1"/>
  <c r="AU14" i="4"/>
  <c r="AW14" i="4" s="1"/>
  <c r="AU134" i="4"/>
  <c r="AW134" i="4" s="1"/>
  <c r="AU105" i="4"/>
  <c r="AW105" i="4" s="1"/>
  <c r="AU155" i="4"/>
  <c r="AW155" i="4" s="1"/>
  <c r="AU62" i="4"/>
  <c r="AW62" i="4" s="1"/>
  <c r="AU141" i="4"/>
  <c r="AW141" i="4" s="1"/>
  <c r="AU13" i="4"/>
  <c r="AW13" i="4" s="1"/>
  <c r="AU90" i="4"/>
  <c r="AW90" i="4" s="1"/>
  <c r="AO124" i="4"/>
  <c r="AU124" i="4" s="1"/>
  <c r="AW124" i="4" s="1"/>
  <c r="AU10" i="4"/>
  <c r="AW10" i="4" s="1"/>
  <c r="AU129" i="4"/>
  <c r="AW129" i="4" s="1"/>
  <c r="AU106" i="4"/>
  <c r="AW106" i="4" s="1"/>
  <c r="AU63" i="4"/>
  <c r="AW63" i="4" s="1"/>
  <c r="AU110" i="4"/>
  <c r="AW110" i="4" s="1"/>
  <c r="AU61" i="4"/>
  <c r="AW61" i="4" s="1"/>
  <c r="AU133" i="4"/>
  <c r="AW133" i="4" s="1"/>
  <c r="AO94" i="4"/>
  <c r="AU94" i="4" s="1"/>
  <c r="AW94" i="4" s="1"/>
  <c r="AO101" i="4"/>
  <c r="AU101" i="4" s="1"/>
  <c r="AW101" i="4" s="1"/>
  <c r="AU122" i="4"/>
  <c r="AW122" i="4" s="1"/>
  <c r="AU74" i="4"/>
  <c r="AW74" i="4" s="1"/>
  <c r="AU152" i="4"/>
  <c r="AW152" i="4" s="1"/>
  <c r="AU109" i="4"/>
  <c r="AW109" i="4" s="1"/>
  <c r="AU97" i="4"/>
  <c r="AW97" i="4" s="1"/>
  <c r="AU118" i="4"/>
  <c r="AW118" i="4" s="1"/>
  <c r="AU69" i="4"/>
  <c r="AW69" i="4" s="1"/>
  <c r="AU93" i="4"/>
  <c r="AW93" i="4" s="1"/>
  <c r="AU144" i="4"/>
  <c r="AW144" i="4" s="1"/>
  <c r="AU112" i="4"/>
  <c r="AW112" i="4" s="1"/>
  <c r="AU25" i="4"/>
  <c r="AW25" i="4" s="1"/>
  <c r="AU24" i="4"/>
  <c r="AW24" i="4" s="1"/>
  <c r="AU12" i="4"/>
  <c r="AW12" i="4" s="1"/>
  <c r="AD11" i="5"/>
  <c r="AU135" i="4"/>
  <c r="AW135" i="4" s="1"/>
  <c r="AU18" i="4"/>
  <c r="AW18" i="4" s="1"/>
  <c r="AU125" i="4"/>
  <c r="AW125" i="4" s="1"/>
  <c r="AU95" i="4"/>
  <c r="AW95" i="4" s="1"/>
  <c r="AU22" i="4"/>
  <c r="AW22" i="4" s="1"/>
  <c r="AU92" i="4"/>
  <c r="AW92" i="4" s="1"/>
  <c r="AU136" i="4"/>
  <c r="AW136" i="4" s="1"/>
  <c r="AU16" i="4"/>
  <c r="AW16" i="4" s="1"/>
  <c r="AU156" i="4"/>
  <c r="AW156" i="4" s="1"/>
  <c r="AU89" i="4"/>
  <c r="AW89" i="4" s="1"/>
  <c r="AU113" i="4"/>
  <c r="AW113" i="4" s="1"/>
  <c r="AO59" i="4"/>
  <c r="AU59" i="4" s="1"/>
  <c r="AW59" i="4" s="1"/>
  <c r="AU20" i="4"/>
  <c r="AW20" i="4" s="1"/>
  <c r="AO137" i="4"/>
  <c r="AU137" i="4" s="1"/>
  <c r="AW137" i="4" s="1"/>
  <c r="AU60" i="4"/>
  <c r="AW60" i="4" s="1"/>
  <c r="AU8" i="4"/>
  <c r="AW8" i="4" s="1"/>
  <c r="AU57" i="4"/>
  <c r="AW57" i="4" s="1"/>
  <c r="AU102" i="4"/>
  <c r="AW102" i="4" s="1"/>
  <c r="AU81" i="4"/>
  <c r="AW81" i="4" s="1"/>
  <c r="AU79" i="4"/>
  <c r="AW79" i="4" s="1"/>
  <c r="AU82" i="4"/>
  <c r="AW82" i="4" s="1"/>
  <c r="AO66" i="4"/>
  <c r="AU66" i="4" s="1"/>
  <c r="AW66" i="4" s="1"/>
  <c r="AU98" i="4"/>
  <c r="AW98" i="4" s="1"/>
  <c r="AU128" i="4"/>
  <c r="AW128" i="4" s="1"/>
  <c r="AU67" i="4"/>
  <c r="AW67" i="4" s="1"/>
  <c r="AU143" i="4"/>
  <c r="AW143" i="4" s="1"/>
  <c r="AU77" i="4"/>
  <c r="AW77" i="4" s="1"/>
  <c r="AU116" i="4"/>
  <c r="AW116" i="4" s="1"/>
  <c r="AU111" i="4"/>
  <c r="AW111" i="4" s="1"/>
  <c r="AU23" i="4"/>
  <c r="AW23" i="4" s="1"/>
  <c r="AU7" i="4"/>
  <c r="AW7" i="4" s="1"/>
  <c r="AU121" i="4"/>
  <c r="AW121" i="4" s="1"/>
  <c r="AU15" i="4"/>
  <c r="AW15" i="4" s="1"/>
  <c r="AU9" i="4"/>
  <c r="AW9" i="4" s="1"/>
  <c r="AU96" i="4"/>
  <c r="AW96" i="4" s="1"/>
  <c r="AU65" i="4"/>
  <c r="AW65" i="4" s="1"/>
  <c r="BH170" i="5"/>
  <c r="BM170" i="5" s="1"/>
  <c r="BG170" i="5"/>
  <c r="BL170" i="5" s="1"/>
  <c r="BH237" i="5"/>
  <c r="BM237" i="5" s="1"/>
  <c r="BG237" i="5"/>
  <c r="BL237" i="5" s="1"/>
  <c r="BH262" i="5"/>
  <c r="BM262" i="5" s="1"/>
  <c r="BG262" i="5"/>
  <c r="BL262" i="5" s="1"/>
  <c r="BG500" i="5"/>
  <c r="BL500" i="5" s="1"/>
  <c r="BH500" i="5"/>
  <c r="BM500" i="5" s="1"/>
  <c r="BG244" i="5"/>
  <c r="BL244" i="5" s="1"/>
  <c r="BH244" i="5"/>
  <c r="BM244" i="5" s="1"/>
  <c r="BG241" i="5"/>
  <c r="BL241" i="5" s="1"/>
  <c r="BH241" i="5"/>
  <c r="BM241" i="5" s="1"/>
  <c r="BG211" i="5"/>
  <c r="BL211" i="5" s="1"/>
  <c r="BH211" i="5"/>
  <c r="BM211" i="5" s="1"/>
  <c r="BG151" i="5"/>
  <c r="BL151" i="5" s="1"/>
  <c r="BH151" i="5"/>
  <c r="BM151" i="5" s="1"/>
  <c r="BG67" i="5"/>
  <c r="BL67" i="5" s="1"/>
  <c r="BH67" i="5"/>
  <c r="BM67" i="5" s="1"/>
  <c r="BG166" i="5"/>
  <c r="BL166" i="5" s="1"/>
  <c r="BH166" i="5"/>
  <c r="BM166" i="5" s="1"/>
  <c r="BG233" i="5"/>
  <c r="BL233" i="5" s="1"/>
  <c r="BH233" i="5"/>
  <c r="BM233" i="5" s="1"/>
  <c r="BG127" i="5"/>
  <c r="BL127" i="5" s="1"/>
  <c r="BH127" i="5"/>
  <c r="BM127" i="5" s="1"/>
  <c r="BH86" i="5"/>
  <c r="BM86" i="5" s="1"/>
  <c r="BG86" i="5"/>
  <c r="BL86" i="5" s="1"/>
  <c r="BH434" i="5"/>
  <c r="BM434" i="5" s="1"/>
  <c r="BG434" i="5"/>
  <c r="BL434" i="5" s="1"/>
  <c r="BG222" i="5"/>
  <c r="BL222" i="5" s="1"/>
  <c r="BH222" i="5"/>
  <c r="BM222" i="5" s="1"/>
  <c r="BG411" i="5"/>
  <c r="BL411" i="5" s="1"/>
  <c r="BH411" i="5"/>
  <c r="BM411" i="5" s="1"/>
  <c r="BG401" i="5"/>
  <c r="BL401" i="5" s="1"/>
  <c r="BH401" i="5"/>
  <c r="BM401" i="5" s="1"/>
  <c r="BH440" i="5"/>
  <c r="BM440" i="5" s="1"/>
  <c r="BG440" i="5"/>
  <c r="BL440" i="5" s="1"/>
  <c r="BG443" i="5"/>
  <c r="BL443" i="5" s="1"/>
  <c r="BH443" i="5"/>
  <c r="BM443" i="5" s="1"/>
  <c r="BH313" i="5"/>
  <c r="BM313" i="5" s="1"/>
  <c r="BG313" i="5"/>
  <c r="BL313" i="5" s="1"/>
  <c r="BG224" i="5"/>
  <c r="BL224" i="5" s="1"/>
  <c r="BH224" i="5"/>
  <c r="BM224" i="5" s="1"/>
  <c r="BG24" i="5"/>
  <c r="BL24" i="5" s="1"/>
  <c r="BH24" i="5"/>
  <c r="BM24" i="5" s="1"/>
  <c r="BG131" i="5"/>
  <c r="BL131" i="5" s="1"/>
  <c r="BH131" i="5"/>
  <c r="BM131" i="5" s="1"/>
  <c r="BH108" i="5"/>
  <c r="BM108" i="5" s="1"/>
  <c r="BG108" i="5"/>
  <c r="BL108" i="5" s="1"/>
  <c r="BH84" i="5"/>
  <c r="BM84" i="5" s="1"/>
  <c r="BG84" i="5"/>
  <c r="BL84" i="5" s="1"/>
  <c r="BG30" i="5"/>
  <c r="BL30" i="5" s="1"/>
  <c r="BH30" i="5"/>
  <c r="BM30" i="5" s="1"/>
  <c r="BH451" i="5"/>
  <c r="BM451" i="5" s="1"/>
  <c r="BG451" i="5"/>
  <c r="BL451" i="5" s="1"/>
  <c r="BH123" i="5"/>
  <c r="BM123" i="5" s="1"/>
  <c r="BG123" i="5"/>
  <c r="BL123" i="5" s="1"/>
  <c r="BH350" i="5"/>
  <c r="BM350" i="5" s="1"/>
  <c r="BG350" i="5"/>
  <c r="BL350" i="5" s="1"/>
  <c r="BH444" i="5"/>
  <c r="BM444" i="5" s="1"/>
  <c r="BG444" i="5"/>
  <c r="BL444" i="5" s="1"/>
  <c r="BG306" i="5"/>
  <c r="BL306" i="5" s="1"/>
  <c r="BH306" i="5"/>
  <c r="BM306" i="5" s="1"/>
  <c r="BH530" i="5"/>
  <c r="BM530" i="5" s="1"/>
  <c r="BG530" i="5"/>
  <c r="BL530" i="5" s="1"/>
  <c r="BH155" i="5"/>
  <c r="BM155" i="5" s="1"/>
  <c r="BG155" i="5"/>
  <c r="BL155" i="5" s="1"/>
  <c r="BH323" i="5"/>
  <c r="BM323" i="5" s="1"/>
  <c r="BG323" i="5"/>
  <c r="BL323" i="5" s="1"/>
  <c r="BH346" i="5"/>
  <c r="BM346" i="5" s="1"/>
  <c r="BG346" i="5"/>
  <c r="BL346" i="5" s="1"/>
  <c r="BG301" i="5"/>
  <c r="BL301" i="5" s="1"/>
  <c r="BH301" i="5"/>
  <c r="BM301" i="5" s="1"/>
  <c r="BG458" i="5"/>
  <c r="BL458" i="5" s="1"/>
  <c r="BH458" i="5"/>
  <c r="BM458" i="5" s="1"/>
  <c r="BH181" i="5"/>
  <c r="BM181" i="5" s="1"/>
  <c r="BG181" i="5"/>
  <c r="BL181" i="5" s="1"/>
  <c r="BG198" i="5"/>
  <c r="BL198" i="5" s="1"/>
  <c r="BH198" i="5"/>
  <c r="BM198" i="5" s="1"/>
  <c r="BH89" i="5"/>
  <c r="BM89" i="5" s="1"/>
  <c r="BG89" i="5"/>
  <c r="BL89" i="5" s="1"/>
  <c r="BG177" i="5"/>
  <c r="BL177" i="5" s="1"/>
  <c r="BH177" i="5"/>
  <c r="BM177" i="5" s="1"/>
  <c r="BG427" i="5"/>
  <c r="BL427" i="5" s="1"/>
  <c r="BH427" i="5"/>
  <c r="BM427" i="5" s="1"/>
  <c r="BG539" i="5"/>
  <c r="BL539" i="5" s="1"/>
  <c r="BH539" i="5"/>
  <c r="BM539" i="5" s="1"/>
  <c r="BG450" i="5"/>
  <c r="BL450" i="5" s="1"/>
  <c r="BH450" i="5"/>
  <c r="BM450" i="5" s="1"/>
  <c r="BH120" i="5"/>
  <c r="BM120" i="5" s="1"/>
  <c r="BG120" i="5"/>
  <c r="BL120" i="5" s="1"/>
  <c r="BH488" i="5"/>
  <c r="BM488" i="5" s="1"/>
  <c r="BG488" i="5"/>
  <c r="BL488" i="5" s="1"/>
  <c r="BG234" i="5"/>
  <c r="BL234" i="5" s="1"/>
  <c r="BH234" i="5"/>
  <c r="BM234" i="5" s="1"/>
  <c r="BH558" i="5"/>
  <c r="BM558" i="5" s="1"/>
  <c r="BG558" i="5"/>
  <c r="BL558" i="5" s="1"/>
  <c r="BH238" i="5"/>
  <c r="BM238" i="5" s="1"/>
  <c r="BG238" i="5"/>
  <c r="BL238" i="5" s="1"/>
  <c r="BH461" i="5"/>
  <c r="BM461" i="5" s="1"/>
  <c r="BG461" i="5"/>
  <c r="BL461" i="5" s="1"/>
  <c r="BH190" i="5"/>
  <c r="BM190" i="5" s="1"/>
  <c r="BG190" i="5"/>
  <c r="BL190" i="5" s="1"/>
  <c r="BH118" i="5"/>
  <c r="BM118" i="5" s="1"/>
  <c r="BG118" i="5"/>
  <c r="BL118" i="5" s="1"/>
  <c r="BH397" i="5"/>
  <c r="BM397" i="5" s="1"/>
  <c r="BG397" i="5"/>
  <c r="BL397" i="5" s="1"/>
  <c r="BH22" i="5"/>
  <c r="BM22" i="5" s="1"/>
  <c r="BG22" i="5"/>
  <c r="BL22" i="5" s="1"/>
  <c r="BG269" i="5"/>
  <c r="BL269" i="5" s="1"/>
  <c r="BH269" i="5"/>
  <c r="BM269" i="5" s="1"/>
  <c r="BH320" i="5"/>
  <c r="BM320" i="5" s="1"/>
  <c r="BG320" i="5"/>
  <c r="BL320" i="5" s="1"/>
  <c r="BG132" i="5"/>
  <c r="BL132" i="5" s="1"/>
  <c r="BH132" i="5"/>
  <c r="BM132" i="5" s="1"/>
  <c r="BG214" i="5"/>
  <c r="BL214" i="5" s="1"/>
  <c r="BH214" i="5"/>
  <c r="BM214" i="5" s="1"/>
  <c r="BG125" i="5"/>
  <c r="BL125" i="5" s="1"/>
  <c r="BH125" i="5"/>
  <c r="BM125" i="5" s="1"/>
  <c r="BG377" i="5"/>
  <c r="BL377" i="5" s="1"/>
  <c r="BH377" i="5"/>
  <c r="BM377" i="5" s="1"/>
  <c r="BG419" i="5"/>
  <c r="BL419" i="5" s="1"/>
  <c r="BH419" i="5"/>
  <c r="BM419" i="5" s="1"/>
  <c r="BH540" i="5"/>
  <c r="BM540" i="5" s="1"/>
  <c r="BG540" i="5"/>
  <c r="BL540" i="5" s="1"/>
  <c r="BG357" i="5"/>
  <c r="BL357" i="5" s="1"/>
  <c r="BH357" i="5"/>
  <c r="BM357" i="5" s="1"/>
  <c r="BH294" i="5"/>
  <c r="BM294" i="5" s="1"/>
  <c r="BG294" i="5"/>
  <c r="BL294" i="5" s="1"/>
  <c r="BG337" i="5"/>
  <c r="BL337" i="5" s="1"/>
  <c r="BH337" i="5"/>
  <c r="BM337" i="5" s="1"/>
  <c r="BH441" i="5"/>
  <c r="BM441" i="5" s="1"/>
  <c r="BG441" i="5"/>
  <c r="BL441" i="5" s="1"/>
  <c r="BH537" i="5"/>
  <c r="BM537" i="5" s="1"/>
  <c r="BG537" i="5"/>
  <c r="BL537" i="5" s="1"/>
  <c r="BG369" i="5"/>
  <c r="BL369" i="5" s="1"/>
  <c r="BH369" i="5"/>
  <c r="BM369" i="5" s="1"/>
  <c r="BH560" i="5"/>
  <c r="BM560" i="5" s="1"/>
  <c r="BG560" i="5"/>
  <c r="BL560" i="5" s="1"/>
  <c r="BG518" i="5"/>
  <c r="BL518" i="5" s="1"/>
  <c r="BH518" i="5"/>
  <c r="BM518" i="5" s="1"/>
  <c r="BG249" i="5"/>
  <c r="BL249" i="5" s="1"/>
  <c r="BH249" i="5"/>
  <c r="BM249" i="5" s="1"/>
  <c r="BH494" i="5"/>
  <c r="BM494" i="5" s="1"/>
  <c r="BG494" i="5"/>
  <c r="BL494" i="5" s="1"/>
  <c r="BH239" i="5"/>
  <c r="BM239" i="5" s="1"/>
  <c r="BG239" i="5"/>
  <c r="BL239" i="5" s="1"/>
  <c r="BH398" i="5"/>
  <c r="BM398" i="5" s="1"/>
  <c r="BG398" i="5"/>
  <c r="BL398" i="5" s="1"/>
  <c r="BG340" i="5"/>
  <c r="BL340" i="5" s="1"/>
  <c r="BH340" i="5"/>
  <c r="BM340" i="5" s="1"/>
  <c r="BG365" i="5"/>
  <c r="BL365" i="5" s="1"/>
  <c r="BH365" i="5"/>
  <c r="BM365" i="5" s="1"/>
  <c r="BH263" i="5"/>
  <c r="BM263" i="5" s="1"/>
  <c r="BG263" i="5"/>
  <c r="BL263" i="5" s="1"/>
  <c r="BG285" i="5"/>
  <c r="BL285" i="5" s="1"/>
  <c r="BH285" i="5"/>
  <c r="BM285" i="5" s="1"/>
  <c r="BH476" i="5"/>
  <c r="BM476" i="5" s="1"/>
  <c r="BG476" i="5"/>
  <c r="BL476" i="5" s="1"/>
  <c r="BG307" i="5"/>
  <c r="BL307" i="5" s="1"/>
  <c r="BH307" i="5"/>
  <c r="BM307" i="5" s="1"/>
  <c r="BG435" i="5"/>
  <c r="BL435" i="5" s="1"/>
  <c r="BH435" i="5"/>
  <c r="BM435" i="5" s="1"/>
  <c r="BG171" i="5"/>
  <c r="BL171" i="5" s="1"/>
  <c r="BH171" i="5"/>
  <c r="BM171" i="5" s="1"/>
  <c r="BH557" i="5"/>
  <c r="BM557" i="5" s="1"/>
  <c r="BG557" i="5"/>
  <c r="BL557" i="5" s="1"/>
  <c r="BG420" i="5"/>
  <c r="BL420" i="5" s="1"/>
  <c r="BH420" i="5"/>
  <c r="BM420" i="5" s="1"/>
  <c r="BG425" i="5"/>
  <c r="BL425" i="5" s="1"/>
  <c r="BH425" i="5"/>
  <c r="BM425" i="5" s="1"/>
  <c r="BG220" i="5"/>
  <c r="BL220" i="5" s="1"/>
  <c r="BH220" i="5"/>
  <c r="BM220" i="5" s="1"/>
  <c r="BG41" i="5"/>
  <c r="BL41" i="5" s="1"/>
  <c r="BH41" i="5"/>
  <c r="BM41" i="5" s="1"/>
  <c r="BG556" i="5"/>
  <c r="BL556" i="5" s="1"/>
  <c r="BH556" i="5"/>
  <c r="BM556" i="5" s="1"/>
  <c r="BG284" i="5"/>
  <c r="BL284" i="5" s="1"/>
  <c r="BH284" i="5"/>
  <c r="BM284" i="5" s="1"/>
  <c r="BH63" i="5"/>
  <c r="BM63" i="5" s="1"/>
  <c r="BG63" i="5"/>
  <c r="BL63" i="5" s="1"/>
  <c r="BG366" i="5"/>
  <c r="BL366" i="5" s="1"/>
  <c r="BH366" i="5"/>
  <c r="BM366" i="5" s="1"/>
  <c r="BG327" i="5"/>
  <c r="BL327" i="5" s="1"/>
  <c r="BH327" i="5"/>
  <c r="BM327" i="5" s="1"/>
  <c r="BH72" i="5"/>
  <c r="BM72" i="5" s="1"/>
  <c r="BG72" i="5"/>
  <c r="BL72" i="5" s="1"/>
  <c r="BG160" i="5"/>
  <c r="BL160" i="5" s="1"/>
  <c r="BH160" i="5"/>
  <c r="BM160" i="5" s="1"/>
  <c r="BH524" i="5"/>
  <c r="BM524" i="5" s="1"/>
  <c r="BG524" i="5"/>
  <c r="BL524" i="5" s="1"/>
  <c r="BH135" i="5"/>
  <c r="BM135" i="5" s="1"/>
  <c r="BG135" i="5"/>
  <c r="BL135" i="5" s="1"/>
  <c r="BG312" i="5"/>
  <c r="BL312" i="5" s="1"/>
  <c r="BH312" i="5"/>
  <c r="BM312" i="5" s="1"/>
  <c r="BH102" i="5"/>
  <c r="BM102" i="5" s="1"/>
  <c r="BG102" i="5"/>
  <c r="BL102" i="5" s="1"/>
  <c r="BH467" i="5"/>
  <c r="BM467" i="5" s="1"/>
  <c r="BG467" i="5"/>
  <c r="BL467" i="5" s="1"/>
  <c r="BH464" i="5"/>
  <c r="BM464" i="5" s="1"/>
  <c r="BG464" i="5"/>
  <c r="BL464" i="5" s="1"/>
  <c r="BH387" i="5"/>
  <c r="BM387" i="5" s="1"/>
  <c r="BG387" i="5"/>
  <c r="BL387" i="5" s="1"/>
  <c r="BG116" i="5"/>
  <c r="BL116" i="5" s="1"/>
  <c r="BH116" i="5"/>
  <c r="BM116" i="5" s="1"/>
  <c r="BH528" i="5"/>
  <c r="BM528" i="5" s="1"/>
  <c r="BG528" i="5"/>
  <c r="BL528" i="5" s="1"/>
  <c r="BH300" i="5"/>
  <c r="BM300" i="5" s="1"/>
  <c r="BG300" i="5"/>
  <c r="BL300" i="5" s="1"/>
  <c r="BG42" i="5"/>
  <c r="BL42" i="5" s="1"/>
  <c r="BH42" i="5"/>
  <c r="BM42" i="5" s="1"/>
  <c r="BG242" i="5"/>
  <c r="BL242" i="5" s="1"/>
  <c r="BH242" i="5"/>
  <c r="BM242" i="5" s="1"/>
  <c r="BG447" i="5"/>
  <c r="BL447" i="5" s="1"/>
  <c r="BH447" i="5"/>
  <c r="BM447" i="5" s="1"/>
  <c r="BG35" i="5"/>
  <c r="BL35" i="5" s="1"/>
  <c r="BH35" i="5"/>
  <c r="BM35" i="5" s="1"/>
  <c r="BG188" i="5"/>
  <c r="BL188" i="5" s="1"/>
  <c r="BH188" i="5"/>
  <c r="BM188" i="5" s="1"/>
  <c r="BG219" i="5"/>
  <c r="BL219" i="5" s="1"/>
  <c r="BH219" i="5"/>
  <c r="BM219" i="5" s="1"/>
  <c r="BG54" i="5"/>
  <c r="BL54" i="5" s="1"/>
  <c r="BH54" i="5"/>
  <c r="BM54" i="5" s="1"/>
  <c r="BG481" i="5"/>
  <c r="BL481" i="5" s="1"/>
  <c r="BH481" i="5"/>
  <c r="BM481" i="5" s="1"/>
  <c r="BG538" i="5"/>
  <c r="BL538" i="5" s="1"/>
  <c r="BH538" i="5"/>
  <c r="BM538" i="5" s="1"/>
  <c r="BH370" i="5"/>
  <c r="BM370" i="5" s="1"/>
  <c r="BG370" i="5"/>
  <c r="BL370" i="5" s="1"/>
  <c r="BG144" i="5"/>
  <c r="BL144" i="5" s="1"/>
  <c r="BH144" i="5"/>
  <c r="BM144" i="5" s="1"/>
  <c r="BH413" i="5"/>
  <c r="BM413" i="5" s="1"/>
  <c r="BG413" i="5"/>
  <c r="BL413" i="5" s="1"/>
  <c r="BG456" i="5"/>
  <c r="BL456" i="5" s="1"/>
  <c r="BH456" i="5"/>
  <c r="BM456" i="5" s="1"/>
  <c r="BG48" i="5"/>
  <c r="BL48" i="5" s="1"/>
  <c r="BH48" i="5"/>
  <c r="BM48" i="5" s="1"/>
  <c r="BH493" i="5"/>
  <c r="BM493" i="5" s="1"/>
  <c r="BG493" i="5"/>
  <c r="BL493" i="5" s="1"/>
  <c r="BH388" i="5"/>
  <c r="BM388" i="5" s="1"/>
  <c r="BG388" i="5"/>
  <c r="BL388" i="5" s="1"/>
  <c r="BG295" i="5"/>
  <c r="BL295" i="5" s="1"/>
  <c r="BH295" i="5"/>
  <c r="BM295" i="5" s="1"/>
  <c r="BH253" i="5"/>
  <c r="BM253" i="5" s="1"/>
  <c r="BG253" i="5"/>
  <c r="BL253" i="5" s="1"/>
  <c r="BG544" i="5"/>
  <c r="BL544" i="5" s="1"/>
  <c r="BH544" i="5"/>
  <c r="BM544" i="5" s="1"/>
  <c r="BG210" i="5"/>
  <c r="BL210" i="5" s="1"/>
  <c r="BH210" i="5"/>
  <c r="BM210" i="5" s="1"/>
  <c r="BH232" i="5"/>
  <c r="BM232" i="5" s="1"/>
  <c r="BG232" i="5"/>
  <c r="BL232" i="5" s="1"/>
  <c r="BG318" i="5"/>
  <c r="BL318" i="5" s="1"/>
  <c r="BH318" i="5"/>
  <c r="BM318" i="5" s="1"/>
  <c r="BH516" i="5"/>
  <c r="BM516" i="5" s="1"/>
  <c r="BG516" i="5"/>
  <c r="BL516" i="5" s="1"/>
  <c r="BH20" i="5"/>
  <c r="BM20" i="5" s="1"/>
  <c r="BG20" i="5"/>
  <c r="BL20" i="5" s="1"/>
  <c r="BH182" i="5"/>
  <c r="BM182" i="5" s="1"/>
  <c r="BG182" i="5"/>
  <c r="BL182" i="5" s="1"/>
  <c r="BH470" i="5"/>
  <c r="BM470" i="5" s="1"/>
  <c r="BG470" i="5"/>
  <c r="BL470" i="5" s="1"/>
  <c r="BH383" i="5"/>
  <c r="BM383" i="5" s="1"/>
  <c r="BG383" i="5"/>
  <c r="BL383" i="5" s="1"/>
  <c r="BH479" i="5"/>
  <c r="BM479" i="5" s="1"/>
  <c r="BG479" i="5"/>
  <c r="BL479" i="5" s="1"/>
  <c r="BG297" i="5"/>
  <c r="BL297" i="5" s="1"/>
  <c r="BH297" i="5"/>
  <c r="BM297" i="5" s="1"/>
  <c r="BH103" i="5"/>
  <c r="BM103" i="5" s="1"/>
  <c r="BG103" i="5"/>
  <c r="BL103" i="5" s="1"/>
  <c r="BH361" i="5"/>
  <c r="BM361" i="5" s="1"/>
  <c r="BG361" i="5"/>
  <c r="BL361" i="5" s="1"/>
  <c r="BG52" i="5"/>
  <c r="BL52" i="5" s="1"/>
  <c r="BH52" i="5"/>
  <c r="BM52" i="5" s="1"/>
  <c r="BH436" i="5"/>
  <c r="BM436" i="5" s="1"/>
  <c r="BG436" i="5"/>
  <c r="BL436" i="5" s="1"/>
  <c r="BG197" i="5"/>
  <c r="BL197" i="5" s="1"/>
  <c r="BH197" i="5"/>
  <c r="BM197" i="5" s="1"/>
  <c r="BG101" i="5"/>
  <c r="BL101" i="5" s="1"/>
  <c r="BH101" i="5"/>
  <c r="BM101" i="5" s="1"/>
  <c r="BG496" i="5"/>
  <c r="BL496" i="5" s="1"/>
  <c r="BH496" i="5"/>
  <c r="BM496" i="5" s="1"/>
  <c r="BG159" i="5"/>
  <c r="BL159" i="5" s="1"/>
  <c r="BH159" i="5"/>
  <c r="BM159" i="5" s="1"/>
  <c r="BG339" i="5"/>
  <c r="BL339" i="5" s="1"/>
  <c r="BH339" i="5"/>
  <c r="BM339" i="5" s="1"/>
  <c r="BG328" i="5"/>
  <c r="BL328" i="5" s="1"/>
  <c r="BH328" i="5"/>
  <c r="BM328" i="5" s="1"/>
  <c r="BD11" i="5"/>
  <c r="BE11" i="5"/>
  <c r="BG310" i="5"/>
  <c r="BL310" i="5" s="1"/>
  <c r="BH310" i="5"/>
  <c r="BM310" i="5" s="1"/>
  <c r="BG189" i="5"/>
  <c r="BL189" i="5" s="1"/>
  <c r="BH189" i="5"/>
  <c r="BM189" i="5" s="1"/>
  <c r="BG548" i="5"/>
  <c r="BL548" i="5" s="1"/>
  <c r="BH548" i="5"/>
  <c r="BM548" i="5" s="1"/>
  <c r="BG359" i="5"/>
  <c r="BL359" i="5" s="1"/>
  <c r="BH359" i="5"/>
  <c r="BM359" i="5" s="1"/>
  <c r="BG394" i="5"/>
  <c r="BL394" i="5" s="1"/>
  <c r="BH394" i="5"/>
  <c r="BM394" i="5" s="1"/>
  <c r="BG472" i="5"/>
  <c r="BL472" i="5" s="1"/>
  <c r="BH472" i="5"/>
  <c r="BM472" i="5" s="1"/>
  <c r="BG25" i="5"/>
  <c r="BL25" i="5" s="1"/>
  <c r="BH25" i="5"/>
  <c r="BM25" i="5" s="1"/>
  <c r="BG483" i="5"/>
  <c r="BL483" i="5" s="1"/>
  <c r="BH483" i="5"/>
  <c r="BM483" i="5" s="1"/>
  <c r="BH378" i="5"/>
  <c r="BM378" i="5" s="1"/>
  <c r="BG378" i="5"/>
  <c r="BL378" i="5" s="1"/>
  <c r="BH474" i="5"/>
  <c r="BM474" i="5" s="1"/>
  <c r="BG474" i="5"/>
  <c r="BL474" i="5" s="1"/>
  <c r="BH83" i="5"/>
  <c r="BM83" i="5" s="1"/>
  <c r="BG83" i="5"/>
  <c r="BL83" i="5" s="1"/>
  <c r="BH507" i="5"/>
  <c r="BM507" i="5" s="1"/>
  <c r="BG507" i="5"/>
  <c r="BL507" i="5" s="1"/>
  <c r="BG76" i="5"/>
  <c r="BL76" i="5" s="1"/>
  <c r="BH76" i="5"/>
  <c r="BM76" i="5" s="1"/>
  <c r="BH533" i="5"/>
  <c r="BM533" i="5" s="1"/>
  <c r="BG533" i="5"/>
  <c r="BL533" i="5" s="1"/>
  <c r="BG246" i="5"/>
  <c r="BL246" i="5" s="1"/>
  <c r="BH246" i="5"/>
  <c r="BM246" i="5" s="1"/>
  <c r="BG506" i="5"/>
  <c r="BL506" i="5" s="1"/>
  <c r="BH506" i="5"/>
  <c r="BM506" i="5" s="1"/>
  <c r="BG31" i="5"/>
  <c r="BL31" i="5" s="1"/>
  <c r="BH31" i="5"/>
  <c r="BM31" i="5" s="1"/>
  <c r="BG98" i="5"/>
  <c r="BL98" i="5" s="1"/>
  <c r="BH98" i="5"/>
  <c r="BM98" i="5" s="1"/>
  <c r="BG225" i="5"/>
  <c r="BL225" i="5" s="1"/>
  <c r="BH225" i="5"/>
  <c r="BM225" i="5" s="1"/>
  <c r="BH363" i="5"/>
  <c r="BM363" i="5" s="1"/>
  <c r="BG363" i="5"/>
  <c r="BL363" i="5" s="1"/>
  <c r="BH226" i="5"/>
  <c r="BM226" i="5" s="1"/>
  <c r="BG226" i="5"/>
  <c r="BL226" i="5" s="1"/>
  <c r="BG550" i="5"/>
  <c r="BL550" i="5" s="1"/>
  <c r="BH550" i="5"/>
  <c r="BM550" i="5" s="1"/>
  <c r="BH489" i="5"/>
  <c r="BM489" i="5" s="1"/>
  <c r="BG489" i="5"/>
  <c r="BL489" i="5" s="1"/>
  <c r="BH438" i="5"/>
  <c r="BM438" i="5" s="1"/>
  <c r="BG438" i="5"/>
  <c r="BL438" i="5" s="1"/>
  <c r="BH466" i="5"/>
  <c r="BM466" i="5" s="1"/>
  <c r="BG466" i="5"/>
  <c r="BL466" i="5" s="1"/>
  <c r="AQ11" i="5"/>
  <c r="BI11" i="5"/>
  <c r="AR11" i="5"/>
  <c r="BH527" i="5"/>
  <c r="BM527" i="5" s="1"/>
  <c r="BG527" i="5"/>
  <c r="BL527" i="5" s="1"/>
  <c r="BG302" i="5"/>
  <c r="BL302" i="5" s="1"/>
  <c r="BH302" i="5"/>
  <c r="BM302" i="5" s="1"/>
  <c r="BH78" i="5"/>
  <c r="BM78" i="5" s="1"/>
  <c r="BG78" i="5"/>
  <c r="BL78" i="5" s="1"/>
  <c r="BH82" i="5"/>
  <c r="BM82" i="5" s="1"/>
  <c r="BG82" i="5"/>
  <c r="BL82" i="5" s="1"/>
  <c r="BH353" i="5"/>
  <c r="BM353" i="5" s="1"/>
  <c r="BG353" i="5"/>
  <c r="BL353" i="5" s="1"/>
  <c r="BG209" i="5"/>
  <c r="BL209" i="5" s="1"/>
  <c r="BH209" i="5"/>
  <c r="BM209" i="5" s="1"/>
  <c r="BH19" i="5"/>
  <c r="BM19" i="5" s="1"/>
  <c r="BG19" i="5"/>
  <c r="BL19" i="5" s="1"/>
  <c r="BG374" i="5"/>
  <c r="BL374" i="5" s="1"/>
  <c r="BH374" i="5"/>
  <c r="BM374" i="5" s="1"/>
  <c r="BH105" i="5"/>
  <c r="BM105" i="5" s="1"/>
  <c r="BG105" i="5"/>
  <c r="BL105" i="5" s="1"/>
  <c r="BG303" i="5"/>
  <c r="BL303" i="5" s="1"/>
  <c r="BH303" i="5"/>
  <c r="BM303" i="5" s="1"/>
  <c r="BG47" i="5"/>
  <c r="BL47" i="5" s="1"/>
  <c r="BH47" i="5"/>
  <c r="BM47" i="5" s="1"/>
  <c r="BH322" i="5"/>
  <c r="BM322" i="5" s="1"/>
  <c r="BG322" i="5"/>
  <c r="BL322" i="5" s="1"/>
  <c r="BG258" i="5"/>
  <c r="BL258" i="5" s="1"/>
  <c r="BH258" i="5"/>
  <c r="BM258" i="5" s="1"/>
  <c r="BG270" i="5"/>
  <c r="BL270" i="5" s="1"/>
  <c r="BH270" i="5"/>
  <c r="BM270" i="5" s="1"/>
  <c r="BG176" i="5"/>
  <c r="BL176" i="5" s="1"/>
  <c r="BH176" i="5"/>
  <c r="BM176" i="5" s="1"/>
  <c r="BH508" i="5"/>
  <c r="BM508" i="5" s="1"/>
  <c r="BG508" i="5"/>
  <c r="BL508" i="5" s="1"/>
  <c r="BG414" i="5"/>
  <c r="BL414" i="5" s="1"/>
  <c r="BH414" i="5"/>
  <c r="BM414" i="5" s="1"/>
  <c r="BH230" i="5"/>
  <c r="BM230" i="5" s="1"/>
  <c r="BG230" i="5"/>
  <c r="BL230" i="5" s="1"/>
  <c r="BH509" i="5"/>
  <c r="BM509" i="5" s="1"/>
  <c r="BG509" i="5"/>
  <c r="BL509" i="5" s="1"/>
  <c r="BG292" i="5"/>
  <c r="BL292" i="5" s="1"/>
  <c r="BH292" i="5"/>
  <c r="BM292" i="5" s="1"/>
  <c r="BG446" i="5"/>
  <c r="BL446" i="5" s="1"/>
  <c r="BH446" i="5"/>
  <c r="BM446" i="5" s="1"/>
  <c r="BH422" i="5"/>
  <c r="BM422" i="5" s="1"/>
  <c r="BG422" i="5"/>
  <c r="BL422" i="5" s="1"/>
  <c r="BG43" i="5"/>
  <c r="BL43" i="5" s="1"/>
  <c r="BH43" i="5"/>
  <c r="BM43" i="5" s="1"/>
  <c r="BG91" i="5"/>
  <c r="BL91" i="5" s="1"/>
  <c r="BH91" i="5"/>
  <c r="BM91" i="5" s="1"/>
  <c r="BH37" i="5"/>
  <c r="BM37" i="5" s="1"/>
  <c r="BG37" i="5"/>
  <c r="BL37" i="5" s="1"/>
  <c r="BH248" i="5"/>
  <c r="BM248" i="5" s="1"/>
  <c r="BG248" i="5"/>
  <c r="BL248" i="5" s="1"/>
  <c r="BH529" i="5"/>
  <c r="BM529" i="5" s="1"/>
  <c r="BG529" i="5"/>
  <c r="BL529" i="5" s="1"/>
  <c r="BG354" i="5"/>
  <c r="BL354" i="5" s="1"/>
  <c r="BH354" i="5"/>
  <c r="BM354" i="5" s="1"/>
  <c r="BH255" i="5"/>
  <c r="BM255" i="5" s="1"/>
  <c r="BG255" i="5"/>
  <c r="BL255" i="5" s="1"/>
  <c r="BG121" i="5"/>
  <c r="BL121" i="5" s="1"/>
  <c r="BH121" i="5"/>
  <c r="BM121" i="5" s="1"/>
  <c r="BH124" i="5"/>
  <c r="BM124" i="5" s="1"/>
  <c r="BG124" i="5"/>
  <c r="BL124" i="5" s="1"/>
  <c r="BG402" i="5"/>
  <c r="BL402" i="5" s="1"/>
  <c r="BH402" i="5"/>
  <c r="BM402" i="5" s="1"/>
  <c r="BH324" i="5"/>
  <c r="BM324" i="5" s="1"/>
  <c r="BG324" i="5"/>
  <c r="BL324" i="5" s="1"/>
  <c r="BG283" i="5"/>
  <c r="BL283" i="5" s="1"/>
  <c r="BH283" i="5"/>
  <c r="BM283" i="5" s="1"/>
  <c r="BG251" i="5"/>
  <c r="BL251" i="5" s="1"/>
  <c r="BH251" i="5"/>
  <c r="BM251" i="5" s="1"/>
  <c r="BG291" i="5"/>
  <c r="BL291" i="5" s="1"/>
  <c r="BH291" i="5"/>
  <c r="BM291" i="5" s="1"/>
  <c r="BG343" i="5"/>
  <c r="BL343" i="5" s="1"/>
  <c r="BH343" i="5"/>
  <c r="BM343" i="5" s="1"/>
  <c r="BG65" i="5"/>
  <c r="BL65" i="5" s="1"/>
  <c r="BH65" i="5"/>
  <c r="BM65" i="5" s="1"/>
  <c r="BH331" i="5"/>
  <c r="BM331" i="5" s="1"/>
  <c r="BG331" i="5"/>
  <c r="BL331" i="5" s="1"/>
  <c r="BG316" i="5"/>
  <c r="BL316" i="5" s="1"/>
  <c r="BH316" i="5"/>
  <c r="BM316" i="5" s="1"/>
  <c r="BG522" i="5"/>
  <c r="BL522" i="5" s="1"/>
  <c r="BH522" i="5"/>
  <c r="BM522" i="5" s="1"/>
  <c r="BG70" i="5"/>
  <c r="BL70" i="5" s="1"/>
  <c r="BH70" i="5"/>
  <c r="BM70" i="5" s="1"/>
  <c r="BH12" i="5"/>
  <c r="BM12" i="5" s="1"/>
  <c r="BG12" i="5"/>
  <c r="BL12" i="5" s="1"/>
  <c r="BG186" i="5"/>
  <c r="BL186" i="5" s="1"/>
  <c r="BH186" i="5"/>
  <c r="BM186" i="5" s="1"/>
  <c r="BG66" i="5"/>
  <c r="BL66" i="5" s="1"/>
  <c r="BH66" i="5"/>
  <c r="BM66" i="5" s="1"/>
  <c r="BG325" i="5"/>
  <c r="BL325" i="5" s="1"/>
  <c r="BH325" i="5"/>
  <c r="BM325" i="5" s="1"/>
  <c r="BG268" i="5"/>
  <c r="BL268" i="5" s="1"/>
  <c r="BH268" i="5"/>
  <c r="BM268" i="5" s="1"/>
  <c r="BG217" i="5"/>
  <c r="BL217" i="5" s="1"/>
  <c r="BH217" i="5"/>
  <c r="BM217" i="5" s="1"/>
  <c r="BG430" i="5"/>
  <c r="BL430" i="5" s="1"/>
  <c r="BH430" i="5"/>
  <c r="BM430" i="5" s="1"/>
  <c r="BH410" i="5"/>
  <c r="BM410" i="5" s="1"/>
  <c r="BG410" i="5"/>
  <c r="BL410" i="5" s="1"/>
  <c r="BG534" i="5"/>
  <c r="BL534" i="5" s="1"/>
  <c r="BH534" i="5"/>
  <c r="BM534" i="5" s="1"/>
  <c r="BH202" i="5"/>
  <c r="BM202" i="5" s="1"/>
  <c r="BG202" i="5"/>
  <c r="BL202" i="5" s="1"/>
  <c r="BG498" i="5"/>
  <c r="BL498" i="5" s="1"/>
  <c r="BH498" i="5"/>
  <c r="BM498" i="5" s="1"/>
  <c r="BG40" i="5"/>
  <c r="BL40" i="5" s="1"/>
  <c r="BH40" i="5"/>
  <c r="BM40" i="5" s="1"/>
  <c r="BG109" i="5"/>
  <c r="BL109" i="5" s="1"/>
  <c r="BH109" i="5"/>
  <c r="BM109" i="5" s="1"/>
  <c r="BG504" i="5"/>
  <c r="BL504" i="5" s="1"/>
  <c r="BH504" i="5"/>
  <c r="BM504" i="5" s="1"/>
  <c r="BG256" i="5"/>
  <c r="BL256" i="5" s="1"/>
  <c r="BH256" i="5"/>
  <c r="BM256" i="5" s="1"/>
  <c r="BH172" i="5"/>
  <c r="BM172" i="5" s="1"/>
  <c r="BG172" i="5"/>
  <c r="BL172" i="5" s="1"/>
  <c r="BH348" i="5"/>
  <c r="BM348" i="5" s="1"/>
  <c r="BG348" i="5"/>
  <c r="BL348" i="5" s="1"/>
  <c r="BH218" i="5"/>
  <c r="BM218" i="5" s="1"/>
  <c r="BG218" i="5"/>
  <c r="BL218" i="5" s="1"/>
  <c r="BG392" i="5"/>
  <c r="BL392" i="5" s="1"/>
  <c r="BH392" i="5"/>
  <c r="BM392" i="5" s="1"/>
  <c r="BH250" i="5"/>
  <c r="BM250" i="5" s="1"/>
  <c r="BG250" i="5"/>
  <c r="BL250" i="5" s="1"/>
  <c r="BH321" i="5"/>
  <c r="BM321" i="5" s="1"/>
  <c r="BG321" i="5"/>
  <c r="BL321" i="5" s="1"/>
  <c r="BG168" i="5"/>
  <c r="BL168" i="5" s="1"/>
  <c r="BH168" i="5"/>
  <c r="BM168" i="5" s="1"/>
  <c r="BG477" i="5"/>
  <c r="BL477" i="5" s="1"/>
  <c r="BH477" i="5"/>
  <c r="BM477" i="5" s="1"/>
  <c r="BG231" i="5"/>
  <c r="BL231" i="5" s="1"/>
  <c r="BH231" i="5"/>
  <c r="BM231" i="5" s="1"/>
  <c r="BH482" i="5"/>
  <c r="BM482" i="5" s="1"/>
  <c r="BG482" i="5"/>
  <c r="BL482" i="5" s="1"/>
  <c r="BG429" i="5"/>
  <c r="BL429" i="5" s="1"/>
  <c r="BH429" i="5"/>
  <c r="BM429" i="5" s="1"/>
  <c r="BG254" i="5"/>
  <c r="BL254" i="5" s="1"/>
  <c r="BH254" i="5"/>
  <c r="BM254" i="5" s="1"/>
  <c r="BH92" i="5"/>
  <c r="BM92" i="5" s="1"/>
  <c r="BG92" i="5"/>
  <c r="BL92" i="5" s="1"/>
  <c r="BG228" i="5"/>
  <c r="BL228" i="5" s="1"/>
  <c r="BH228" i="5"/>
  <c r="BM228" i="5" s="1"/>
  <c r="BH173" i="5"/>
  <c r="BM173" i="5" s="1"/>
  <c r="BG173" i="5"/>
  <c r="BL173" i="5" s="1"/>
  <c r="BG288" i="5"/>
  <c r="BL288" i="5" s="1"/>
  <c r="BH288" i="5"/>
  <c r="BM288" i="5" s="1"/>
  <c r="BH128" i="5"/>
  <c r="BM128" i="5" s="1"/>
  <c r="BG128" i="5"/>
  <c r="BL128" i="5" s="1"/>
  <c r="BH207" i="5"/>
  <c r="BM207" i="5" s="1"/>
  <c r="BG207" i="5"/>
  <c r="BL207" i="5" s="1"/>
  <c r="BG279" i="5"/>
  <c r="BL279" i="5" s="1"/>
  <c r="BH279" i="5"/>
  <c r="BM279" i="5" s="1"/>
  <c r="BG437" i="5"/>
  <c r="BL437" i="5" s="1"/>
  <c r="BH437" i="5"/>
  <c r="BM437" i="5" s="1"/>
  <c r="BG334" i="5"/>
  <c r="BL334" i="5" s="1"/>
  <c r="BH334" i="5"/>
  <c r="BM334" i="5" s="1"/>
  <c r="BG552" i="5"/>
  <c r="BL552" i="5" s="1"/>
  <c r="BH552" i="5"/>
  <c r="BM552" i="5" s="1"/>
  <c r="BG104" i="5"/>
  <c r="BL104" i="5" s="1"/>
  <c r="BH104" i="5"/>
  <c r="BM104" i="5" s="1"/>
  <c r="BG531" i="5"/>
  <c r="BL531" i="5" s="1"/>
  <c r="BH531" i="5"/>
  <c r="BM531" i="5" s="1"/>
  <c r="BG38" i="5"/>
  <c r="BL38" i="5" s="1"/>
  <c r="BH38" i="5"/>
  <c r="BM38" i="5" s="1"/>
  <c r="BH97" i="5"/>
  <c r="BM97" i="5" s="1"/>
  <c r="BG97" i="5"/>
  <c r="BL97" i="5" s="1"/>
  <c r="BH96" i="5"/>
  <c r="BM96" i="5" s="1"/>
  <c r="BG96" i="5"/>
  <c r="BL96" i="5" s="1"/>
  <c r="BH26" i="5"/>
  <c r="BM26" i="5" s="1"/>
  <c r="BG26" i="5"/>
  <c r="BL26" i="5" s="1"/>
  <c r="BG183" i="5"/>
  <c r="BL183" i="5" s="1"/>
  <c r="BH183" i="5"/>
  <c r="BM183" i="5" s="1"/>
  <c r="BH559" i="5"/>
  <c r="BM559" i="5" s="1"/>
  <c r="BG559" i="5"/>
  <c r="BL559" i="5" s="1"/>
  <c r="BH39" i="5"/>
  <c r="BM39" i="5" s="1"/>
  <c r="BG39" i="5"/>
  <c r="BL39" i="5" s="1"/>
  <c r="BH517" i="5"/>
  <c r="BM517" i="5" s="1"/>
  <c r="BG517" i="5"/>
  <c r="BL517" i="5" s="1"/>
  <c r="BH99" i="5"/>
  <c r="BM99" i="5" s="1"/>
  <c r="BG99" i="5"/>
  <c r="BL99" i="5" s="1"/>
  <c r="BG525" i="5"/>
  <c r="BL525" i="5" s="1"/>
  <c r="BH525" i="5"/>
  <c r="BM525" i="5" s="1"/>
  <c r="BG59" i="5"/>
  <c r="BL59" i="5" s="1"/>
  <c r="BH59" i="5"/>
  <c r="BM59" i="5" s="1"/>
  <c r="BG169" i="5"/>
  <c r="BL169" i="5" s="1"/>
  <c r="BH169" i="5"/>
  <c r="BM169" i="5" s="1"/>
  <c r="BG146" i="5"/>
  <c r="BL146" i="5" s="1"/>
  <c r="BH146" i="5"/>
  <c r="BM146" i="5" s="1"/>
  <c r="BH274" i="5"/>
  <c r="BM274" i="5" s="1"/>
  <c r="BG274" i="5"/>
  <c r="BL274" i="5" s="1"/>
  <c r="BH523" i="5"/>
  <c r="BM523" i="5" s="1"/>
  <c r="BG523" i="5"/>
  <c r="BL523" i="5" s="1"/>
  <c r="BG229" i="5"/>
  <c r="BL229" i="5" s="1"/>
  <c r="BH229" i="5"/>
  <c r="BM229" i="5" s="1"/>
  <c r="BH495" i="5"/>
  <c r="BM495" i="5" s="1"/>
  <c r="BG495" i="5"/>
  <c r="BL495" i="5" s="1"/>
  <c r="BH329" i="5"/>
  <c r="BM329" i="5" s="1"/>
  <c r="BG329" i="5"/>
  <c r="BL329" i="5" s="1"/>
  <c r="BH554" i="5"/>
  <c r="BM554" i="5" s="1"/>
  <c r="BG554" i="5"/>
  <c r="BL554" i="5" s="1"/>
  <c r="BG75" i="5"/>
  <c r="BL75" i="5" s="1"/>
  <c r="BH75" i="5"/>
  <c r="BM75" i="5" s="1"/>
  <c r="BH546" i="5"/>
  <c r="BM546" i="5" s="1"/>
  <c r="BG546" i="5"/>
  <c r="BL546" i="5" s="1"/>
  <c r="BH484" i="5"/>
  <c r="BM484" i="5" s="1"/>
  <c r="BG484" i="5"/>
  <c r="BL484" i="5" s="1"/>
  <c r="BH174" i="5"/>
  <c r="BM174" i="5" s="1"/>
  <c r="BG174" i="5"/>
  <c r="BL174" i="5" s="1"/>
  <c r="BH471" i="5"/>
  <c r="BM471" i="5" s="1"/>
  <c r="BG471" i="5"/>
  <c r="BL471" i="5" s="1"/>
  <c r="BH199" i="5"/>
  <c r="BM199" i="5" s="1"/>
  <c r="BG199" i="5"/>
  <c r="BL199" i="5" s="1"/>
  <c r="BG433" i="5"/>
  <c r="BL433" i="5" s="1"/>
  <c r="BH433" i="5"/>
  <c r="BM433" i="5" s="1"/>
  <c r="BG333" i="5"/>
  <c r="BL333" i="5" s="1"/>
  <c r="BH333" i="5"/>
  <c r="BM333" i="5" s="1"/>
  <c r="BH95" i="5"/>
  <c r="BM95" i="5" s="1"/>
  <c r="BG95" i="5"/>
  <c r="BL95" i="5" s="1"/>
  <c r="BG51" i="5"/>
  <c r="BL51" i="5" s="1"/>
  <c r="BH51" i="5"/>
  <c r="BM51" i="5" s="1"/>
  <c r="BH161" i="5"/>
  <c r="BM161" i="5" s="1"/>
  <c r="BG161" i="5"/>
  <c r="BL161" i="5" s="1"/>
  <c r="BH240" i="5"/>
  <c r="BM240" i="5" s="1"/>
  <c r="BG240" i="5"/>
  <c r="BL240" i="5" s="1"/>
  <c r="BH492" i="5"/>
  <c r="BM492" i="5" s="1"/>
  <c r="BG492" i="5"/>
  <c r="BL492" i="5" s="1"/>
  <c r="BG403" i="5"/>
  <c r="BL403" i="5" s="1"/>
  <c r="BH403" i="5"/>
  <c r="BM403" i="5" s="1"/>
  <c r="BH475" i="5"/>
  <c r="BM475" i="5" s="1"/>
  <c r="BG475" i="5"/>
  <c r="BL475" i="5" s="1"/>
  <c r="BH213" i="5"/>
  <c r="BM213" i="5" s="1"/>
  <c r="BG213" i="5"/>
  <c r="BL213" i="5" s="1"/>
  <c r="BH49" i="5"/>
  <c r="BM49" i="5" s="1"/>
  <c r="BG49" i="5"/>
  <c r="BL49" i="5" s="1"/>
  <c r="BH281" i="5"/>
  <c r="BM281" i="5" s="1"/>
  <c r="BG281" i="5"/>
  <c r="BL281" i="5" s="1"/>
  <c r="BG382" i="5"/>
  <c r="BL382" i="5" s="1"/>
  <c r="BH382" i="5"/>
  <c r="BM382" i="5" s="1"/>
  <c r="BH257" i="5"/>
  <c r="BM257" i="5" s="1"/>
  <c r="BG257" i="5"/>
  <c r="BL257" i="5" s="1"/>
  <c r="BG390" i="5"/>
  <c r="BL390" i="5" s="1"/>
  <c r="BH390" i="5"/>
  <c r="BM390" i="5" s="1"/>
  <c r="BG463" i="5"/>
  <c r="BL463" i="5" s="1"/>
  <c r="BH463" i="5"/>
  <c r="BM463" i="5" s="1"/>
  <c r="BG379" i="5"/>
  <c r="BL379" i="5" s="1"/>
  <c r="BH379" i="5"/>
  <c r="BM379" i="5" s="1"/>
  <c r="BG276" i="5"/>
  <c r="BL276" i="5" s="1"/>
  <c r="BH276" i="5"/>
  <c r="BM276" i="5" s="1"/>
  <c r="BG13" i="5"/>
  <c r="BL13" i="5" s="1"/>
  <c r="BH13" i="5"/>
  <c r="BM13" i="5" s="1"/>
  <c r="BH442" i="5"/>
  <c r="BM442" i="5" s="1"/>
  <c r="BG442" i="5"/>
  <c r="BL442" i="5" s="1"/>
  <c r="BH149" i="5"/>
  <c r="BM149" i="5" s="1"/>
  <c r="BG149" i="5"/>
  <c r="BL149" i="5" s="1"/>
  <c r="BH34" i="5"/>
  <c r="BM34" i="5" s="1"/>
  <c r="BG34" i="5"/>
  <c r="BL34" i="5" s="1"/>
  <c r="BH129" i="5"/>
  <c r="BM129" i="5" s="1"/>
  <c r="BG129" i="5"/>
  <c r="BL129" i="5" s="1"/>
  <c r="BH386" i="5"/>
  <c r="BM386" i="5" s="1"/>
  <c r="BG386" i="5"/>
  <c r="BL386" i="5" s="1"/>
  <c r="BH404" i="5"/>
  <c r="BM404" i="5" s="1"/>
  <c r="BG404" i="5"/>
  <c r="BL404" i="5" s="1"/>
  <c r="BH192" i="5"/>
  <c r="BM192" i="5" s="1"/>
  <c r="BG192" i="5"/>
  <c r="BL192" i="5" s="1"/>
  <c r="BG196" i="5"/>
  <c r="BL196" i="5" s="1"/>
  <c r="BH196" i="5"/>
  <c r="BM196" i="5" s="1"/>
  <c r="BG536" i="5"/>
  <c r="BL536" i="5" s="1"/>
  <c r="BH536" i="5"/>
  <c r="BM536" i="5" s="1"/>
  <c r="BG305" i="5"/>
  <c r="BL305" i="5" s="1"/>
  <c r="BH305" i="5"/>
  <c r="BM305" i="5" s="1"/>
  <c r="BH223" i="5"/>
  <c r="BM223" i="5" s="1"/>
  <c r="BG223" i="5"/>
  <c r="BL223" i="5" s="1"/>
  <c r="BH33" i="5"/>
  <c r="BM33" i="5" s="1"/>
  <c r="BG33" i="5"/>
  <c r="BL33" i="5" s="1"/>
  <c r="BG87" i="5"/>
  <c r="BL87" i="5" s="1"/>
  <c r="BH87" i="5"/>
  <c r="BM87" i="5" s="1"/>
  <c r="BH341" i="5"/>
  <c r="BM341" i="5" s="1"/>
  <c r="BG341" i="5"/>
  <c r="BL341" i="5" s="1"/>
  <c r="BH133" i="5"/>
  <c r="BM133" i="5" s="1"/>
  <c r="BG133" i="5"/>
  <c r="BL133" i="5" s="1"/>
  <c r="BG356" i="5"/>
  <c r="BL356" i="5" s="1"/>
  <c r="BH356" i="5"/>
  <c r="BM356" i="5" s="1"/>
  <c r="BG371" i="5"/>
  <c r="BL371" i="5" s="1"/>
  <c r="BH371" i="5"/>
  <c r="BM371" i="5" s="1"/>
  <c r="BG460" i="5"/>
  <c r="BL460" i="5" s="1"/>
  <c r="BH460" i="5"/>
  <c r="BM460" i="5" s="1"/>
  <c r="BG395" i="5"/>
  <c r="BL395" i="5" s="1"/>
  <c r="BH395" i="5"/>
  <c r="BM395" i="5" s="1"/>
  <c r="BH407" i="5"/>
  <c r="BM407" i="5" s="1"/>
  <c r="BG407" i="5"/>
  <c r="BL407" i="5" s="1"/>
  <c r="BH505" i="5"/>
  <c r="BM505" i="5" s="1"/>
  <c r="BG505" i="5"/>
  <c r="BL505" i="5" s="1"/>
  <c r="BG393" i="5"/>
  <c r="BL393" i="5" s="1"/>
  <c r="BH393" i="5"/>
  <c r="BM393" i="5" s="1"/>
  <c r="BG352" i="5"/>
  <c r="BL352" i="5" s="1"/>
  <c r="BH352" i="5"/>
  <c r="BM352" i="5" s="1"/>
  <c r="BG282" i="5"/>
  <c r="BL282" i="5" s="1"/>
  <c r="BH282" i="5"/>
  <c r="BM282" i="5" s="1"/>
  <c r="BG145" i="5"/>
  <c r="BL145" i="5" s="1"/>
  <c r="BH145" i="5"/>
  <c r="BM145" i="5" s="1"/>
  <c r="BG126" i="5"/>
  <c r="BL126" i="5" s="1"/>
  <c r="BH126" i="5"/>
  <c r="BM126" i="5" s="1"/>
  <c r="BH85" i="5"/>
  <c r="BM85" i="5" s="1"/>
  <c r="BG85" i="5"/>
  <c r="BL85" i="5" s="1"/>
  <c r="BH311" i="5"/>
  <c r="BM311" i="5" s="1"/>
  <c r="BG311" i="5"/>
  <c r="BL311" i="5" s="1"/>
  <c r="BG58" i="5"/>
  <c r="BL58" i="5" s="1"/>
  <c r="BH58" i="5"/>
  <c r="BM58" i="5" s="1"/>
  <c r="BH423" i="5"/>
  <c r="BM423" i="5" s="1"/>
  <c r="BG423" i="5"/>
  <c r="BL423" i="5" s="1"/>
  <c r="BG71" i="5"/>
  <c r="BL71" i="5" s="1"/>
  <c r="BH71" i="5"/>
  <c r="BM71" i="5" s="1"/>
  <c r="BG553" i="5"/>
  <c r="BL553" i="5" s="1"/>
  <c r="BH553" i="5"/>
  <c r="BM553" i="5" s="1"/>
  <c r="BG221" i="5"/>
  <c r="BL221" i="5" s="1"/>
  <c r="BH221" i="5"/>
  <c r="BM221" i="5" s="1"/>
  <c r="BG278" i="5"/>
  <c r="BL278" i="5" s="1"/>
  <c r="BH278" i="5"/>
  <c r="BM278" i="5" s="1"/>
  <c r="BH376" i="5"/>
  <c r="BM376" i="5" s="1"/>
  <c r="BG376" i="5"/>
  <c r="BL376" i="5" s="1"/>
  <c r="BG499" i="5"/>
  <c r="BL499" i="5" s="1"/>
  <c r="BH499" i="5"/>
  <c r="BM499" i="5" s="1"/>
  <c r="BG408" i="5"/>
  <c r="BL408" i="5" s="1"/>
  <c r="BH408" i="5"/>
  <c r="BM408" i="5" s="1"/>
  <c r="BG373" i="5"/>
  <c r="BL373" i="5" s="1"/>
  <c r="BH373" i="5"/>
  <c r="BM373" i="5" s="1"/>
  <c r="BG119" i="5"/>
  <c r="BL119" i="5" s="1"/>
  <c r="BH119" i="5"/>
  <c r="BM119" i="5" s="1"/>
  <c r="BG272" i="5"/>
  <c r="BL272" i="5" s="1"/>
  <c r="BH272" i="5"/>
  <c r="BM272" i="5" s="1"/>
  <c r="BG64" i="5"/>
  <c r="BL64" i="5" s="1"/>
  <c r="BH64" i="5"/>
  <c r="BM64" i="5" s="1"/>
  <c r="BG180" i="5"/>
  <c r="BL180" i="5" s="1"/>
  <c r="BH180" i="5"/>
  <c r="BM180" i="5" s="1"/>
  <c r="BG179" i="5"/>
  <c r="BL179" i="5" s="1"/>
  <c r="BH179" i="5"/>
  <c r="BM179" i="5" s="1"/>
  <c r="BH216" i="5"/>
  <c r="BM216" i="5" s="1"/>
  <c r="BG216" i="5"/>
  <c r="BL216" i="5" s="1"/>
  <c r="BG23" i="5"/>
  <c r="BL23" i="5" s="1"/>
  <c r="BH23" i="5"/>
  <c r="BM23" i="5" s="1"/>
  <c r="BG267" i="5"/>
  <c r="BL267" i="5" s="1"/>
  <c r="BH267" i="5"/>
  <c r="BM267" i="5" s="1"/>
  <c r="BH449" i="5"/>
  <c r="BM449" i="5" s="1"/>
  <c r="BG449" i="5"/>
  <c r="BL449" i="5" s="1"/>
  <c r="BG457" i="5"/>
  <c r="BL457" i="5" s="1"/>
  <c r="BH457" i="5"/>
  <c r="BM457" i="5" s="1"/>
  <c r="BH162" i="5"/>
  <c r="BM162" i="5" s="1"/>
  <c r="BG162" i="5"/>
  <c r="BL162" i="5" s="1"/>
  <c r="BG473" i="5"/>
  <c r="BL473" i="5" s="1"/>
  <c r="BH473" i="5"/>
  <c r="BM473" i="5" s="1"/>
  <c r="BG421" i="5"/>
  <c r="BL421" i="5" s="1"/>
  <c r="BH421" i="5"/>
  <c r="BM421" i="5" s="1"/>
  <c r="BH415" i="5"/>
  <c r="BM415" i="5" s="1"/>
  <c r="BG415" i="5"/>
  <c r="BL415" i="5" s="1"/>
  <c r="BG280" i="5"/>
  <c r="BL280" i="5" s="1"/>
  <c r="BH280" i="5"/>
  <c r="BM280" i="5" s="1"/>
  <c r="BG490" i="5"/>
  <c r="BL490" i="5" s="1"/>
  <c r="BH490" i="5"/>
  <c r="BM490" i="5" s="1"/>
  <c r="BG480" i="5"/>
  <c r="BL480" i="5" s="1"/>
  <c r="BH480" i="5"/>
  <c r="BM480" i="5" s="1"/>
  <c r="BH156" i="5"/>
  <c r="BM156" i="5" s="1"/>
  <c r="BG156" i="5"/>
  <c r="BL156" i="5" s="1"/>
  <c r="BH289" i="5"/>
  <c r="BM289" i="5" s="1"/>
  <c r="BG289" i="5"/>
  <c r="BL289" i="5" s="1"/>
  <c r="BG551" i="5"/>
  <c r="BL551" i="5" s="1"/>
  <c r="BH551" i="5"/>
  <c r="BM551" i="5" s="1"/>
  <c r="BG309" i="5"/>
  <c r="BL309" i="5" s="1"/>
  <c r="BH309" i="5"/>
  <c r="BM309" i="5" s="1"/>
  <c r="BG10" i="5"/>
  <c r="BL10" i="5" s="1"/>
  <c r="BH10" i="5"/>
  <c r="BM10" i="5" s="1"/>
  <c r="BG259" i="5"/>
  <c r="BL259" i="5" s="1"/>
  <c r="BH259" i="5"/>
  <c r="BM259" i="5" s="1"/>
  <c r="BG396" i="5"/>
  <c r="BL396" i="5" s="1"/>
  <c r="BH396" i="5"/>
  <c r="BM396" i="5" s="1"/>
  <c r="BH296" i="5"/>
  <c r="BM296" i="5" s="1"/>
  <c r="BG296" i="5"/>
  <c r="BL296" i="5" s="1"/>
  <c r="BH55" i="5"/>
  <c r="BM55" i="5" s="1"/>
  <c r="BG55" i="5"/>
  <c r="BL55" i="5" s="1"/>
  <c r="BG194" i="5"/>
  <c r="BL194" i="5" s="1"/>
  <c r="BH194" i="5"/>
  <c r="BM194" i="5" s="1"/>
  <c r="BH543" i="5"/>
  <c r="BM543" i="5" s="1"/>
  <c r="BG543" i="5"/>
  <c r="BL543" i="5" s="1"/>
  <c r="BH332" i="5"/>
  <c r="BM332" i="5" s="1"/>
  <c r="BG332" i="5"/>
  <c r="BL332" i="5" s="1"/>
  <c r="BH406" i="5"/>
  <c r="BM406" i="5" s="1"/>
  <c r="BG406" i="5"/>
  <c r="BL406" i="5" s="1"/>
  <c r="BH286" i="5"/>
  <c r="BM286" i="5" s="1"/>
  <c r="BG286" i="5"/>
  <c r="BL286" i="5" s="1"/>
  <c r="BH448" i="5"/>
  <c r="BM448" i="5" s="1"/>
  <c r="BG448" i="5"/>
  <c r="BL448" i="5" s="1"/>
  <c r="BG344" i="5"/>
  <c r="BL344" i="5" s="1"/>
  <c r="BH344" i="5"/>
  <c r="BM344" i="5" s="1"/>
  <c r="BH439" i="5"/>
  <c r="BM439" i="5" s="1"/>
  <c r="BG439" i="5"/>
  <c r="BL439" i="5" s="1"/>
  <c r="BH158" i="5"/>
  <c r="BM158" i="5" s="1"/>
  <c r="BG158" i="5"/>
  <c r="BL158" i="5" s="1"/>
  <c r="BG184" i="5"/>
  <c r="BL184" i="5" s="1"/>
  <c r="BH184" i="5"/>
  <c r="BM184" i="5" s="1"/>
  <c r="BG298" i="5"/>
  <c r="BL298" i="5" s="1"/>
  <c r="BH298" i="5"/>
  <c r="BM298" i="5" s="1"/>
  <c r="BG56" i="5"/>
  <c r="BL56" i="5" s="1"/>
  <c r="BH56" i="5"/>
  <c r="BM56" i="5" s="1"/>
  <c r="BH514" i="5"/>
  <c r="BM514" i="5" s="1"/>
  <c r="BG514" i="5"/>
  <c r="BL514" i="5" s="1"/>
  <c r="BH299" i="5"/>
  <c r="BM299" i="5" s="1"/>
  <c r="BG299" i="5"/>
  <c r="BL299" i="5" s="1"/>
  <c r="BH167" i="5"/>
  <c r="BM167" i="5" s="1"/>
  <c r="BG167" i="5"/>
  <c r="BL167" i="5" s="1"/>
  <c r="BG235" i="5"/>
  <c r="BL235" i="5" s="1"/>
  <c r="BH235" i="5"/>
  <c r="BM235" i="5" s="1"/>
  <c r="BG317" i="5"/>
  <c r="BL317" i="5" s="1"/>
  <c r="BH317" i="5"/>
  <c r="BM317" i="5" s="1"/>
  <c r="BG342" i="5"/>
  <c r="BL342" i="5" s="1"/>
  <c r="BH342" i="5"/>
  <c r="BM342" i="5" s="1"/>
  <c r="BG252" i="5"/>
  <c r="BL252" i="5" s="1"/>
  <c r="BH252" i="5"/>
  <c r="BM252" i="5" s="1"/>
  <c r="BH526" i="5"/>
  <c r="BM526" i="5" s="1"/>
  <c r="BG526" i="5"/>
  <c r="BL526" i="5" s="1"/>
  <c r="BH112" i="5"/>
  <c r="BM112" i="5" s="1"/>
  <c r="BG112" i="5"/>
  <c r="BL112" i="5" s="1"/>
  <c r="BG185" i="5"/>
  <c r="BL185" i="5" s="1"/>
  <c r="BH185" i="5"/>
  <c r="BM185" i="5" s="1"/>
  <c r="BG245" i="5"/>
  <c r="BL245" i="5" s="1"/>
  <c r="BH245" i="5"/>
  <c r="BM245" i="5" s="1"/>
  <c r="BG8" i="5"/>
  <c r="BL8" i="5" s="1"/>
  <c r="BH8" i="5"/>
  <c r="BM8" i="5" s="1"/>
  <c r="BG94" i="5"/>
  <c r="BL94" i="5" s="1"/>
  <c r="BH94" i="5"/>
  <c r="BM94" i="5" s="1"/>
  <c r="BG351" i="5"/>
  <c r="BL351" i="5" s="1"/>
  <c r="BH351" i="5"/>
  <c r="BM351" i="5" s="1"/>
  <c r="BG452" i="5"/>
  <c r="BL452" i="5" s="1"/>
  <c r="BH452" i="5"/>
  <c r="BM452" i="5" s="1"/>
  <c r="BH432" i="5"/>
  <c r="BM432" i="5" s="1"/>
  <c r="BG432" i="5"/>
  <c r="BL432" i="5" s="1"/>
  <c r="BG287" i="5"/>
  <c r="BL287" i="5" s="1"/>
  <c r="BH287" i="5"/>
  <c r="BM287" i="5" s="1"/>
  <c r="BH21" i="5"/>
  <c r="BM21" i="5" s="1"/>
  <c r="BG21" i="5"/>
  <c r="BL21" i="5" s="1"/>
  <c r="BG541" i="5"/>
  <c r="BL541" i="5" s="1"/>
  <c r="BH541" i="5"/>
  <c r="BM541" i="5" s="1"/>
  <c r="BH345" i="5"/>
  <c r="BM345" i="5" s="1"/>
  <c r="BG345" i="5"/>
  <c r="BL345" i="5" s="1"/>
  <c r="BH157" i="5"/>
  <c r="BM157" i="5" s="1"/>
  <c r="BG157" i="5"/>
  <c r="BL157" i="5" s="1"/>
  <c r="BH205" i="5"/>
  <c r="BM205" i="5" s="1"/>
  <c r="BG205" i="5"/>
  <c r="BL205" i="5" s="1"/>
  <c r="BH510" i="5"/>
  <c r="BM510" i="5" s="1"/>
  <c r="BG510" i="5"/>
  <c r="BL510" i="5" s="1"/>
  <c r="BG358" i="5"/>
  <c r="BL358" i="5" s="1"/>
  <c r="BH358" i="5"/>
  <c r="BM358" i="5" s="1"/>
  <c r="BH142" i="5"/>
  <c r="BM142" i="5" s="1"/>
  <c r="BG142" i="5"/>
  <c r="BL142" i="5" s="1"/>
  <c r="BG140" i="5"/>
  <c r="BL140" i="5" s="1"/>
  <c r="BH140" i="5"/>
  <c r="BM140" i="5" s="1"/>
  <c r="BH409" i="5"/>
  <c r="BM409" i="5" s="1"/>
  <c r="BG409" i="5"/>
  <c r="BL409" i="5" s="1"/>
  <c r="BH27" i="5"/>
  <c r="BM27" i="5" s="1"/>
  <c r="BG27" i="5"/>
  <c r="BL27" i="5" s="1"/>
  <c r="BH520" i="5"/>
  <c r="BM520" i="5" s="1"/>
  <c r="BG520" i="5"/>
  <c r="BL520" i="5" s="1"/>
  <c r="BH136" i="5"/>
  <c r="BM136" i="5" s="1"/>
  <c r="BG136" i="5"/>
  <c r="BL136" i="5" s="1"/>
  <c r="BG532" i="5"/>
  <c r="BL532" i="5" s="1"/>
  <c r="BH532" i="5"/>
  <c r="BM532" i="5" s="1"/>
  <c r="BH412" i="5"/>
  <c r="BM412" i="5" s="1"/>
  <c r="BG412" i="5"/>
  <c r="BL412" i="5" s="1"/>
  <c r="BG417" i="5"/>
  <c r="BL417" i="5" s="1"/>
  <c r="BH417" i="5"/>
  <c r="BM417" i="5" s="1"/>
  <c r="BH349" i="5"/>
  <c r="BM349" i="5" s="1"/>
  <c r="BG349" i="5"/>
  <c r="BL349" i="5" s="1"/>
  <c r="BG195" i="5"/>
  <c r="BL195" i="5" s="1"/>
  <c r="BH195" i="5"/>
  <c r="BM195" i="5" s="1"/>
  <c r="BG164" i="5"/>
  <c r="BL164" i="5" s="1"/>
  <c r="BH164" i="5"/>
  <c r="BM164" i="5" s="1"/>
  <c r="BG110" i="5"/>
  <c r="BL110" i="5" s="1"/>
  <c r="BH110" i="5"/>
  <c r="BM110" i="5" s="1"/>
  <c r="BH137" i="5"/>
  <c r="BM137" i="5" s="1"/>
  <c r="BG137" i="5"/>
  <c r="BL137" i="5" s="1"/>
  <c r="BG469" i="5"/>
  <c r="BL469" i="5" s="1"/>
  <c r="BH469" i="5"/>
  <c r="BM469" i="5" s="1"/>
  <c r="BH275" i="5"/>
  <c r="BM275" i="5" s="1"/>
  <c r="BG275" i="5"/>
  <c r="BL275" i="5" s="1"/>
  <c r="BG545" i="5"/>
  <c r="BL545" i="5" s="1"/>
  <c r="BH545" i="5"/>
  <c r="BM545" i="5" s="1"/>
  <c r="BH486" i="5"/>
  <c r="BM486" i="5" s="1"/>
  <c r="BG486" i="5"/>
  <c r="BL486" i="5" s="1"/>
  <c r="BH203" i="5"/>
  <c r="BM203" i="5" s="1"/>
  <c r="BG203" i="5"/>
  <c r="BL203" i="5" s="1"/>
  <c r="BG191" i="5"/>
  <c r="BL191" i="5" s="1"/>
  <c r="BH191" i="5"/>
  <c r="BM191" i="5" s="1"/>
  <c r="BH93" i="5"/>
  <c r="BM93" i="5" s="1"/>
  <c r="BG93" i="5"/>
  <c r="BL93" i="5" s="1"/>
  <c r="BG236" i="5"/>
  <c r="BL236" i="5" s="1"/>
  <c r="BH236" i="5"/>
  <c r="BM236" i="5" s="1"/>
  <c r="BH212" i="5"/>
  <c r="BM212" i="5" s="1"/>
  <c r="BG212" i="5"/>
  <c r="BL212" i="5" s="1"/>
  <c r="BG227" i="5"/>
  <c r="BL227" i="5" s="1"/>
  <c r="BH227" i="5"/>
  <c r="BM227" i="5" s="1"/>
  <c r="BH114" i="5"/>
  <c r="BM114" i="5" s="1"/>
  <c r="BG114" i="5"/>
  <c r="BL114" i="5" s="1"/>
  <c r="BG511" i="5"/>
  <c r="BL511" i="5" s="1"/>
  <c r="BH511" i="5"/>
  <c r="BM511" i="5" s="1"/>
  <c r="BH204" i="5"/>
  <c r="BM204" i="5" s="1"/>
  <c r="BG204" i="5"/>
  <c r="BL204" i="5" s="1"/>
  <c r="BG555" i="5"/>
  <c r="BL555" i="5" s="1"/>
  <c r="BH555" i="5"/>
  <c r="BM555" i="5" s="1"/>
  <c r="BH61" i="5"/>
  <c r="BM61" i="5" s="1"/>
  <c r="BG61" i="5"/>
  <c r="BL61" i="5" s="1"/>
  <c r="BH465" i="5"/>
  <c r="BM465" i="5" s="1"/>
  <c r="BG465" i="5"/>
  <c r="BL465" i="5" s="1"/>
  <c r="BH90" i="5"/>
  <c r="BM90" i="5" s="1"/>
  <c r="BG90" i="5"/>
  <c r="BL90" i="5" s="1"/>
  <c r="BG9" i="5"/>
  <c r="BL9" i="5" s="1"/>
  <c r="BH9" i="5"/>
  <c r="BM9" i="5" s="1"/>
  <c r="BG375" i="5"/>
  <c r="BL375" i="5" s="1"/>
  <c r="BH375" i="5"/>
  <c r="BM375" i="5" s="1"/>
  <c r="BG338" i="5"/>
  <c r="BL338" i="5" s="1"/>
  <c r="BH338" i="5"/>
  <c r="BM338" i="5" s="1"/>
  <c r="BG80" i="5"/>
  <c r="BL80" i="5" s="1"/>
  <c r="BH80" i="5"/>
  <c r="BM80" i="5" s="1"/>
  <c r="BH380" i="5"/>
  <c r="BM380" i="5" s="1"/>
  <c r="BG380" i="5"/>
  <c r="BL380" i="5" s="1"/>
  <c r="BG113" i="5"/>
  <c r="BL113" i="5" s="1"/>
  <c r="BH113" i="5"/>
  <c r="BM113" i="5" s="1"/>
  <c r="BH62" i="5"/>
  <c r="BM62" i="5" s="1"/>
  <c r="BG62" i="5"/>
  <c r="BL62" i="5" s="1"/>
  <c r="BG405" i="5"/>
  <c r="BL405" i="5" s="1"/>
  <c r="BH405" i="5"/>
  <c r="BM405" i="5" s="1"/>
  <c r="BH46" i="5"/>
  <c r="BM46" i="5" s="1"/>
  <c r="BG46" i="5"/>
  <c r="BL46" i="5" s="1"/>
  <c r="BG304" i="5"/>
  <c r="BL304" i="5" s="1"/>
  <c r="BH304" i="5"/>
  <c r="BM304" i="5" s="1"/>
  <c r="BG355" i="5"/>
  <c r="BL355" i="5" s="1"/>
  <c r="BH355" i="5"/>
  <c r="BM355" i="5" s="1"/>
  <c r="BG215" i="5"/>
  <c r="BL215" i="5" s="1"/>
  <c r="BH215" i="5"/>
  <c r="BM215" i="5" s="1"/>
  <c r="BH347" i="5"/>
  <c r="BM347" i="5" s="1"/>
  <c r="BG347" i="5"/>
  <c r="BL347" i="5" s="1"/>
  <c r="BG154" i="5"/>
  <c r="BL154" i="5" s="1"/>
  <c r="BH154" i="5"/>
  <c r="BM154" i="5" s="1"/>
  <c r="BG389" i="5"/>
  <c r="BL389" i="5" s="1"/>
  <c r="BH389" i="5"/>
  <c r="BM389" i="5" s="1"/>
  <c r="BH335" i="5"/>
  <c r="BM335" i="5" s="1"/>
  <c r="BG335" i="5"/>
  <c r="BL335" i="5" s="1"/>
  <c r="BH399" i="5"/>
  <c r="BM399" i="5" s="1"/>
  <c r="BG399" i="5"/>
  <c r="BL399" i="5" s="1"/>
  <c r="BH74" i="5"/>
  <c r="BM74" i="5" s="1"/>
  <c r="BG74" i="5"/>
  <c r="BL74" i="5" s="1"/>
  <c r="BG153" i="5"/>
  <c r="BL153" i="5" s="1"/>
  <c r="BH153" i="5"/>
  <c r="BM153" i="5" s="1"/>
  <c r="BH193" i="5"/>
  <c r="BM193" i="5" s="1"/>
  <c r="BG193" i="5"/>
  <c r="BL193" i="5" s="1"/>
  <c r="BG57" i="5"/>
  <c r="BL57" i="5" s="1"/>
  <c r="BH57" i="5"/>
  <c r="BM57" i="5" s="1"/>
  <c r="BG264" i="5"/>
  <c r="BL264" i="5" s="1"/>
  <c r="BH264" i="5"/>
  <c r="BM264" i="5" s="1"/>
  <c r="BG314" i="5"/>
  <c r="BL314" i="5" s="1"/>
  <c r="BH314" i="5"/>
  <c r="BM314" i="5" s="1"/>
  <c r="BH453" i="5"/>
  <c r="BM453" i="5" s="1"/>
  <c r="BG453" i="5"/>
  <c r="BL453" i="5" s="1"/>
  <c r="BG424" i="5"/>
  <c r="BL424" i="5" s="1"/>
  <c r="BH424" i="5"/>
  <c r="BM424" i="5" s="1"/>
  <c r="BH187" i="5"/>
  <c r="BM187" i="5" s="1"/>
  <c r="BG187" i="5"/>
  <c r="BL187" i="5" s="1"/>
  <c r="BH501" i="5"/>
  <c r="BM501" i="5" s="1"/>
  <c r="BG501" i="5"/>
  <c r="BL501" i="5" s="1"/>
  <c r="BH247" i="5"/>
  <c r="BM247" i="5" s="1"/>
  <c r="BG247" i="5"/>
  <c r="BL247" i="5" s="1"/>
  <c r="BG201" i="5"/>
  <c r="BL201" i="5" s="1"/>
  <c r="BH201" i="5"/>
  <c r="BM201" i="5" s="1"/>
  <c r="BH178" i="5"/>
  <c r="BM178" i="5" s="1"/>
  <c r="BG178" i="5"/>
  <c r="BL178" i="5" s="1"/>
  <c r="BH79" i="5"/>
  <c r="BM79" i="5" s="1"/>
  <c r="BG79" i="5"/>
  <c r="BL79" i="5" s="1"/>
  <c r="BG36" i="5"/>
  <c r="BL36" i="5" s="1"/>
  <c r="BH36" i="5"/>
  <c r="BM36" i="5" s="1"/>
  <c r="BH362" i="5"/>
  <c r="BM362" i="5" s="1"/>
  <c r="BG362" i="5"/>
  <c r="BL362" i="5" s="1"/>
  <c r="BG445" i="5"/>
  <c r="BL445" i="5" s="1"/>
  <c r="BH445" i="5"/>
  <c r="BM445" i="5" s="1"/>
  <c r="BG326" i="5"/>
  <c r="BL326" i="5" s="1"/>
  <c r="BH326" i="5"/>
  <c r="BM326" i="5" s="1"/>
  <c r="BG455" i="5"/>
  <c r="BL455" i="5" s="1"/>
  <c r="BH455" i="5"/>
  <c r="BM455" i="5" s="1"/>
  <c r="BH111" i="5"/>
  <c r="BM111" i="5" s="1"/>
  <c r="BG111" i="5"/>
  <c r="BL111" i="5" s="1"/>
  <c r="BH273" i="5"/>
  <c r="BM273" i="5" s="1"/>
  <c r="BG273" i="5"/>
  <c r="BL273" i="5" s="1"/>
  <c r="BG165" i="5"/>
  <c r="BL165" i="5" s="1"/>
  <c r="BH165" i="5"/>
  <c r="BM165" i="5" s="1"/>
  <c r="BH148" i="5"/>
  <c r="BM148" i="5" s="1"/>
  <c r="BG148" i="5"/>
  <c r="BL148" i="5" s="1"/>
  <c r="BG175" i="5"/>
  <c r="BL175" i="5" s="1"/>
  <c r="BH175" i="5"/>
  <c r="BM175" i="5" s="1"/>
  <c r="BH416" i="5"/>
  <c r="BM416" i="5" s="1"/>
  <c r="BG416" i="5"/>
  <c r="BL416" i="5" s="1"/>
  <c r="BH319" i="5"/>
  <c r="BM319" i="5" s="1"/>
  <c r="BG319" i="5"/>
  <c r="BL319" i="5" s="1"/>
  <c r="BH462" i="5"/>
  <c r="BM462" i="5" s="1"/>
  <c r="BG462" i="5"/>
  <c r="BL462" i="5" s="1"/>
  <c r="BG468" i="5"/>
  <c r="BL468" i="5" s="1"/>
  <c r="BH468" i="5"/>
  <c r="BM468" i="5" s="1"/>
  <c r="BH315" i="5"/>
  <c r="BM315" i="5" s="1"/>
  <c r="BG315" i="5"/>
  <c r="BL315" i="5" s="1"/>
  <c r="BG367" i="5"/>
  <c r="BL367" i="5" s="1"/>
  <c r="BH367" i="5"/>
  <c r="BM367" i="5" s="1"/>
  <c r="BH138" i="5"/>
  <c r="BM138" i="5" s="1"/>
  <c r="BG138" i="5"/>
  <c r="BL138" i="5" s="1"/>
  <c r="BG266" i="5"/>
  <c r="BL266" i="5" s="1"/>
  <c r="BH266" i="5"/>
  <c r="BM266" i="5" s="1"/>
  <c r="BG535" i="5"/>
  <c r="BL535" i="5" s="1"/>
  <c r="BH535" i="5"/>
  <c r="BM535" i="5" s="1"/>
  <c r="BH277" i="5"/>
  <c r="BM277" i="5" s="1"/>
  <c r="BG277" i="5"/>
  <c r="BL277" i="5" s="1"/>
  <c r="BG542" i="5"/>
  <c r="BL542" i="5" s="1"/>
  <c r="BH542" i="5"/>
  <c r="BM542" i="5" s="1"/>
  <c r="BH28" i="5"/>
  <c r="BM28" i="5" s="1"/>
  <c r="BG28" i="5"/>
  <c r="BL28" i="5" s="1"/>
  <c r="BG454" i="5"/>
  <c r="BL454" i="5" s="1"/>
  <c r="BH454" i="5"/>
  <c r="BM454" i="5" s="1"/>
  <c r="BG336" i="5"/>
  <c r="BL336" i="5" s="1"/>
  <c r="BH336" i="5"/>
  <c r="BM336" i="5" s="1"/>
  <c r="BG152" i="5"/>
  <c r="BL152" i="5" s="1"/>
  <c r="BH152" i="5"/>
  <c r="BM152" i="5" s="1"/>
  <c r="BH143" i="5"/>
  <c r="BM143" i="5" s="1"/>
  <c r="BG143" i="5"/>
  <c r="BL143" i="5" s="1"/>
  <c r="BG497" i="5"/>
  <c r="BL497" i="5" s="1"/>
  <c r="BH497" i="5"/>
  <c r="BM497" i="5" s="1"/>
  <c r="BG130" i="5"/>
  <c r="BL130" i="5" s="1"/>
  <c r="BH130" i="5"/>
  <c r="BM130" i="5" s="1"/>
  <c r="BG100" i="5"/>
  <c r="BL100" i="5" s="1"/>
  <c r="BH100" i="5"/>
  <c r="BM100" i="5" s="1"/>
  <c r="BG68" i="5"/>
  <c r="BL68" i="5" s="1"/>
  <c r="BH68" i="5"/>
  <c r="BM68" i="5" s="1"/>
  <c r="BG271" i="5"/>
  <c r="BL271" i="5" s="1"/>
  <c r="BH271" i="5"/>
  <c r="BM271" i="5" s="1"/>
  <c r="BG487" i="5"/>
  <c r="BL487" i="5" s="1"/>
  <c r="BH487" i="5"/>
  <c r="BM487" i="5" s="1"/>
  <c r="BG381" i="5"/>
  <c r="BL381" i="5" s="1"/>
  <c r="BH381" i="5"/>
  <c r="BM381" i="5" s="1"/>
  <c r="BG29" i="5"/>
  <c r="BL29" i="5" s="1"/>
  <c r="BH29" i="5"/>
  <c r="BM29" i="5" s="1"/>
  <c r="BH32" i="5"/>
  <c r="BM32" i="5" s="1"/>
  <c r="BG32" i="5"/>
  <c r="BL32" i="5" s="1"/>
  <c r="BH293" i="5"/>
  <c r="BM293" i="5" s="1"/>
  <c r="BG293" i="5"/>
  <c r="BL293" i="5" s="1"/>
  <c r="BG73" i="5"/>
  <c r="BL73" i="5" s="1"/>
  <c r="BH73" i="5"/>
  <c r="BM73" i="5" s="1"/>
  <c r="BG515" i="5"/>
  <c r="BL515" i="5" s="1"/>
  <c r="BH515" i="5"/>
  <c r="BM515" i="5" s="1"/>
  <c r="BG485" i="5"/>
  <c r="BL485" i="5" s="1"/>
  <c r="BH485" i="5"/>
  <c r="BM485" i="5" s="1"/>
  <c r="BH81" i="5"/>
  <c r="BM81" i="5" s="1"/>
  <c r="BG81" i="5"/>
  <c r="BL81" i="5" s="1"/>
  <c r="BH330" i="5"/>
  <c r="BM330" i="5" s="1"/>
  <c r="BG330" i="5"/>
  <c r="BL330" i="5" s="1"/>
  <c r="BH147" i="5"/>
  <c r="BM147" i="5" s="1"/>
  <c r="BG147" i="5"/>
  <c r="BL147" i="5" s="1"/>
  <c r="BG400" i="5"/>
  <c r="BL400" i="5" s="1"/>
  <c r="BH400" i="5"/>
  <c r="BM400" i="5" s="1"/>
  <c r="BG502" i="5"/>
  <c r="BL502" i="5" s="1"/>
  <c r="BH502" i="5"/>
  <c r="BM502" i="5" s="1"/>
  <c r="BH107" i="5"/>
  <c r="BM107" i="5" s="1"/>
  <c r="BG107" i="5"/>
  <c r="BL107" i="5" s="1"/>
  <c r="BH360" i="5"/>
  <c r="BM360" i="5" s="1"/>
  <c r="BG360" i="5"/>
  <c r="BL360" i="5" s="1"/>
  <c r="BH521" i="5"/>
  <c r="BM521" i="5" s="1"/>
  <c r="BG521" i="5"/>
  <c r="BL521" i="5" s="1"/>
  <c r="BH115" i="5"/>
  <c r="BM115" i="5" s="1"/>
  <c r="BG115" i="5"/>
  <c r="BL115" i="5" s="1"/>
  <c r="BG77" i="5"/>
  <c r="BL77" i="5" s="1"/>
  <c r="BH77" i="5"/>
  <c r="BM77" i="5" s="1"/>
  <c r="BG364" i="5"/>
  <c r="BL364" i="5" s="1"/>
  <c r="BH364" i="5"/>
  <c r="BM364" i="5" s="1"/>
  <c r="BG60" i="5"/>
  <c r="BL60" i="5" s="1"/>
  <c r="BH60" i="5"/>
  <c r="BM60" i="5" s="1"/>
  <c r="BG200" i="5"/>
  <c r="BL200" i="5" s="1"/>
  <c r="BH200" i="5"/>
  <c r="BM200" i="5" s="1"/>
  <c r="BG163" i="5"/>
  <c r="BL163" i="5" s="1"/>
  <c r="BH163" i="5"/>
  <c r="BM163" i="5" s="1"/>
  <c r="BG491" i="5"/>
  <c r="BL491" i="5" s="1"/>
  <c r="BH491" i="5"/>
  <c r="BM491" i="5" s="1"/>
  <c r="BH426" i="5"/>
  <c r="BM426" i="5" s="1"/>
  <c r="BG426" i="5"/>
  <c r="BL426" i="5" s="1"/>
  <c r="BH290" i="5"/>
  <c r="BM290" i="5" s="1"/>
  <c r="BG290" i="5"/>
  <c r="BL290" i="5" s="1"/>
  <c r="BG243" i="5"/>
  <c r="BL243" i="5" s="1"/>
  <c r="BH243" i="5"/>
  <c r="BM243" i="5" s="1"/>
  <c r="BH88" i="5"/>
  <c r="BM88" i="5" s="1"/>
  <c r="BG88" i="5"/>
  <c r="BL88" i="5" s="1"/>
  <c r="BH431" i="5"/>
  <c r="BM431" i="5" s="1"/>
  <c r="BG431" i="5"/>
  <c r="BL431" i="5" s="1"/>
  <c r="BG44" i="5"/>
  <c r="BL44" i="5" s="1"/>
  <c r="BH44" i="5"/>
  <c r="BM44" i="5" s="1"/>
  <c r="BH117" i="5"/>
  <c r="BM117" i="5" s="1"/>
  <c r="BG117" i="5"/>
  <c r="BL117" i="5" s="1"/>
  <c r="BG428" i="5"/>
  <c r="BL428" i="5" s="1"/>
  <c r="BH428" i="5"/>
  <c r="BM428" i="5" s="1"/>
  <c r="BG547" i="5"/>
  <c r="BL547" i="5" s="1"/>
  <c r="BH547" i="5"/>
  <c r="BM547" i="5" s="1"/>
  <c r="BH53" i="5"/>
  <c r="BM53" i="5" s="1"/>
  <c r="BG53" i="5"/>
  <c r="BL53" i="5" s="1"/>
  <c r="BG512" i="5"/>
  <c r="BL512" i="5" s="1"/>
  <c r="BH512" i="5"/>
  <c r="BM512" i="5" s="1"/>
  <c r="BF11" i="5"/>
  <c r="BG150" i="5"/>
  <c r="BL150" i="5" s="1"/>
  <c r="BH150" i="5"/>
  <c r="BM150" i="5" s="1"/>
  <c r="BG549" i="5"/>
  <c r="BL549" i="5" s="1"/>
  <c r="BH549" i="5"/>
  <c r="BM549" i="5" s="1"/>
  <c r="BH372" i="5"/>
  <c r="BM372" i="5" s="1"/>
  <c r="BG372" i="5"/>
  <c r="BL372" i="5" s="1"/>
  <c r="BH503" i="5"/>
  <c r="BM503" i="5" s="1"/>
  <c r="BG503" i="5"/>
  <c r="BL503" i="5" s="1"/>
  <c r="BG106" i="5"/>
  <c r="BL106" i="5" s="1"/>
  <c r="BH106" i="5"/>
  <c r="BM106" i="5" s="1"/>
  <c r="BG308" i="5"/>
  <c r="BL308" i="5" s="1"/>
  <c r="BH308" i="5"/>
  <c r="BM308" i="5" s="1"/>
  <c r="BG208" i="5"/>
  <c r="BL208" i="5" s="1"/>
  <c r="BH208" i="5"/>
  <c r="BM208" i="5" s="1"/>
  <c r="BG139" i="5"/>
  <c r="BL139" i="5" s="1"/>
  <c r="BH139" i="5"/>
  <c r="BM139" i="5" s="1"/>
  <c r="BG519" i="5"/>
  <c r="BL519" i="5" s="1"/>
  <c r="BH519" i="5"/>
  <c r="BM519" i="5" s="1"/>
  <c r="BG122" i="5"/>
  <c r="BL122" i="5" s="1"/>
  <c r="BH122" i="5"/>
  <c r="BM122" i="5" s="1"/>
  <c r="BG134" i="5"/>
  <c r="BL134" i="5" s="1"/>
  <c r="BH134" i="5"/>
  <c r="BM134" i="5" s="1"/>
  <c r="BH513" i="5"/>
  <c r="BM513" i="5" s="1"/>
  <c r="BG513" i="5"/>
  <c r="BL513" i="5" s="1"/>
  <c r="BG265" i="5"/>
  <c r="BL265" i="5" s="1"/>
  <c r="BH265" i="5"/>
  <c r="BM265" i="5" s="1"/>
  <c r="BH45" i="5"/>
  <c r="BM45" i="5" s="1"/>
  <c r="BG45" i="5"/>
  <c r="BL45" i="5" s="1"/>
  <c r="BG141" i="5"/>
  <c r="BL141" i="5" s="1"/>
  <c r="BH141" i="5"/>
  <c r="BM141" i="5" s="1"/>
  <c r="BH260" i="5"/>
  <c r="BM260" i="5" s="1"/>
  <c r="BG260" i="5"/>
  <c r="BL260" i="5" s="1"/>
  <c r="BH459" i="5"/>
  <c r="BM459" i="5" s="1"/>
  <c r="BG459" i="5"/>
  <c r="BL459" i="5" s="1"/>
  <c r="BG50" i="5"/>
  <c r="BL50" i="5" s="1"/>
  <c r="BH50" i="5"/>
  <c r="BM50" i="5" s="1"/>
  <c r="BG261" i="5"/>
  <c r="BL261" i="5" s="1"/>
  <c r="BH261" i="5"/>
  <c r="BM261" i="5" s="1"/>
  <c r="BH206" i="5"/>
  <c r="BM206" i="5" s="1"/>
  <c r="BG206" i="5"/>
  <c r="BL206" i="5" s="1"/>
  <c r="BH368" i="5"/>
  <c r="BM368" i="5" s="1"/>
  <c r="BG368" i="5"/>
  <c r="BL368" i="5" s="1"/>
  <c r="BH478" i="5"/>
  <c r="BM478" i="5" s="1"/>
  <c r="BG478" i="5"/>
  <c r="BL478" i="5" s="1"/>
  <c r="BH385" i="5"/>
  <c r="BM385" i="5" s="1"/>
  <c r="BG385" i="5"/>
  <c r="BL385" i="5" s="1"/>
  <c r="BG391" i="5"/>
  <c r="BL391" i="5" s="1"/>
  <c r="BH391" i="5"/>
  <c r="BM391" i="5" s="1"/>
  <c r="BG384" i="5"/>
  <c r="BL384" i="5" s="1"/>
  <c r="BH384" i="5"/>
  <c r="BM384" i="5" s="1"/>
  <c r="BG69" i="5"/>
  <c r="BL69" i="5" s="1"/>
  <c r="BH69" i="5"/>
  <c r="BM69" i="5" s="1"/>
  <c r="AU31" i="4" l="1"/>
  <c r="AW31" i="4" s="1"/>
  <c r="BK11" i="5"/>
  <c r="BJ11" i="5"/>
  <c r="BG11" i="5"/>
  <c r="BL11" i="5" s="1"/>
  <c r="BH11" i="5"/>
  <c r="BM11" i="5"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BMC-BCS</author>
  </authors>
  <commentList>
    <comment ref="A3" authorId="0" shapeId="0" xr:uid="{00000000-0006-0000-0000-000001000000}">
      <text>
        <r>
          <rPr>
            <b/>
            <sz val="11"/>
            <color indexed="10"/>
            <rFont val="Tahoma"/>
            <family val="2"/>
          </rPr>
          <t>Welcome to the LM5127 Design Tool</t>
        </r>
        <r>
          <rPr>
            <sz val="9"/>
            <color indexed="81"/>
            <rFont val="Tahoma"/>
            <family val="2"/>
          </rPr>
          <t xml:space="preserve">
This stand-alone tool facilitates and assists the power supply engineer with design of a DC-DC boost converter based on the LM5127 boost controller. As such, the user can expeditiously arrive at an optimized design by virtue of the following:
- Select components
- Optimize compensation values and pole/zero placement in terms of control loop stability using crossover frquency as a performance metric
- Inspect regulator efficiency and component power dissipation
- Analyze efficiency based on selected MOSFET, inductor and diode parameters
IMPORTANT: You must enable macros if Microsoft Excel asks as the file is being opened. U.S. English notation is used throughout. Make sure to input or select values in all of the yellow shaded cells even if a value already exists in that cell. Do not over write equations in cells, as this may result in calculation errors.
</t>
        </r>
      </text>
    </comment>
    <comment ref="O3" authorId="0" shapeId="0" xr:uid="{00000000-0006-0000-0000-000002000000}">
      <text>
        <r>
          <rPr>
            <sz val="9"/>
            <color indexed="81"/>
            <rFont val="Tahoma"/>
            <family val="2"/>
          </rPr>
          <t xml:space="preserve">
</t>
        </r>
        <r>
          <rPr>
            <sz val="12"/>
            <color indexed="10"/>
            <rFont val="Tahoma"/>
            <family val="2"/>
          </rPr>
          <t>Texas Instruments:</t>
        </r>
        <r>
          <rPr>
            <sz val="9"/>
            <color indexed="81"/>
            <rFont val="Tahoma"/>
            <family val="2"/>
          </rPr>
          <t xml:space="preserve">
Limited Use Policy
You must treat this software and documentation like any other copyrighted material.
You may not:
- Copy documentation of the software
- Copy this software except to make archival or backup copies
- Reverse engineer, disassemble, decompile or make any attempt to discover the source code of the Software 
- Place the software onto a server so that it is accessible via a public network such as the internet 
- Sublicense, rent, lease or lend any portion of the software or documentation.
Texas Instruments is not responsible for the validity of any design created with this software and urges all designs to be fully tested and carefully verified. 
The most recent version of this excel file can be found in the product folder of the part at TI.com. To activate all functions, Macro should be enabled and 'Analysis Toolpak' should be added in. 
</t>
        </r>
      </text>
    </comment>
    <comment ref="H12" authorId="0" shapeId="0" xr:uid="{00000000-0006-0000-0000-000003000000}">
      <text>
        <r>
          <rPr>
            <b/>
            <sz val="9"/>
            <color indexed="81"/>
            <rFont val="Tahoma"/>
            <family val="2"/>
          </rPr>
          <t xml:space="preserve">Light Load Switching Mode Selection:
</t>
        </r>
        <r>
          <rPr>
            <sz val="9"/>
            <color indexed="81"/>
            <rFont val="Tahoma"/>
            <family val="2"/>
          </rPr>
          <t>FPWM --&gt; MODE pin connected to VCC.
SKIP --&gt; MODE pin floating.
DEM --&gt; MODE pin connect to GND.
See the datasheet for more details on each mode.</t>
        </r>
      </text>
    </comment>
    <comment ref="H20" authorId="0" shapeId="0" xr:uid="{00000000-0006-0000-0000-000004000000}">
      <text>
        <r>
          <rPr>
            <b/>
            <sz val="9"/>
            <color indexed="81"/>
            <rFont val="Tahoma"/>
            <family val="2"/>
          </rPr>
          <t xml:space="preserve">If this cell shows:
CCM: </t>
        </r>
        <r>
          <rPr>
            <sz val="9"/>
            <color indexed="81"/>
            <rFont val="Tahoma"/>
            <family val="2"/>
          </rPr>
          <t>The step up ratio from the minimum supply voltage to the load voltage can be achieved without exceeding the maximum duty cycle. Continous conduction mode is possilbe at the minimum supply voltage.</t>
        </r>
        <r>
          <rPr>
            <b/>
            <sz val="9"/>
            <color indexed="81"/>
            <rFont val="Tahoma"/>
            <family val="2"/>
          </rPr>
          <t xml:space="preserve">
DCM: </t>
        </r>
        <r>
          <rPr>
            <sz val="9"/>
            <color indexed="81"/>
            <rFont val="Tahoma"/>
            <family val="2"/>
          </rPr>
          <t>Discontinous conduction mode at the minimum supply voltage must be used as the duty cycle exceeds the maximum of the IC. This will result in higher peak inductor currents and lower efficiency. If this occurs, it is possible to decrease the switching frequency to increase the maximum duty cycle.</t>
        </r>
      </text>
    </comment>
    <comment ref="H57" authorId="0" shapeId="0" xr:uid="{00000000-0006-0000-0000-000005000000}">
      <text>
        <r>
          <rPr>
            <b/>
            <sz val="9"/>
            <color indexed="81"/>
            <rFont val="Tahoma"/>
            <family val="2"/>
          </rPr>
          <t xml:space="preserve">TRK Pin Voltage:
</t>
        </r>
        <r>
          <rPr>
            <sz val="9"/>
            <color indexed="81"/>
            <rFont val="Tahoma"/>
            <family val="2"/>
          </rPr>
          <t xml:space="preserve">
This is the voltage seen at the TRK pin when regulation to the load voltage. The TRK pin can be driven from an external voltage source or it can be supplied through a resistor divider from the REF pin. 
</t>
        </r>
      </text>
    </comment>
    <comment ref="H60" authorId="0" shapeId="0" xr:uid="{00000000-0006-0000-0000-000006000000}">
      <text>
        <r>
          <rPr>
            <b/>
            <sz val="9"/>
            <color indexed="81"/>
            <rFont val="Tahoma"/>
            <family val="2"/>
          </rPr>
          <t xml:space="preserve">RVREFT selection
</t>
        </r>
        <r>
          <rPr>
            <sz val="9"/>
            <color indexed="81"/>
            <rFont val="Tahoma"/>
            <family val="2"/>
          </rPr>
          <t xml:space="preserve">Select the a resistor value between RVREFT_min and VREFT_max. This will set the LM5123 to be in the correct output voltage range for the application.
</t>
        </r>
      </text>
    </comment>
    <comment ref="H62" authorId="0" shapeId="0" xr:uid="{00000000-0006-0000-0000-000007000000}">
      <text>
        <r>
          <rPr>
            <b/>
            <sz val="9"/>
            <color indexed="81"/>
            <rFont val="Tahoma"/>
            <family val="2"/>
          </rPr>
          <t xml:space="preserve">RVREFB Selection
</t>
        </r>
        <r>
          <rPr>
            <sz val="9"/>
            <color indexed="81"/>
            <rFont val="Tahoma"/>
            <family val="2"/>
          </rPr>
          <t xml:space="preserve">This value should be the same value as the VREFB_calc value. This sets the load voltage of the boost controler 
</t>
        </r>
      </text>
    </comment>
    <comment ref="H65" authorId="0" shapeId="0" xr:uid="{00000000-0006-0000-0000-000008000000}">
      <text>
        <r>
          <rPr>
            <b/>
            <sz val="9"/>
            <color indexed="81"/>
            <rFont val="Tahoma"/>
            <family val="2"/>
          </rPr>
          <t>Control Loop Bandwidth</t>
        </r>
        <r>
          <rPr>
            <sz val="9"/>
            <color indexed="81"/>
            <rFont val="Tahoma"/>
            <family val="2"/>
          </rPr>
          <t xml:space="preserve">
This sets the bandwidth of the control loop. In a boost controler the RHP zero of the plant transfer function limits the maximum value of the control loop bandwidth. It is recommended to not exceed 1/5th the RHP zero frequency. The FCO_calc value calculates the 1/5th the RHP zero frequency. It is recommend to not exceed the FCO_calc value.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BMC-BCS</author>
  </authors>
  <commentList>
    <comment ref="K93" authorId="0" shapeId="0" xr:uid="{00000000-0006-0000-0100-000001000000}">
      <text>
        <r>
          <rPr>
            <b/>
            <sz val="9"/>
            <color indexed="81"/>
            <rFont val="Tahoma"/>
            <family val="2"/>
          </rPr>
          <t xml:space="preserve">Slope Compensation flag. If this flag is tripped there is not enough slope compensation. Double check the calculated values. 
</t>
        </r>
        <r>
          <rPr>
            <sz val="9"/>
            <color indexed="81"/>
            <rFont val="Tahoma"/>
            <family val="2"/>
          </rPr>
          <t xml:space="preserve">
</t>
        </r>
      </text>
    </comment>
    <comment ref="K94" authorId="0" shapeId="0" xr:uid="{00000000-0006-0000-0100-000002000000}">
      <text>
        <r>
          <rPr>
            <sz val="9"/>
            <color indexed="81"/>
            <rFont val="Tahoma"/>
            <family val="2"/>
          </rPr>
          <t xml:space="preserve">Tripped if the current sense resistor results in a lower current limit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BMC-BCS</author>
  </authors>
  <commentList>
    <comment ref="V6" authorId="0" shapeId="0" xr:uid="{00000000-0006-0000-0200-000001000000}">
      <text>
        <r>
          <rPr>
            <b/>
            <sz val="9"/>
            <color indexed="81"/>
            <rFont val="Tahoma"/>
            <family val="2"/>
          </rPr>
          <t xml:space="preserve">1 = DCM operation
2 = CCM operation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BMC-BCS</author>
  </authors>
  <commentList>
    <comment ref="O18" authorId="0" shapeId="0" xr:uid="{00000000-0006-0000-0300-000001000000}">
      <text>
        <r>
          <rPr>
            <b/>
            <sz val="9"/>
            <color indexed="81"/>
            <rFont val="Tahoma"/>
            <family val="2"/>
          </rPr>
          <t>BMC-BCS:</t>
        </r>
        <r>
          <rPr>
            <sz val="9"/>
            <color indexed="81"/>
            <rFont val="Tahoma"/>
            <family val="2"/>
          </rPr>
          <t xml:space="preserve">
Need to make this log not linear at some point
</t>
        </r>
      </text>
    </comment>
  </commentList>
</comments>
</file>

<file path=xl/sharedStrings.xml><?xml version="1.0" encoding="utf-8"?>
<sst xmlns="http://schemas.openxmlformats.org/spreadsheetml/2006/main" count="1065" uniqueCount="610">
  <si>
    <t>TERMS OF USE</t>
  </si>
  <si>
    <t>ABOUT</t>
  </si>
  <si>
    <t>=Input Box</t>
  </si>
  <si>
    <t>Step 1: Design Specifications</t>
  </si>
  <si>
    <r>
      <t>Minimum Input Supply Voltage , V</t>
    </r>
    <r>
      <rPr>
        <vertAlign val="subscript"/>
        <sz val="10"/>
        <color theme="1"/>
        <rFont val="Calibri"/>
        <family val="2"/>
        <scheme val="minor"/>
      </rPr>
      <t>SUPPLY(min)</t>
    </r>
    <r>
      <rPr>
        <sz val="10"/>
        <color theme="1"/>
        <rFont val="Calibri"/>
        <family val="2"/>
        <scheme val="minor"/>
      </rPr>
      <t xml:space="preserve"> </t>
    </r>
  </si>
  <si>
    <r>
      <t>Typical Input Supply Voltage, V</t>
    </r>
    <r>
      <rPr>
        <vertAlign val="subscript"/>
        <sz val="10"/>
        <color theme="1"/>
        <rFont val="Calibri"/>
        <family val="2"/>
        <scheme val="minor"/>
      </rPr>
      <t>SUPPLY(typ)</t>
    </r>
    <r>
      <rPr>
        <sz val="10"/>
        <color theme="1"/>
        <rFont val="Calibri"/>
        <family val="2"/>
        <scheme val="minor"/>
      </rPr>
      <t xml:space="preserve"> </t>
    </r>
  </si>
  <si>
    <r>
      <t>Maximum Input Supply Voltage , V</t>
    </r>
    <r>
      <rPr>
        <vertAlign val="subscript"/>
        <sz val="10"/>
        <color theme="1"/>
        <rFont val="Calibri"/>
        <family val="2"/>
        <scheme val="minor"/>
      </rPr>
      <t>SUPPLY(max)</t>
    </r>
    <r>
      <rPr>
        <sz val="10"/>
        <color theme="1"/>
        <rFont val="Calibri"/>
        <family val="2"/>
        <scheme val="minor"/>
      </rPr>
      <t xml:space="preserve"> </t>
    </r>
  </si>
  <si>
    <r>
      <t>Output Target Voltage, V</t>
    </r>
    <r>
      <rPr>
        <vertAlign val="subscript"/>
        <sz val="10"/>
        <color theme="1"/>
        <rFont val="Calibri"/>
        <family val="2"/>
        <scheme val="minor"/>
      </rPr>
      <t>LOAD</t>
    </r>
    <r>
      <rPr>
        <sz val="10"/>
        <color theme="1"/>
        <rFont val="Calibri"/>
        <family val="2"/>
        <scheme val="minor"/>
      </rPr>
      <t xml:space="preserve"> </t>
    </r>
  </si>
  <si>
    <r>
      <t>Maximum Output Current , I</t>
    </r>
    <r>
      <rPr>
        <vertAlign val="subscript"/>
        <sz val="10"/>
        <color theme="1"/>
        <rFont val="Calibri"/>
        <family val="2"/>
        <scheme val="minor"/>
      </rPr>
      <t>LOAD</t>
    </r>
    <r>
      <rPr>
        <sz val="10"/>
        <color theme="1"/>
        <rFont val="Calibri"/>
        <family val="2"/>
        <scheme val="minor"/>
      </rPr>
      <t xml:space="preserve"> </t>
    </r>
  </si>
  <si>
    <r>
      <t>Free Running Switching Frequency, F</t>
    </r>
    <r>
      <rPr>
        <vertAlign val="subscript"/>
        <sz val="10"/>
        <color theme="1"/>
        <rFont val="Calibri"/>
        <family val="2"/>
        <scheme val="minor"/>
      </rPr>
      <t>SW</t>
    </r>
  </si>
  <si>
    <t>V</t>
  </si>
  <si>
    <t>A</t>
  </si>
  <si>
    <t>kHz</t>
  </si>
  <si>
    <t>%</t>
  </si>
  <si>
    <r>
      <t>Output Power, P</t>
    </r>
    <r>
      <rPr>
        <vertAlign val="subscript"/>
        <sz val="10"/>
        <color theme="1"/>
        <rFont val="Calibri"/>
        <family val="2"/>
        <scheme val="minor"/>
      </rPr>
      <t>OUT</t>
    </r>
    <r>
      <rPr>
        <sz val="10"/>
        <color theme="1"/>
        <rFont val="Calibri"/>
        <family val="2"/>
        <scheme val="minor"/>
      </rPr>
      <t xml:space="preserve"> </t>
    </r>
  </si>
  <si>
    <t>EXCEL Variables Names/Calculations</t>
  </si>
  <si>
    <t>Input from user =</t>
  </si>
  <si>
    <t>Output =</t>
  </si>
  <si>
    <t>Constant</t>
  </si>
  <si>
    <t>Variable Name</t>
  </si>
  <si>
    <t>Value</t>
  </si>
  <si>
    <t>STD Units</t>
  </si>
  <si>
    <t>Notes</t>
  </si>
  <si>
    <t>Iteration</t>
  </si>
  <si>
    <t>Step 1: Operational Specs</t>
  </si>
  <si>
    <t>VIN_min</t>
  </si>
  <si>
    <t>VIN_nom</t>
  </si>
  <si>
    <t>VIN_max</t>
  </si>
  <si>
    <t>Minimum input voltage</t>
  </si>
  <si>
    <t>Nominal input voltage</t>
  </si>
  <si>
    <t>Maximum input voltage</t>
  </si>
  <si>
    <t>VOUT</t>
  </si>
  <si>
    <t>Target Output Voltage</t>
  </si>
  <si>
    <t>IOUT</t>
  </si>
  <si>
    <t>Maximum Output current</t>
  </si>
  <si>
    <t>ROUT</t>
  </si>
  <si>
    <t>Ω</t>
  </si>
  <si>
    <t>POUT</t>
  </si>
  <si>
    <t>W</t>
  </si>
  <si>
    <t>EFF_est</t>
  </si>
  <si>
    <t>Total output power</t>
  </si>
  <si>
    <t>Minimum load resistance</t>
  </si>
  <si>
    <t>Dc_max_ideal</t>
  </si>
  <si>
    <t>Dc_max_IC</t>
  </si>
  <si>
    <t>D_2p2_min</t>
  </si>
  <si>
    <t>D_2p2_nom</t>
  </si>
  <si>
    <t>D_2p2_max</t>
  </si>
  <si>
    <t>Minimum max duty cycle at 2p2MHZ operation</t>
  </si>
  <si>
    <t>t_off_max</t>
  </si>
  <si>
    <t>T_off_nom</t>
  </si>
  <si>
    <t>T_off_min</t>
  </si>
  <si>
    <t>s</t>
  </si>
  <si>
    <t>Minimum forced off time</t>
  </si>
  <si>
    <t>nominal forced off time</t>
  </si>
  <si>
    <t>Maximum forced off time</t>
  </si>
  <si>
    <t xml:space="preserve">IC Duty Cycle Limitation: </t>
  </si>
  <si>
    <t>D_limit_min</t>
  </si>
  <si>
    <t>D_limit_nom</t>
  </si>
  <si>
    <t>D_limit_max</t>
  </si>
  <si>
    <t>Nomminal max duty cycle at low frequency</t>
  </si>
  <si>
    <t xml:space="preserve">Base Calculations of </t>
  </si>
  <si>
    <t>Spec conditions</t>
  </si>
  <si>
    <t>Min max duty cycle at low frequency</t>
  </si>
  <si>
    <t>Maximum max duty cycle at low frequency</t>
  </si>
  <si>
    <t>Fsw</t>
  </si>
  <si>
    <t>Hz</t>
  </si>
  <si>
    <t xml:space="preserve">Switching frequnecy </t>
  </si>
  <si>
    <t>Flag</t>
  </si>
  <si>
    <t>RT</t>
  </si>
  <si>
    <t>Oscillator Set resistor. Based on the datasheet equation</t>
  </si>
  <si>
    <r>
      <t>Free running Oscillator Set Resistor, R</t>
    </r>
    <r>
      <rPr>
        <vertAlign val="subscript"/>
        <sz val="10"/>
        <color theme="1"/>
        <rFont val="Calibri"/>
        <family val="2"/>
        <scheme val="minor"/>
      </rPr>
      <t>T</t>
    </r>
  </si>
  <si>
    <r>
      <t>k</t>
    </r>
    <r>
      <rPr>
        <sz val="11"/>
        <color theme="1"/>
        <rFont val="Calibri"/>
        <family val="2"/>
      </rPr>
      <t>Ω</t>
    </r>
  </si>
  <si>
    <t>Step 2: Filter Inductor</t>
  </si>
  <si>
    <t>Dc_Limit</t>
  </si>
  <si>
    <t>Max duty cycle of LM5155 at Fsw</t>
  </si>
  <si>
    <t>EXCEL Constants / Values / IC Limits</t>
  </si>
  <si>
    <r>
      <t>Max Inductor DCR, R</t>
    </r>
    <r>
      <rPr>
        <vertAlign val="subscript"/>
        <sz val="10"/>
        <color theme="1"/>
        <rFont val="Calibri"/>
        <family val="2"/>
        <scheme val="minor"/>
      </rPr>
      <t>DCR</t>
    </r>
  </si>
  <si>
    <t>Dc_VIN_min</t>
  </si>
  <si>
    <t>Dc_VIN_nom</t>
  </si>
  <si>
    <t>Dc_VIN_max</t>
  </si>
  <si>
    <t>ton_min</t>
  </si>
  <si>
    <t>Typical Ton minimum value</t>
  </si>
  <si>
    <t>IL_avg_VIN_min</t>
  </si>
  <si>
    <t>IL_avg_VIN_nom</t>
  </si>
  <si>
    <t>Average input current at minimum input voltage. 100% Eff assumed</t>
  </si>
  <si>
    <t>Average input current at nominal input voltage. 100% Eff assumed</t>
  </si>
  <si>
    <t>Average input current at maximum input voltage. 100% Eff assumed</t>
  </si>
  <si>
    <t>H</t>
  </si>
  <si>
    <t>ILrip</t>
  </si>
  <si>
    <t>Lm</t>
  </si>
  <si>
    <t>Selected filter inductor</t>
  </si>
  <si>
    <t>Rdcr</t>
  </si>
  <si>
    <r>
      <t>m</t>
    </r>
    <r>
      <rPr>
        <sz val="11"/>
        <color theme="1"/>
        <rFont val="Calibri"/>
        <family val="2"/>
      </rPr>
      <t>Ω</t>
    </r>
  </si>
  <si>
    <r>
      <t>Peak inductor current, IL</t>
    </r>
    <r>
      <rPr>
        <vertAlign val="subscript"/>
        <sz val="10"/>
        <color theme="1"/>
        <rFont val="Calibri"/>
        <family val="2"/>
        <scheme val="minor"/>
      </rPr>
      <t>PK</t>
    </r>
  </si>
  <si>
    <t>VIN_33</t>
  </si>
  <si>
    <t>IIN_33</t>
  </si>
  <si>
    <t>Lopt_2</t>
  </si>
  <si>
    <t>.</t>
  </si>
  <si>
    <t>ILp_VINmin</t>
  </si>
  <si>
    <t>Peak inductor current at VIN min. Including estimated efficiency</t>
  </si>
  <si>
    <t>ILrip_VINmin</t>
  </si>
  <si>
    <t xml:space="preserve">Inductor ripple current at VIN min. </t>
  </si>
  <si>
    <t>ILrip_VINnom</t>
  </si>
  <si>
    <t>ILp_VINnom</t>
  </si>
  <si>
    <t>ILrip_VINmax</t>
  </si>
  <si>
    <t>ILp_VINmax</t>
  </si>
  <si>
    <t>Step 3: Current Sense Resistor</t>
  </si>
  <si>
    <t>Selected indutor ripple ratio. Will be changed later to a standard value just to keep things simple</t>
  </si>
  <si>
    <t xml:space="preserve">Inductor ripple current at VIN nom. </t>
  </si>
  <si>
    <t>Peak inductor current at VIN nom. Including estimated efficiency</t>
  </si>
  <si>
    <t xml:space="preserve">Inductor ripple current at VIN max. </t>
  </si>
  <si>
    <t>Peak inductor current at VIN max. Including estimated efficiency</t>
  </si>
  <si>
    <t>Step 3: Current Sense Resistor Selection</t>
  </si>
  <si>
    <t>Ipk_margin</t>
  </si>
  <si>
    <t>Peak current limit margin. 20% is a typical value</t>
  </si>
  <si>
    <t>Ipk_selected</t>
  </si>
  <si>
    <t>Selected peak current limit based on margin selection</t>
  </si>
  <si>
    <t>Peak ripple ratio: Boost this happens at 33%</t>
  </si>
  <si>
    <t>Dc_rip_max</t>
  </si>
  <si>
    <t>Input current at maximum ripple duty cycle</t>
  </si>
  <si>
    <t>Input voltage at maximum ripple duty cycle. If maximum input voltage Dc is &gt;.33 this value will be used</t>
  </si>
  <si>
    <t>Filter inductor DCR</t>
  </si>
  <si>
    <t>Ltol</t>
  </si>
  <si>
    <t>Assumed inductor tolerance. Constant to help simplify the user experience</t>
  </si>
  <si>
    <t>Rcs_max</t>
  </si>
  <si>
    <t>Maximum Rcs based on internal slope compensation. Assuming slope ratio of 1/2</t>
  </si>
  <si>
    <t>Rcs_sl_ratio</t>
  </si>
  <si>
    <t>Isl</t>
  </si>
  <si>
    <t>Internal slope compensation ramp</t>
  </si>
  <si>
    <t>Rsl_int</t>
  </si>
  <si>
    <t>Internal Slope compensation resistor</t>
  </si>
  <si>
    <t>Rcs_wo_sl</t>
  </si>
  <si>
    <t>Vcl</t>
  </si>
  <si>
    <t>Current Limit Value. See datsheet for Parameters</t>
  </si>
  <si>
    <t>Flag_ext_sl</t>
  </si>
  <si>
    <t>R_cs_calc</t>
  </si>
  <si>
    <t>R_sl_calc</t>
  </si>
  <si>
    <t>R_cs</t>
  </si>
  <si>
    <t>R_sl</t>
  </si>
  <si>
    <t>Selected current sense Resistor</t>
  </si>
  <si>
    <t>Check to make sure that slope compensation is high enough at the minimum input voltage</t>
  </si>
  <si>
    <t>Slope Compensation</t>
  </si>
  <si>
    <t>sl_vin_min</t>
  </si>
  <si>
    <t>Actual inductor peak current limit</t>
  </si>
  <si>
    <t>IL_pk</t>
  </si>
  <si>
    <t>IL_pk_max</t>
  </si>
  <si>
    <t>Peak current limit at the minimum input voltage</t>
  </si>
  <si>
    <t>Peak inductor current limit for saturation rating.  VIN max due to the possibility of external slope comp</t>
  </si>
  <si>
    <t>sat_mar</t>
  </si>
  <si>
    <t>Margin for saturation current of the inductor</t>
  </si>
  <si>
    <t>V/V</t>
  </si>
  <si>
    <t>IL_sat</t>
  </si>
  <si>
    <t>Recommended Saturation current rating of the selected inductor</t>
  </si>
  <si>
    <t>COMP voltage Limit checks</t>
  </si>
  <si>
    <t>Step 4: Output Capacitor Selection</t>
  </si>
  <si>
    <t>mV</t>
  </si>
  <si>
    <t xml:space="preserve">Minimum output capacitance </t>
  </si>
  <si>
    <t>uF</t>
  </si>
  <si>
    <r>
      <t>Selected Output Capacitance (C</t>
    </r>
    <r>
      <rPr>
        <vertAlign val="subscript"/>
        <sz val="11"/>
        <color theme="1"/>
        <rFont val="Calibri"/>
        <family val="2"/>
        <scheme val="minor"/>
      </rPr>
      <t>OUT</t>
    </r>
    <r>
      <rPr>
        <sz val="11"/>
        <color theme="1"/>
        <rFont val="Calibri"/>
        <family val="2"/>
        <scheme val="minor"/>
      </rPr>
      <t>)</t>
    </r>
  </si>
  <si>
    <t>Desired output ripple</t>
  </si>
  <si>
    <t>Vout_rip_sel</t>
  </si>
  <si>
    <t>Cout_min</t>
  </si>
  <si>
    <t>F</t>
  </si>
  <si>
    <t>Calculate minimum capacitance based simply on the capacitive ripple</t>
  </si>
  <si>
    <t>IRMS_COUT</t>
  </si>
  <si>
    <r>
      <t>Equivalent  COUT ESR (R</t>
    </r>
    <r>
      <rPr>
        <vertAlign val="subscript"/>
        <sz val="11"/>
        <color theme="1"/>
        <rFont val="Calibri"/>
        <family val="2"/>
        <scheme val="minor"/>
      </rPr>
      <t>ESR</t>
    </r>
    <r>
      <rPr>
        <sz val="11"/>
        <color theme="1"/>
        <rFont val="Calibri"/>
        <family val="2"/>
        <scheme val="minor"/>
      </rPr>
      <t>)</t>
    </r>
  </si>
  <si>
    <t>Resr</t>
  </si>
  <si>
    <t>Selected Output Capacitance</t>
  </si>
  <si>
    <t>Selected output capacitance ESR</t>
  </si>
  <si>
    <t>Cout</t>
  </si>
  <si>
    <r>
      <t>Selected Peak Current limit(IL</t>
    </r>
    <r>
      <rPr>
        <vertAlign val="subscript"/>
        <sz val="11"/>
        <color theme="1"/>
        <rFont val="Calibri"/>
        <family val="2"/>
        <scheme val="minor"/>
      </rPr>
      <t>PK_select</t>
    </r>
    <r>
      <rPr>
        <sz val="11"/>
        <color theme="1"/>
        <rFont val="Calibri"/>
        <family val="2"/>
        <scheme val="minor"/>
      </rPr>
      <t>)</t>
    </r>
  </si>
  <si>
    <t>Step 5: Loop Compensation</t>
  </si>
  <si>
    <t>Input Parameters</t>
  </si>
  <si>
    <t>Output Voltage</t>
  </si>
  <si>
    <t>Component Selection</t>
  </si>
  <si>
    <t>LM</t>
  </si>
  <si>
    <t>filter Inductor</t>
  </si>
  <si>
    <t>Current sense resi</t>
  </si>
  <si>
    <t>Interanl Slope Compesnation Resistor</t>
  </si>
  <si>
    <t>Interanl Slope Compesnation current</t>
  </si>
  <si>
    <t>RCOMP</t>
  </si>
  <si>
    <t>kΩ</t>
  </si>
  <si>
    <t>pF</t>
  </si>
  <si>
    <t>nF</t>
  </si>
  <si>
    <t>CCOMP</t>
  </si>
  <si>
    <t>CHF</t>
  </si>
  <si>
    <t>Type II compensation Resistort</t>
  </si>
  <si>
    <t>Type II compensation Capacitor</t>
  </si>
  <si>
    <t>Type II high frequency capacitor</t>
  </si>
  <si>
    <t>RFBT</t>
  </si>
  <si>
    <t>RFBB</t>
  </si>
  <si>
    <t>Compensation Components</t>
  </si>
  <si>
    <t>Top feedback resistor</t>
  </si>
  <si>
    <t>Bottom feedback resistor</t>
  </si>
  <si>
    <t>Calculations</t>
  </si>
  <si>
    <t>Frequency</t>
  </si>
  <si>
    <t>Selected VIN</t>
  </si>
  <si>
    <t>VIN_var</t>
  </si>
  <si>
    <t>VIN_VAR</t>
  </si>
  <si>
    <t>Variable input voltage</t>
  </si>
  <si>
    <t>ADC</t>
  </si>
  <si>
    <t>Gcomp</t>
  </si>
  <si>
    <t>Scale down factor of the interal comp voltage divider</t>
  </si>
  <si>
    <t>Intenal step down of the divider</t>
  </si>
  <si>
    <t>DC gain of the plant function</t>
  </si>
  <si>
    <t>Acs</t>
  </si>
  <si>
    <t>Current sense Amplifier Gain (1 for this device)</t>
  </si>
  <si>
    <t>Low Frequency Pole</t>
  </si>
  <si>
    <t>RHPz zero of boost converter</t>
  </si>
  <si>
    <t>ESR zero cause by output capacitance</t>
  </si>
  <si>
    <t>wsl</t>
  </si>
  <si>
    <t>Q</t>
  </si>
  <si>
    <t>Se</t>
  </si>
  <si>
    <t xml:space="preserve">Slope compensation </t>
  </si>
  <si>
    <t>Down slope at the selected input voltage</t>
  </si>
  <si>
    <t>Sn</t>
  </si>
  <si>
    <t>Rad</t>
  </si>
  <si>
    <t>wp_lf</t>
  </si>
  <si>
    <t>wz_rhp</t>
  </si>
  <si>
    <t>wz_esr</t>
  </si>
  <si>
    <t>Gain</t>
  </si>
  <si>
    <t>Phase</t>
  </si>
  <si>
    <t>Sampling</t>
  </si>
  <si>
    <t>Complex</t>
  </si>
  <si>
    <t>Total</t>
  </si>
  <si>
    <t>Error Amplifier</t>
  </si>
  <si>
    <t>wz_ea</t>
  </si>
  <si>
    <t>Adc_ea</t>
  </si>
  <si>
    <t>gm_ea</t>
  </si>
  <si>
    <t>Error Amplifier Gain</t>
  </si>
  <si>
    <t>A/V</t>
  </si>
  <si>
    <t>wp0_ea</t>
  </si>
  <si>
    <t>wp1_ea</t>
  </si>
  <si>
    <t>ADC_ea</t>
  </si>
  <si>
    <t xml:space="preserve">Gain </t>
  </si>
  <si>
    <t>COMPLEX</t>
  </si>
  <si>
    <t>Gain of open loop at wp_Lf</t>
  </si>
  <si>
    <t>dB</t>
  </si>
  <si>
    <r>
      <t xml:space="preserve">Variable input voltage to model the loop. </t>
    </r>
    <r>
      <rPr>
        <b/>
        <sz val="11"/>
        <color theme="1"/>
        <rFont val="Calibri"/>
        <family val="2"/>
        <scheme val="minor"/>
      </rPr>
      <t>Currently not used. Will be updated in next rev</t>
    </r>
  </si>
  <si>
    <t>Selected by user. Feedback resistor should be &gt;100uA to help reject noise</t>
  </si>
  <si>
    <t>Error Amplifier Zero</t>
  </si>
  <si>
    <t>Error Amplifier pole at the origin</t>
  </si>
  <si>
    <t>Error Amplifier pole at high frequencies</t>
  </si>
  <si>
    <t>RFBB_CALC</t>
  </si>
  <si>
    <t>Vref</t>
  </si>
  <si>
    <t>Reference voltage</t>
  </si>
  <si>
    <t>Estimated bottom feedback resistor</t>
  </si>
  <si>
    <t>Selected botton feedback resistor</t>
  </si>
  <si>
    <t>Ifb</t>
  </si>
  <si>
    <r>
      <t xml:space="preserve">Plant low frequency pole. </t>
    </r>
    <r>
      <rPr>
        <b/>
        <sz val="11"/>
        <color theme="1"/>
        <rFont val="Calibri"/>
        <family val="2"/>
        <scheme val="minor"/>
      </rPr>
      <t>IN Hz!!!</t>
    </r>
  </si>
  <si>
    <r>
      <t xml:space="preserve">Plant RHP Zero, </t>
    </r>
    <r>
      <rPr>
        <b/>
        <sz val="11"/>
        <color theme="1"/>
        <rFont val="Calibri"/>
        <family val="2"/>
        <scheme val="minor"/>
      </rPr>
      <t>(IN Hz)</t>
    </r>
  </si>
  <si>
    <r>
      <t xml:space="preserve">Plant capacitor ESR zero </t>
    </r>
    <r>
      <rPr>
        <b/>
        <sz val="11"/>
        <color theme="1"/>
        <rFont val="Calibri"/>
        <family val="2"/>
        <scheme val="minor"/>
      </rPr>
      <t>(In Hz)</t>
    </r>
  </si>
  <si>
    <t>Feedback resistor selection</t>
  </si>
  <si>
    <t>Crossover Frequency Selection</t>
  </si>
  <si>
    <t>fcross</t>
  </si>
  <si>
    <t>Desired Crossover frequency</t>
  </si>
  <si>
    <t>1/10 the swictching frequency</t>
  </si>
  <si>
    <t>Select the lower crossover frequency</t>
  </si>
  <si>
    <t>wz_RHP</t>
  </si>
  <si>
    <t>Rcomp_Calc</t>
  </si>
  <si>
    <t>Calculate on based on the desired Mid-band gain needed to set the crossover frequency</t>
  </si>
  <si>
    <t>fz_ea_est</t>
  </si>
  <si>
    <t>CCOMP_calc</t>
  </si>
  <si>
    <t>fp_ea_est</t>
  </si>
  <si>
    <t>Efficiency / Power Loss Analyzer</t>
  </si>
  <si>
    <r>
      <t>R</t>
    </r>
    <r>
      <rPr>
        <vertAlign val="subscript"/>
        <sz val="11"/>
        <color theme="1"/>
        <rFont val="Calibri"/>
        <family val="2"/>
        <scheme val="minor"/>
      </rPr>
      <t>COMP</t>
    </r>
  </si>
  <si>
    <t>Calculated</t>
  </si>
  <si>
    <t>Selected</t>
  </si>
  <si>
    <t>Steps</t>
  </si>
  <si>
    <t>Step size</t>
  </si>
  <si>
    <t>VIN</t>
  </si>
  <si>
    <t>DCM/CCM</t>
  </si>
  <si>
    <t>DC</t>
  </si>
  <si>
    <t>IIN</t>
  </si>
  <si>
    <t>Icrms_min</t>
  </si>
  <si>
    <t>Minimum required RMS current rating for the output capacitor bank</t>
  </si>
  <si>
    <t>On-time of the switch</t>
  </si>
  <si>
    <t>Soft-Start</t>
  </si>
  <si>
    <t>Iss</t>
  </si>
  <si>
    <t>Soft-start capacitor charge current</t>
  </si>
  <si>
    <t>Soft-Start Charge current</t>
  </si>
  <si>
    <t>Css_min</t>
  </si>
  <si>
    <t>Suggested minimum SS capacitor to minize the over shoot.</t>
  </si>
  <si>
    <t>tss</t>
  </si>
  <si>
    <t>Desired Soft-Start Capacitor</t>
  </si>
  <si>
    <r>
      <t>Suggested minimum soft-start capacitor (C</t>
    </r>
    <r>
      <rPr>
        <vertAlign val="subscript"/>
        <sz val="11"/>
        <color theme="1"/>
        <rFont val="Calibri"/>
        <family val="2"/>
        <scheme val="minor"/>
      </rPr>
      <t>SS_MIN</t>
    </r>
    <r>
      <rPr>
        <sz val="11"/>
        <color theme="1"/>
        <rFont val="Calibri"/>
        <family val="2"/>
        <scheme val="minor"/>
      </rPr>
      <t>)</t>
    </r>
  </si>
  <si>
    <t>ms</t>
  </si>
  <si>
    <t>Css_calc</t>
  </si>
  <si>
    <t>Calcualted Soft-start capacitor</t>
  </si>
  <si>
    <r>
      <t>Calculated soft-start capacitor (C</t>
    </r>
    <r>
      <rPr>
        <vertAlign val="subscript"/>
        <sz val="11"/>
        <color theme="1"/>
        <rFont val="Calibri"/>
        <family val="2"/>
        <scheme val="minor"/>
      </rPr>
      <t>SS</t>
    </r>
    <r>
      <rPr>
        <sz val="11"/>
        <color theme="1"/>
        <rFont val="Calibri"/>
        <family val="2"/>
        <scheme val="minor"/>
      </rPr>
      <t>)</t>
    </r>
  </si>
  <si>
    <r>
      <t>Desied soft-start time at minimum input voltage (T</t>
    </r>
    <r>
      <rPr>
        <vertAlign val="subscript"/>
        <sz val="11"/>
        <color theme="1"/>
        <rFont val="Calibri"/>
        <family val="2"/>
        <scheme val="minor"/>
      </rPr>
      <t>SS</t>
    </r>
    <r>
      <rPr>
        <sz val="11"/>
        <color theme="1"/>
        <rFont val="Calibri"/>
        <family val="2"/>
        <scheme val="minor"/>
      </rPr>
      <t>)</t>
    </r>
  </si>
  <si>
    <t>Step 6: UVLO Resistor Selection</t>
  </si>
  <si>
    <t>Step 5: Soft-start Capacitor selection</t>
  </si>
  <si>
    <t>Vuvlo_on</t>
  </si>
  <si>
    <t>Vuvlo_off</t>
  </si>
  <si>
    <t>Desired turn on voltage</t>
  </si>
  <si>
    <t>Desired turn off voltage</t>
  </si>
  <si>
    <t>UVLO Thresholds</t>
  </si>
  <si>
    <t>UV_rise</t>
  </si>
  <si>
    <t>UV_fall</t>
  </si>
  <si>
    <t>Falling threshold (See datasheet for more details)</t>
  </si>
  <si>
    <t>Rising Threshold (See datasheet for more details)</t>
  </si>
  <si>
    <t>Rising UV threshold</t>
  </si>
  <si>
    <t>Falling  UV threshold</t>
  </si>
  <si>
    <t>UV_I_hyst</t>
  </si>
  <si>
    <t>UVLO current hysteresis</t>
  </si>
  <si>
    <t>UVLO circuit current hysteresis</t>
  </si>
  <si>
    <t>Ruvlo_top_calc</t>
  </si>
  <si>
    <t>Ruvlo_bottom_calc</t>
  </si>
  <si>
    <t>Vuvlo_on_act</t>
  </si>
  <si>
    <t>Vuvlo_off_act</t>
  </si>
  <si>
    <t>Actual turn on voltage</t>
  </si>
  <si>
    <t>Actual turn off voltage</t>
  </si>
  <si>
    <t>Step  7: Loop Compensation</t>
  </si>
  <si>
    <t>Operation Variables</t>
  </si>
  <si>
    <t>Duty Cycle</t>
  </si>
  <si>
    <t>dIL</t>
  </si>
  <si>
    <r>
      <t>IL</t>
    </r>
    <r>
      <rPr>
        <vertAlign val="subscript"/>
        <sz val="11"/>
        <color theme="1"/>
        <rFont val="Calibri"/>
        <family val="2"/>
        <scheme val="minor"/>
      </rPr>
      <t>RMS</t>
    </r>
  </si>
  <si>
    <r>
      <t>IL</t>
    </r>
    <r>
      <rPr>
        <vertAlign val="subscript"/>
        <sz val="11"/>
        <color theme="1"/>
        <rFont val="Calibri"/>
        <family val="2"/>
        <scheme val="minor"/>
      </rPr>
      <t>PEAK</t>
    </r>
  </si>
  <si>
    <t>DC_off</t>
  </si>
  <si>
    <t>Step 7: Component Selection</t>
  </si>
  <si>
    <t>Vd_rect</t>
  </si>
  <si>
    <r>
      <t>ID</t>
    </r>
    <r>
      <rPr>
        <vertAlign val="subscript"/>
        <sz val="11"/>
        <color theme="1"/>
        <rFont val="Calibri"/>
        <family val="2"/>
        <scheme val="minor"/>
      </rPr>
      <t xml:space="preserve">AVG </t>
    </r>
    <r>
      <rPr>
        <sz val="11"/>
        <color theme="1"/>
        <rFont val="Calibri"/>
        <family val="2"/>
        <scheme val="minor"/>
      </rPr>
      <t>(A)</t>
    </r>
  </si>
  <si>
    <r>
      <t>P</t>
    </r>
    <r>
      <rPr>
        <vertAlign val="subscript"/>
        <sz val="11"/>
        <color theme="1"/>
        <rFont val="Calibri"/>
        <family val="2"/>
        <scheme val="minor"/>
      </rPr>
      <t>Lac</t>
    </r>
    <r>
      <rPr>
        <sz val="11"/>
        <color theme="1"/>
        <rFont val="Calibri"/>
        <family val="2"/>
        <scheme val="minor"/>
      </rPr>
      <t xml:space="preserve"> (W)</t>
    </r>
  </si>
  <si>
    <r>
      <t>P</t>
    </r>
    <r>
      <rPr>
        <vertAlign val="subscript"/>
        <sz val="11"/>
        <color theme="1"/>
        <rFont val="Calibri"/>
        <family val="2"/>
        <scheme val="minor"/>
      </rPr>
      <t>L_DCR</t>
    </r>
    <r>
      <rPr>
        <sz val="11"/>
        <color theme="1"/>
        <rFont val="Calibri"/>
        <family val="2"/>
        <scheme val="minor"/>
      </rPr>
      <t xml:space="preserve"> (W)</t>
    </r>
  </si>
  <si>
    <r>
      <t>P</t>
    </r>
    <r>
      <rPr>
        <vertAlign val="subscript"/>
        <sz val="11"/>
        <color theme="1"/>
        <rFont val="Calibri"/>
        <family val="2"/>
        <scheme val="minor"/>
      </rPr>
      <t xml:space="preserve">D_COND </t>
    </r>
    <r>
      <rPr>
        <sz val="11"/>
        <color theme="1"/>
        <rFont val="Calibri"/>
        <family val="2"/>
        <scheme val="minor"/>
      </rPr>
      <t>(W)</t>
    </r>
  </si>
  <si>
    <r>
      <t>P</t>
    </r>
    <r>
      <rPr>
        <vertAlign val="subscript"/>
        <sz val="11"/>
        <color theme="1"/>
        <rFont val="Calibri"/>
        <family val="2"/>
        <scheme val="minor"/>
      </rPr>
      <t xml:space="preserve">D_SW </t>
    </r>
    <r>
      <rPr>
        <sz val="11"/>
        <color theme="1"/>
        <rFont val="Calibri"/>
        <family val="2"/>
        <scheme val="minor"/>
      </rPr>
      <t>(W)</t>
    </r>
  </si>
  <si>
    <r>
      <t>On-State Resistance, R</t>
    </r>
    <r>
      <rPr>
        <vertAlign val="subscript"/>
        <sz val="10"/>
        <rFont val="Arial"/>
        <family val="2"/>
      </rPr>
      <t>DS(on)</t>
    </r>
    <r>
      <rPr>
        <sz val="10"/>
        <rFont val="Arial"/>
        <family val="2"/>
      </rPr>
      <t xml:space="preserve"> </t>
    </r>
  </si>
  <si>
    <r>
      <t>Total Gate Charge, Q</t>
    </r>
    <r>
      <rPr>
        <vertAlign val="subscript"/>
        <sz val="10"/>
        <rFont val="Arial"/>
        <family val="2"/>
      </rPr>
      <t>G</t>
    </r>
    <r>
      <rPr>
        <sz val="10"/>
        <rFont val="Arial"/>
        <family val="2"/>
      </rPr>
      <t xml:space="preserve"> </t>
    </r>
  </si>
  <si>
    <r>
      <t>Gate-Drain Charge, Q</t>
    </r>
    <r>
      <rPr>
        <vertAlign val="subscript"/>
        <sz val="10"/>
        <rFont val="Arial"/>
        <family val="2"/>
      </rPr>
      <t>GD</t>
    </r>
    <r>
      <rPr>
        <sz val="10"/>
        <rFont val="Arial"/>
        <family val="2"/>
      </rPr>
      <t xml:space="preserve"> </t>
    </r>
  </si>
  <si>
    <r>
      <t>Gate-Source Charge, Q</t>
    </r>
    <r>
      <rPr>
        <vertAlign val="subscript"/>
        <sz val="10"/>
        <rFont val="Arial"/>
        <family val="2"/>
      </rPr>
      <t>GS</t>
    </r>
    <r>
      <rPr>
        <sz val="10"/>
        <rFont val="Arial"/>
        <family val="2"/>
      </rPr>
      <t xml:space="preserve"> </t>
    </r>
  </si>
  <si>
    <r>
      <t>Gate Resistance, R</t>
    </r>
    <r>
      <rPr>
        <vertAlign val="subscript"/>
        <sz val="10"/>
        <rFont val="Arial"/>
        <family val="2"/>
      </rPr>
      <t>G</t>
    </r>
    <r>
      <rPr>
        <sz val="10"/>
        <rFont val="Arial"/>
        <family val="2"/>
      </rPr>
      <t xml:space="preserve"> </t>
    </r>
  </si>
  <si>
    <r>
      <t>Transconductance, g</t>
    </r>
    <r>
      <rPr>
        <vertAlign val="subscript"/>
        <sz val="10"/>
        <rFont val="Arial"/>
        <family val="2"/>
      </rPr>
      <t>FS</t>
    </r>
    <r>
      <rPr>
        <sz val="10"/>
        <rFont val="Arial"/>
        <family val="2"/>
      </rPr>
      <t xml:space="preserve"> </t>
    </r>
  </si>
  <si>
    <r>
      <t>Gate-Source Threshold Voltage, V</t>
    </r>
    <r>
      <rPr>
        <vertAlign val="subscript"/>
        <sz val="10"/>
        <rFont val="Arial"/>
        <family val="2"/>
      </rPr>
      <t>TH</t>
    </r>
    <r>
      <rPr>
        <sz val="10"/>
        <rFont val="Arial"/>
        <family val="2"/>
      </rPr>
      <t xml:space="preserve"> </t>
    </r>
  </si>
  <si>
    <t>mΩ</t>
  </si>
  <si>
    <t>nC</t>
  </si>
  <si>
    <t>Ω</t>
  </si>
  <si>
    <t>S</t>
  </si>
  <si>
    <t>Diode Parameters</t>
  </si>
  <si>
    <t>Qg_tot</t>
  </si>
  <si>
    <t>Qgs</t>
  </si>
  <si>
    <t>Qgd</t>
  </si>
  <si>
    <t>Rgate</t>
  </si>
  <si>
    <t>gfs</t>
  </si>
  <si>
    <t>Vth</t>
  </si>
  <si>
    <t>C</t>
  </si>
  <si>
    <t>Qrr</t>
  </si>
  <si>
    <t>RDS_on</t>
  </si>
  <si>
    <t>Rgate_int</t>
  </si>
  <si>
    <t>Internal Gate resistance of the MOSFET driver.</t>
  </si>
  <si>
    <t>Vsp</t>
  </si>
  <si>
    <t>Gate voltage when MOSFET begins conducting current</t>
  </si>
  <si>
    <t>Rise time of the switch node</t>
  </si>
  <si>
    <t>Fall time of the switch node</t>
  </si>
  <si>
    <t>VCC</t>
  </si>
  <si>
    <t>VCC regulator</t>
  </si>
  <si>
    <t>Vcc</t>
  </si>
  <si>
    <t>Regulated output voltage of internal LDO. Can change if this is externally biased.</t>
  </si>
  <si>
    <t>Need to double check this value</t>
  </si>
  <si>
    <t xml:space="preserve">VCC voltage. Can be changed with external bias. </t>
  </si>
  <si>
    <t>tr_sw</t>
  </si>
  <si>
    <t>tf_sw</t>
  </si>
  <si>
    <r>
      <t>ISW</t>
    </r>
    <r>
      <rPr>
        <vertAlign val="subscript"/>
        <sz val="11"/>
        <color theme="1"/>
        <rFont val="Calibri"/>
        <family val="2"/>
        <scheme val="minor"/>
      </rPr>
      <t xml:space="preserve">AVG </t>
    </r>
    <r>
      <rPr>
        <sz val="11"/>
        <color theme="1"/>
        <rFont val="Calibri"/>
        <family val="2"/>
        <scheme val="minor"/>
      </rPr>
      <t>(A)</t>
    </r>
  </si>
  <si>
    <r>
      <t>ISW</t>
    </r>
    <r>
      <rPr>
        <vertAlign val="subscript"/>
        <sz val="11"/>
        <color theme="1"/>
        <rFont val="Calibri"/>
        <family val="2"/>
        <scheme val="minor"/>
      </rPr>
      <t>RMS</t>
    </r>
  </si>
  <si>
    <r>
      <t>P</t>
    </r>
    <r>
      <rPr>
        <vertAlign val="subscript"/>
        <sz val="11"/>
        <color theme="1"/>
        <rFont val="Calibri"/>
        <family val="2"/>
        <scheme val="minor"/>
      </rPr>
      <t xml:space="preserve">Q_SW </t>
    </r>
    <r>
      <rPr>
        <sz val="11"/>
        <color theme="1"/>
        <rFont val="Calibri"/>
        <family val="2"/>
        <scheme val="minor"/>
      </rPr>
      <t>(W)</t>
    </r>
  </si>
  <si>
    <r>
      <t>P</t>
    </r>
    <r>
      <rPr>
        <vertAlign val="subscript"/>
        <sz val="11"/>
        <color theme="1"/>
        <rFont val="Calibri"/>
        <family val="2"/>
        <scheme val="minor"/>
      </rPr>
      <t xml:space="preserve">Q_COND </t>
    </r>
    <r>
      <rPr>
        <sz val="11"/>
        <color theme="1"/>
        <rFont val="Calibri"/>
        <family val="2"/>
        <scheme val="minor"/>
      </rPr>
      <t>(W)</t>
    </r>
  </si>
  <si>
    <r>
      <t>P</t>
    </r>
    <r>
      <rPr>
        <vertAlign val="subscript"/>
        <sz val="11"/>
        <color theme="1"/>
        <rFont val="Calibri"/>
        <family val="2"/>
        <scheme val="minor"/>
      </rPr>
      <t xml:space="preserve">Q_tot </t>
    </r>
    <r>
      <rPr>
        <sz val="11"/>
        <color theme="1"/>
        <rFont val="Calibri"/>
        <family val="2"/>
        <scheme val="minor"/>
      </rPr>
      <t>(W)</t>
    </r>
  </si>
  <si>
    <r>
      <t>P</t>
    </r>
    <r>
      <rPr>
        <vertAlign val="subscript"/>
        <sz val="11"/>
        <color theme="1"/>
        <rFont val="Calibri"/>
        <family val="2"/>
        <scheme val="minor"/>
      </rPr>
      <t>L_tot</t>
    </r>
    <r>
      <rPr>
        <sz val="11"/>
        <color theme="1"/>
        <rFont val="Calibri"/>
        <family val="2"/>
        <scheme val="minor"/>
      </rPr>
      <t xml:space="preserve"> (W)</t>
    </r>
  </si>
  <si>
    <r>
      <t>P</t>
    </r>
    <r>
      <rPr>
        <vertAlign val="subscript"/>
        <sz val="11"/>
        <color theme="1"/>
        <rFont val="Calibri"/>
        <family val="2"/>
        <scheme val="minor"/>
      </rPr>
      <t>RCS</t>
    </r>
    <r>
      <rPr>
        <sz val="11"/>
        <color theme="1"/>
        <rFont val="Calibri"/>
        <family val="2"/>
        <scheme val="minor"/>
      </rPr>
      <t xml:space="preserve"> (W)</t>
    </r>
  </si>
  <si>
    <t>Total Losses</t>
  </si>
  <si>
    <r>
      <t>P</t>
    </r>
    <r>
      <rPr>
        <vertAlign val="subscript"/>
        <sz val="11"/>
        <color theme="1"/>
        <rFont val="Calibri"/>
        <family val="2"/>
        <scheme val="minor"/>
      </rPr>
      <t>TOTAL</t>
    </r>
    <r>
      <rPr>
        <sz val="11"/>
        <color theme="1"/>
        <rFont val="Calibri"/>
        <family val="2"/>
        <scheme val="minor"/>
      </rPr>
      <t xml:space="preserve"> (W)</t>
    </r>
  </si>
  <si>
    <r>
      <t>P</t>
    </r>
    <r>
      <rPr>
        <vertAlign val="subscript"/>
        <sz val="11"/>
        <color theme="1"/>
        <rFont val="Calibri"/>
        <family val="2"/>
        <scheme val="minor"/>
      </rPr>
      <t>G_drv</t>
    </r>
    <r>
      <rPr>
        <sz val="11"/>
        <color theme="1"/>
        <rFont val="Calibri"/>
        <family val="2"/>
        <scheme val="minor"/>
      </rPr>
      <t xml:space="preserve"> (W)</t>
    </r>
  </si>
  <si>
    <r>
      <t>P</t>
    </r>
    <r>
      <rPr>
        <vertAlign val="subscript"/>
        <sz val="11"/>
        <color theme="1"/>
        <rFont val="Calibri"/>
        <family val="2"/>
        <scheme val="minor"/>
      </rPr>
      <t>IQ</t>
    </r>
    <r>
      <rPr>
        <sz val="11"/>
        <color theme="1"/>
        <rFont val="Calibri"/>
        <family val="2"/>
        <scheme val="minor"/>
      </rPr>
      <t xml:space="preserve"> (W)</t>
    </r>
  </si>
  <si>
    <t>IQ current</t>
  </si>
  <si>
    <t xml:space="preserve">IQ </t>
  </si>
  <si>
    <t>Non-switching IQ current</t>
  </si>
  <si>
    <t>Other Losses</t>
  </si>
  <si>
    <t>Eff</t>
  </si>
  <si>
    <r>
      <t>P</t>
    </r>
    <r>
      <rPr>
        <vertAlign val="subscript"/>
        <sz val="11"/>
        <color theme="1"/>
        <rFont val="Calibri"/>
        <family val="2"/>
        <scheme val="minor"/>
      </rPr>
      <t>OUT</t>
    </r>
    <r>
      <rPr>
        <sz val="11"/>
        <color theme="1"/>
        <rFont val="Calibri"/>
        <family val="2"/>
        <scheme val="minor"/>
      </rPr>
      <t xml:space="preserve"> (W)</t>
    </r>
  </si>
  <si>
    <t>Inductor</t>
  </si>
  <si>
    <r>
      <t>C</t>
    </r>
    <r>
      <rPr>
        <vertAlign val="subscript"/>
        <sz val="11"/>
        <color theme="1"/>
        <rFont val="Calibri"/>
        <family val="2"/>
        <scheme val="minor"/>
      </rPr>
      <t>COMP</t>
    </r>
  </si>
  <si>
    <r>
      <t>C</t>
    </r>
    <r>
      <rPr>
        <vertAlign val="subscript"/>
        <sz val="11"/>
        <color theme="1"/>
        <rFont val="Calibri"/>
        <family val="2"/>
        <scheme val="minor"/>
      </rPr>
      <t>HF</t>
    </r>
  </si>
  <si>
    <t>IOUT_VAR</t>
  </si>
  <si>
    <t>RHP_zero location based on the minimum input voltage</t>
  </si>
  <si>
    <t>Low frequency pole based on the minimum input voltage</t>
  </si>
  <si>
    <t>rad</t>
  </si>
  <si>
    <t>raf</t>
  </si>
  <si>
    <t>ESR zero based on the minimum input voltage</t>
  </si>
  <si>
    <t>This is based on the minimum input voltage. T</t>
  </si>
  <si>
    <t>Input Voltage</t>
  </si>
  <si>
    <r>
      <t>Recommended Inductance (L</t>
    </r>
    <r>
      <rPr>
        <vertAlign val="subscript"/>
        <sz val="10"/>
        <color theme="1"/>
        <rFont val="Calibri"/>
        <family val="2"/>
        <scheme val="minor"/>
      </rPr>
      <t>M_CALC</t>
    </r>
    <r>
      <rPr>
        <sz val="10"/>
        <color theme="1"/>
        <rFont val="Calibri"/>
        <family val="2"/>
        <scheme val="minor"/>
      </rPr>
      <t>)</t>
    </r>
  </si>
  <si>
    <r>
      <t>User Selection. Inductance, (L</t>
    </r>
    <r>
      <rPr>
        <vertAlign val="subscript"/>
        <sz val="10"/>
        <color theme="1"/>
        <rFont val="Calibri"/>
        <family val="2"/>
        <scheme val="minor"/>
      </rPr>
      <t>M</t>
    </r>
    <r>
      <rPr>
        <sz val="10"/>
        <color theme="1"/>
        <rFont val="Calibri"/>
        <family val="2"/>
        <scheme val="minor"/>
      </rPr>
      <t>)</t>
    </r>
  </si>
  <si>
    <t>Id_AVG</t>
  </si>
  <si>
    <t xml:space="preserve">Suggested average current rating of diode. </t>
  </si>
  <si>
    <t>Calcualted top UVLO resistor</t>
  </si>
  <si>
    <t>Selected top UVLO resistor</t>
  </si>
  <si>
    <t>Calcualted Bottom UBLO Resistor</t>
  </si>
  <si>
    <t>Frcoss (VIN)min</t>
  </si>
  <si>
    <t>ADC_VINmin</t>
  </si>
  <si>
    <t>wp_lf_VINmin</t>
  </si>
  <si>
    <t>fp_lf_VINmin</t>
  </si>
  <si>
    <t>wz_esr_VINmin</t>
  </si>
  <si>
    <t>fz_esr_VINmin</t>
  </si>
  <si>
    <t>wz_RHP_VINmin</t>
  </si>
  <si>
    <t>fz_rhp_VINmin</t>
  </si>
  <si>
    <t>Se_VINmin</t>
  </si>
  <si>
    <t>Sn_VINmin</t>
  </si>
  <si>
    <t>wsl_VINmin</t>
  </si>
  <si>
    <t>Q_VINmin</t>
  </si>
  <si>
    <t>Operation Raange</t>
  </si>
  <si>
    <t>Vin_op_min</t>
  </si>
  <si>
    <t>Minimum operating voltage</t>
  </si>
  <si>
    <t>Maximum BIAS pin operating voltage</t>
  </si>
  <si>
    <t>Vin_op_max</t>
  </si>
  <si>
    <r>
      <t>Ideal Duty Cycle at V</t>
    </r>
    <r>
      <rPr>
        <vertAlign val="subscript"/>
        <sz val="10"/>
        <color theme="1"/>
        <rFont val="Calibri"/>
        <family val="2"/>
        <scheme val="minor"/>
      </rPr>
      <t xml:space="preserve">SUPPLY(MIN) </t>
    </r>
  </si>
  <si>
    <t>Peak Current Limit Margin</t>
  </si>
  <si>
    <r>
      <t>Voltage selected (V</t>
    </r>
    <r>
      <rPr>
        <vertAlign val="subscript"/>
        <sz val="11"/>
        <rFont val="Calibri"/>
        <family val="2"/>
        <scheme val="minor"/>
      </rPr>
      <t>IN_VAR</t>
    </r>
    <r>
      <rPr>
        <sz val="11"/>
        <rFont val="Calibri"/>
        <family val="2"/>
        <scheme val="minor"/>
      </rPr>
      <t>)</t>
    </r>
  </si>
  <si>
    <t>This should be set at or near the lowest RHP zero Frequency</t>
  </si>
  <si>
    <r>
      <t>Recommended current sense Resistor (R</t>
    </r>
    <r>
      <rPr>
        <vertAlign val="subscript"/>
        <sz val="11"/>
        <color theme="1"/>
        <rFont val="Calibri"/>
        <family val="2"/>
        <scheme val="minor"/>
      </rPr>
      <t>S</t>
    </r>
    <r>
      <rPr>
        <sz val="11"/>
        <color theme="1"/>
        <rFont val="Calibri"/>
        <family val="2"/>
        <scheme val="minor"/>
      </rPr>
      <t>)</t>
    </r>
  </si>
  <si>
    <r>
      <t>Selected current sense Resistor (R</t>
    </r>
    <r>
      <rPr>
        <vertAlign val="subscript"/>
        <sz val="11"/>
        <color theme="1"/>
        <rFont val="Calibri"/>
        <family val="2"/>
        <scheme val="minor"/>
      </rPr>
      <t>S</t>
    </r>
    <r>
      <rPr>
        <sz val="11"/>
        <color theme="1"/>
        <rFont val="Calibri"/>
        <family val="2"/>
        <scheme val="minor"/>
      </rPr>
      <t>)</t>
    </r>
  </si>
  <si>
    <t>Maximum duty cycle at the minimum input voltage. Includes estimated efficiency for margin</t>
  </si>
  <si>
    <t>Duty cycle at the mimum input voltage (CCM). (First order/ ideal equation)</t>
  </si>
  <si>
    <t>Duty cycle at the nominal input voltage (CCM) (First order/ ideal equation)</t>
  </si>
  <si>
    <t>Duty cycle at the maximum input voltage (CCM) (First order/ ideal equation)</t>
  </si>
  <si>
    <t>DCM_Flag</t>
  </si>
  <si>
    <t>DC_rip</t>
  </si>
  <si>
    <t>CCM Operation calculations</t>
  </si>
  <si>
    <t>Select DCM duty cycle to be 70%. This will keep the ripple current fairly low and allow for efficiency drops.</t>
  </si>
  <si>
    <t>L_DCM_DC</t>
  </si>
  <si>
    <t>DC_DCM_max</t>
  </si>
  <si>
    <t>Maximum duty cycle for DCM operation. 70% is a good starting point. Could be related to the switching frequency</t>
  </si>
  <si>
    <t>M_L_DCM</t>
  </si>
  <si>
    <t>Margin to allow for inductor ripple current to be greater than the average input current</t>
  </si>
  <si>
    <t>L_DCM_M</t>
  </si>
  <si>
    <t xml:space="preserve">Inductor value that ensures the ripple current is larger than the average input current </t>
  </si>
  <si>
    <t>L_DCM</t>
  </si>
  <si>
    <t>Select the lowest of the two inductor value calculations</t>
  </si>
  <si>
    <t>If DCM is required (high step-up ratio) output L_DCM. Otherwise output the CCM inductor value</t>
  </si>
  <si>
    <r>
      <t xml:space="preserve">Forced off time limit? [2 True, 1 False]. </t>
    </r>
    <r>
      <rPr>
        <b/>
        <sz val="11"/>
        <color theme="1"/>
        <rFont val="Calibri"/>
        <family val="2"/>
        <scheme val="minor"/>
      </rPr>
      <t>Note this is calcualting for the minimum duty cycle limit of the datasheet.</t>
    </r>
  </si>
  <si>
    <t>Lm_calc</t>
  </si>
  <si>
    <t>This value used to make the selection for CCM calculations</t>
  </si>
  <si>
    <t>Duty Cycle Calculations</t>
  </si>
  <si>
    <t>Minium input voltage</t>
  </si>
  <si>
    <t>DCc_mode_VIN_min</t>
  </si>
  <si>
    <t>DCc_mode_VIN_nom</t>
  </si>
  <si>
    <t>DCc_mode_VIN_max</t>
  </si>
  <si>
    <t>IL_avg_VIN_max</t>
  </si>
  <si>
    <t>Current Sense Resistor calculated, id DCM this is going to be the value calculated without slope compensation</t>
  </si>
  <si>
    <t>External Compensation? (0-no, 1-yes), Only accurate for CCM as DCM doesn't need slope compensation</t>
  </si>
  <si>
    <t>fcross_estimate</t>
  </si>
  <si>
    <t>Itrans</t>
  </si>
  <si>
    <r>
      <t>Desired load step ripple voltage (</t>
    </r>
    <r>
      <rPr>
        <sz val="11"/>
        <color theme="1"/>
        <rFont val="Calibri"/>
        <family val="2"/>
      </rPr>
      <t>Δv</t>
    </r>
    <r>
      <rPr>
        <vertAlign val="subscript"/>
        <sz val="11"/>
        <color theme="1"/>
        <rFont val="Calibri"/>
        <family val="2"/>
      </rPr>
      <t>OUT</t>
    </r>
    <r>
      <rPr>
        <sz val="11"/>
        <color theme="1"/>
        <rFont val="Calibri"/>
        <family val="2"/>
      </rPr>
      <t>)</t>
    </r>
  </si>
  <si>
    <t>CCM Calculations</t>
  </si>
  <si>
    <t>DCM Selections</t>
  </si>
  <si>
    <t>CCM Plant Transfer Function</t>
  </si>
  <si>
    <t>DCM Plant Transfer Function</t>
  </si>
  <si>
    <t xml:space="preserve"> CCMPlant Parameters</t>
  </si>
  <si>
    <t xml:space="preserve"> DCMPlant Parameters</t>
  </si>
  <si>
    <t>ADC_VIN_min_DCM</t>
  </si>
  <si>
    <t>Fm_DCM</t>
  </si>
  <si>
    <t>wp_dcm</t>
  </si>
  <si>
    <t>wz1_dcm</t>
  </si>
  <si>
    <t>wz2_dcm</t>
  </si>
  <si>
    <t>fcross_DCM</t>
  </si>
  <si>
    <r>
      <t xml:space="preserve">Conservative. Set Fcross to be 1/5th the RHP zero frequency or 1/10th SW: whichever is lower. </t>
    </r>
    <r>
      <rPr>
        <b/>
        <sz val="11"/>
        <color theme="1"/>
        <rFont val="Calibri"/>
        <family val="2"/>
        <scheme val="minor"/>
      </rPr>
      <t>Note this is just for CCM operation</t>
    </r>
  </si>
  <si>
    <t>General Loop Selections</t>
  </si>
  <si>
    <t>Rcomp_Calc_DCM</t>
  </si>
  <si>
    <t>Calcualted based on the desired Zero frequency. Set at the geometric mean between the crossover frequency and the load pole</t>
  </si>
  <si>
    <t>Calcualted based on the RHP zero frequency</t>
  </si>
  <si>
    <t>Ohm</t>
  </si>
  <si>
    <t>CCOMP_Calc_DCM</t>
  </si>
  <si>
    <t>CHF_Calc_DCM</t>
  </si>
  <si>
    <t>Rcomp_Calc_CCM</t>
  </si>
  <si>
    <t>CCOMP_calc_CCM</t>
  </si>
  <si>
    <t>CHF_Calc_CCM</t>
  </si>
  <si>
    <t>CHF_calc</t>
  </si>
  <si>
    <t>CCM Plan Parameters</t>
  </si>
  <si>
    <t>Variable output current (Can add this a different revision, not needed right now)</t>
  </si>
  <si>
    <t>RHP zero location</t>
  </si>
  <si>
    <t>Modulator gain of the PWM comparator</t>
  </si>
  <si>
    <t>DC_VIN_var_DCM</t>
  </si>
  <si>
    <t>Operating mode</t>
  </si>
  <si>
    <t>0 - DCM operation, 1- CCM opertaion</t>
  </si>
  <si>
    <t>wp_lf_DCM</t>
  </si>
  <si>
    <t>CCM Open Loop Response</t>
  </si>
  <si>
    <t>DCM Open Loop Response</t>
  </si>
  <si>
    <t>Displayed Loop Calclation</t>
  </si>
  <si>
    <t>Gain(dB)</t>
  </si>
  <si>
    <t>Phase (deg)</t>
  </si>
  <si>
    <t>RAD</t>
  </si>
  <si>
    <t>This sets the error amp zero at the geometric mean between the load pole and the crossover frequency</t>
  </si>
  <si>
    <t>Vsl</t>
  </si>
  <si>
    <r>
      <t xml:space="preserve">Current sense resistor without slope compensation </t>
    </r>
    <r>
      <rPr>
        <b/>
        <sz val="11"/>
        <color theme="1"/>
        <rFont val="Calibri"/>
        <family val="2"/>
        <scheme val="minor"/>
      </rPr>
      <t>(No variable slope compensation of the LM5127)</t>
    </r>
  </si>
  <si>
    <r>
      <t>External Slope Compensation Resistor</t>
    </r>
    <r>
      <rPr>
        <b/>
        <sz val="11"/>
        <color theme="1"/>
        <rFont val="Calibri"/>
        <family val="2"/>
        <scheme val="minor"/>
      </rPr>
      <t xml:space="preserve"> (No external Slope Comp for LM5127)</t>
    </r>
  </si>
  <si>
    <t>Kex</t>
  </si>
  <si>
    <t>Km</t>
  </si>
  <si>
    <t>Kd</t>
  </si>
  <si>
    <t>Slope compensation parameters. Will change pole and DC gain equation</t>
  </si>
  <si>
    <t>Sampling pole</t>
  </si>
  <si>
    <t>Q factor of the inductor sampling curve</t>
  </si>
  <si>
    <t>Always set to 1 right now for initial revision. Will only operate in CCM</t>
  </si>
  <si>
    <t>Kex_VINmin</t>
  </si>
  <si>
    <t>Km_VINmin</t>
  </si>
  <si>
    <t>Kd_VINmin</t>
  </si>
  <si>
    <t>Calculated at the minimum input voltage</t>
  </si>
  <si>
    <t>Slope compensation (VSL is refered to the current sense resistor)</t>
  </si>
  <si>
    <t>Uses the felxible equations used in my mathcad file.</t>
  </si>
  <si>
    <t>ae</t>
  </si>
  <si>
    <t>be</t>
  </si>
  <si>
    <t>Gfc</t>
  </si>
  <si>
    <r>
      <t>On-State Resistance, R</t>
    </r>
    <r>
      <rPr>
        <vertAlign val="subscript"/>
        <sz val="10"/>
        <color theme="2" tint="-0.89999084444715716"/>
        <rFont val="Arial"/>
        <family val="2"/>
      </rPr>
      <t>DS(on)</t>
    </r>
    <r>
      <rPr>
        <sz val="10"/>
        <color theme="2" tint="-0.89999084444715716"/>
        <rFont val="Arial"/>
        <family val="2"/>
      </rPr>
      <t xml:space="preserve"> </t>
    </r>
  </si>
  <si>
    <r>
      <t>Total Gate Charge, Q</t>
    </r>
    <r>
      <rPr>
        <vertAlign val="subscript"/>
        <sz val="10"/>
        <color theme="2" tint="-0.89999084444715716"/>
        <rFont val="Arial"/>
        <family val="2"/>
      </rPr>
      <t>G</t>
    </r>
    <r>
      <rPr>
        <sz val="10"/>
        <color theme="2" tint="-0.89999084444715716"/>
        <rFont val="Arial"/>
        <family val="2"/>
      </rPr>
      <t xml:space="preserve"> </t>
    </r>
  </si>
  <si>
    <r>
      <t>Gate-Drain Charge, Q</t>
    </r>
    <r>
      <rPr>
        <vertAlign val="subscript"/>
        <sz val="10"/>
        <color theme="2" tint="-0.89999084444715716"/>
        <rFont val="Arial"/>
        <family val="2"/>
      </rPr>
      <t>GD</t>
    </r>
    <r>
      <rPr>
        <sz val="10"/>
        <color theme="2" tint="-0.89999084444715716"/>
        <rFont val="Arial"/>
        <family val="2"/>
      </rPr>
      <t xml:space="preserve"> </t>
    </r>
  </si>
  <si>
    <r>
      <t>Gate-Source Charge, Q</t>
    </r>
    <r>
      <rPr>
        <vertAlign val="subscript"/>
        <sz val="10"/>
        <color theme="2" tint="-0.89999084444715716"/>
        <rFont val="Arial"/>
        <family val="2"/>
      </rPr>
      <t>GS</t>
    </r>
    <r>
      <rPr>
        <sz val="10"/>
        <color theme="2" tint="-0.89999084444715716"/>
        <rFont val="Arial"/>
        <family val="2"/>
      </rPr>
      <t xml:space="preserve"> </t>
    </r>
  </si>
  <si>
    <r>
      <t>Gate Resistance, R</t>
    </r>
    <r>
      <rPr>
        <vertAlign val="subscript"/>
        <sz val="10"/>
        <color theme="2" tint="-0.89999084444715716"/>
        <rFont val="Arial"/>
        <family val="2"/>
      </rPr>
      <t>G</t>
    </r>
    <r>
      <rPr>
        <sz val="10"/>
        <color theme="2" tint="-0.89999084444715716"/>
        <rFont val="Arial"/>
        <family val="2"/>
      </rPr>
      <t xml:space="preserve"> </t>
    </r>
  </si>
  <si>
    <r>
      <t>Gate-Source Threshold Voltage, V</t>
    </r>
    <r>
      <rPr>
        <vertAlign val="subscript"/>
        <sz val="10"/>
        <color theme="2" tint="-0.89999084444715716"/>
        <rFont val="Arial"/>
        <family val="2"/>
      </rPr>
      <t>TH</t>
    </r>
    <r>
      <rPr>
        <sz val="10"/>
        <color theme="2" tint="-0.89999084444715716"/>
        <rFont val="Arial"/>
        <family val="2"/>
      </rPr>
      <t xml:space="preserve"> </t>
    </r>
  </si>
  <si>
    <r>
      <t>Boost Converter Duty Cycle Limit of LM5123 at V</t>
    </r>
    <r>
      <rPr>
        <vertAlign val="subscript"/>
        <sz val="10"/>
        <color theme="1"/>
        <rFont val="Calibri"/>
        <family val="2"/>
        <scheme val="minor"/>
      </rPr>
      <t>SUPPLY(MIN)</t>
    </r>
  </si>
  <si>
    <t>LM5123 BOOST Controller Design Tool</t>
  </si>
  <si>
    <t>VOUT_range</t>
  </si>
  <si>
    <t>Suggested output voltage range</t>
  </si>
  <si>
    <t xml:space="preserve">Sets the feedback divider. Unique to the LM5123 topology (1 = low voltage &lt;=15V, 2 = high voltage &gt;15V) </t>
  </si>
  <si>
    <t>Light load operation switching mode</t>
  </si>
  <si>
    <t>SW_mode</t>
  </si>
  <si>
    <t>selected switching mode (1 = SKIP, 2 = DEM, 3 =FPWM) Will change the effieciency calculations accordingly</t>
  </si>
  <si>
    <r>
      <t>Switching mode at V</t>
    </r>
    <r>
      <rPr>
        <vertAlign val="subscript"/>
        <sz val="11"/>
        <color theme="1"/>
        <rFont val="Calibri"/>
        <family val="2"/>
        <scheme val="minor"/>
      </rPr>
      <t>SUPPLY(min)</t>
    </r>
  </si>
  <si>
    <t xml:space="preserve">Estimated efficiency. Assuming 100% simplify the calculations </t>
  </si>
  <si>
    <t xml:space="preserve">1: DCM operation required at VINmin to achieve the step-up ratio. 
</t>
  </si>
  <si>
    <t>2: CCM operation can achieve step-up ratio with out violating the maximum duty cycle</t>
  </si>
  <si>
    <t>Maximum IC duty cycle. Based on the forced off time and frequency. Give the equation about 2% margin to allow for losses in the controller</t>
  </si>
  <si>
    <t>DCM Operation calculations</t>
  </si>
  <si>
    <t>Indicates if the regulator is operating in CCM or DCM at full load (1 = CCM, 0 = DCM)</t>
  </si>
  <si>
    <t>Np</t>
  </si>
  <si>
    <t>number of phases in operation (For the LM5123 only one phase is possilbe with out external circuts)</t>
  </si>
  <si>
    <t>Normal</t>
  </si>
  <si>
    <t>Indicates if the regulator is operating in CCM or DCM at full load (1 = CCM, 0 = DCM). If FPWM mode is selected always picks CCM operation</t>
  </si>
  <si>
    <t>ratio of down slope to slope compensation. This helps to prevent sub-harmonic oscillation in conditions where the duty cycle is &gt; 50%</t>
  </si>
  <si>
    <r>
      <t>External slope compensation resistor, if DCM operation the external slope compensation is not needed. Should b 0 Ohm (</t>
    </r>
    <r>
      <rPr>
        <b/>
        <sz val="11"/>
        <color theme="1"/>
        <rFont val="Calibri"/>
        <family val="2"/>
        <scheme val="minor"/>
      </rPr>
      <t>No external slope comp in LM5123)</t>
    </r>
  </si>
  <si>
    <r>
      <t>Selected external slope compensation (</t>
    </r>
    <r>
      <rPr>
        <b/>
        <sz val="11"/>
        <color theme="1"/>
        <rFont val="Calibri"/>
        <family val="2"/>
        <scheme val="minor"/>
      </rPr>
      <t>No varialbe slope compenstiaon for the LM5123)</t>
    </r>
  </si>
  <si>
    <t>Can add this in later to make sure the dynamic range of the error amplifier is not violated</t>
  </si>
  <si>
    <t>HZ</t>
  </si>
  <si>
    <t>Estimate to be 1.5 the RHP zero frequency. Pick based on DCM or CCM operation.</t>
  </si>
  <si>
    <t>RMS current of the output capacitor at VIN min IOUT max. RMS current rating should be larger than this. Need to update for DCM</t>
  </si>
  <si>
    <r>
      <t>Desired voltage On (V</t>
    </r>
    <r>
      <rPr>
        <vertAlign val="subscript"/>
        <sz val="11"/>
        <color theme="1"/>
        <rFont val="Calibri"/>
        <family val="2"/>
        <scheme val="minor"/>
      </rPr>
      <t>UVLO_ON</t>
    </r>
    <r>
      <rPr>
        <sz val="11"/>
        <color theme="1"/>
        <rFont val="Calibri"/>
        <family val="2"/>
        <scheme val="minor"/>
      </rPr>
      <t>)</t>
    </r>
  </si>
  <si>
    <r>
      <t>Desired voltage OFF (V</t>
    </r>
    <r>
      <rPr>
        <vertAlign val="subscript"/>
        <sz val="11"/>
        <color theme="1"/>
        <rFont val="Calibri"/>
        <family val="2"/>
        <scheme val="minor"/>
      </rPr>
      <t>UVLO_OFF</t>
    </r>
    <r>
      <rPr>
        <sz val="11"/>
        <color theme="1"/>
        <rFont val="Calibri"/>
        <family val="2"/>
        <scheme val="minor"/>
      </rPr>
      <t>)</t>
    </r>
  </si>
  <si>
    <r>
      <t>Calculated top UVLO resistor value (R</t>
    </r>
    <r>
      <rPr>
        <vertAlign val="subscript"/>
        <sz val="11"/>
        <color theme="1"/>
        <rFont val="Calibri"/>
        <family val="2"/>
        <scheme val="minor"/>
      </rPr>
      <t>UVT_CALC</t>
    </r>
    <r>
      <rPr>
        <sz val="11"/>
        <color theme="1"/>
        <rFont val="Calibri"/>
        <family val="2"/>
        <scheme val="minor"/>
      </rPr>
      <t>)</t>
    </r>
  </si>
  <si>
    <r>
      <t>Selected top UVLO resistor value (R</t>
    </r>
    <r>
      <rPr>
        <vertAlign val="subscript"/>
        <sz val="11"/>
        <color theme="1"/>
        <rFont val="Calibri"/>
        <family val="2"/>
        <scheme val="minor"/>
      </rPr>
      <t>UVT</t>
    </r>
    <r>
      <rPr>
        <sz val="11"/>
        <color theme="1"/>
        <rFont val="Calibri"/>
        <family val="2"/>
        <scheme val="minor"/>
      </rPr>
      <t>)</t>
    </r>
  </si>
  <si>
    <r>
      <t>Bottom UVLO Resistor (R</t>
    </r>
    <r>
      <rPr>
        <vertAlign val="subscript"/>
        <sz val="11"/>
        <color theme="1"/>
        <rFont val="Calibri"/>
        <family val="2"/>
        <scheme val="minor"/>
      </rPr>
      <t>UVB</t>
    </r>
    <r>
      <rPr>
        <sz val="11"/>
        <color theme="1"/>
        <rFont val="Calibri"/>
        <family val="2"/>
        <scheme val="minor"/>
      </rPr>
      <t>)</t>
    </r>
  </si>
  <si>
    <t>Step 5: UVLO Resistor Divider Selection</t>
  </si>
  <si>
    <t>Step 6: Soft-Start Capacitor Selection</t>
  </si>
  <si>
    <t>*The output capcitance is based on the load transient specification. Similar to the fylback converter</t>
  </si>
  <si>
    <t>Vout_Range</t>
  </si>
  <si>
    <t>KFB</t>
  </si>
  <si>
    <t>Kfb_low</t>
  </si>
  <si>
    <t>Kfb_high</t>
  </si>
  <si>
    <t>Rmax_low</t>
  </si>
  <si>
    <t>Rmax_high</t>
  </si>
  <si>
    <t>Rmin_low</t>
  </si>
  <si>
    <t>Rmin_high</t>
  </si>
  <si>
    <t>Rmax</t>
  </si>
  <si>
    <t>Rmin</t>
  </si>
  <si>
    <t>RFBT_max</t>
  </si>
  <si>
    <t>RFBT_min</t>
  </si>
  <si>
    <t>VTRK</t>
  </si>
  <si>
    <t>TRK pin voltage to set the correct output voltage</t>
  </si>
  <si>
    <t>VREF Resistor Selection</t>
  </si>
  <si>
    <r>
      <t>Calculated bottom feedback resistor (R</t>
    </r>
    <r>
      <rPr>
        <vertAlign val="subscript"/>
        <sz val="11"/>
        <color theme="1"/>
        <rFont val="Calibri"/>
        <family val="2"/>
        <scheme val="minor"/>
      </rPr>
      <t>VREFB_calc</t>
    </r>
    <r>
      <rPr>
        <sz val="11"/>
        <color theme="1"/>
        <rFont val="Calibri"/>
        <family val="2"/>
        <scheme val="minor"/>
      </rPr>
      <t>)</t>
    </r>
  </si>
  <si>
    <r>
      <t>Track pin voltage to set the output voltage (V</t>
    </r>
    <r>
      <rPr>
        <vertAlign val="subscript"/>
        <sz val="11"/>
        <color theme="1"/>
        <rFont val="Calibri"/>
        <family val="2"/>
        <scheme val="minor"/>
      </rPr>
      <t>TRK</t>
    </r>
    <r>
      <rPr>
        <sz val="11"/>
        <color theme="1"/>
        <rFont val="Calibri"/>
        <family val="2"/>
        <scheme val="minor"/>
      </rPr>
      <t>)</t>
    </r>
  </si>
  <si>
    <r>
      <rPr>
        <b/>
        <sz val="11"/>
        <color theme="1"/>
        <rFont val="Calibri"/>
        <family val="2"/>
        <scheme val="minor"/>
      </rPr>
      <t xml:space="preserve">Not used for the LM5123 or the LM5152. </t>
    </r>
    <r>
      <rPr>
        <sz val="11"/>
        <color theme="1"/>
        <rFont val="Calibri"/>
        <family val="2"/>
        <scheme val="minor"/>
      </rPr>
      <t>Current Drawn from the feedback resistors (Typically higher than 100uA to help w/ noise)</t>
    </r>
  </si>
  <si>
    <t>This is the output to the user based on the mode of operation when VIN is the minimum. Changes based on DCM or CCM operation</t>
  </si>
  <si>
    <r>
      <t>Crossover frequnecy of the</t>
    </r>
    <r>
      <rPr>
        <b/>
        <sz val="11"/>
        <color theme="1"/>
        <rFont val="Calibri"/>
        <family val="2"/>
        <scheme val="minor"/>
      </rPr>
      <t xml:space="preserve"> DCM control loop</t>
    </r>
    <r>
      <rPr>
        <sz val="11"/>
        <color theme="1"/>
        <rFont val="Calibri"/>
        <family val="2"/>
        <scheme val="minor"/>
      </rPr>
      <t>. (1/5th the RHPzero frequency), or 10th the switching frequency which ever is lower</t>
    </r>
  </si>
  <si>
    <t>Selected crossover</t>
  </si>
  <si>
    <t>DCM Operation Loop Model</t>
  </si>
  <si>
    <t>Fcross (VINvar)</t>
  </si>
  <si>
    <t>Low-Side MOSFET</t>
  </si>
  <si>
    <t>High-Side MOSFET Losses</t>
  </si>
  <si>
    <t>LOW Side MOSFET Parameters</t>
  </si>
  <si>
    <t>High Side MOSFET Parameters</t>
  </si>
  <si>
    <t>Body Diode Reverse recovery charge</t>
  </si>
  <si>
    <t>Body Diode Forward drop</t>
  </si>
  <si>
    <r>
      <t>Body Diode Reverse Recovery Charge (Q</t>
    </r>
    <r>
      <rPr>
        <vertAlign val="subscript"/>
        <sz val="11"/>
        <color theme="2" tint="-0.89996032593768116"/>
        <rFont val="Calibri"/>
        <family val="2"/>
        <scheme val="minor"/>
      </rPr>
      <t>RR</t>
    </r>
    <r>
      <rPr>
        <sz val="11"/>
        <color theme="2" tint="-0.89999084444715716"/>
        <rFont val="Calibri"/>
        <family val="2"/>
        <scheme val="minor"/>
      </rPr>
      <t>)</t>
    </r>
  </si>
  <si>
    <r>
      <t>Body Diode Forward Voltage Drop (V</t>
    </r>
    <r>
      <rPr>
        <vertAlign val="subscript"/>
        <sz val="11"/>
        <color theme="2" tint="-0.89996032593768116"/>
        <rFont val="Calibri"/>
        <family val="2"/>
        <scheme val="minor"/>
      </rPr>
      <t>D_BD</t>
    </r>
    <r>
      <rPr>
        <sz val="11"/>
        <color theme="2" tint="-0.89999084444715716"/>
        <rFont val="Calibri"/>
        <family val="2"/>
        <scheme val="minor"/>
      </rPr>
      <t>)</t>
    </r>
  </si>
  <si>
    <r>
      <t>Gate-Source Threshold Voltage, (V</t>
    </r>
    <r>
      <rPr>
        <vertAlign val="subscript"/>
        <sz val="10"/>
        <color theme="2" tint="-0.89999084444715716"/>
        <rFont val="Arial"/>
        <family val="2"/>
      </rPr>
      <t>TH</t>
    </r>
    <r>
      <rPr>
        <sz val="10"/>
        <color theme="2" tint="-0.89999084444715716"/>
        <rFont val="Arial"/>
        <family val="2"/>
      </rPr>
      <t>)</t>
    </r>
  </si>
  <si>
    <r>
      <t>Gate Resistance, (R</t>
    </r>
    <r>
      <rPr>
        <vertAlign val="subscript"/>
        <sz val="10"/>
        <color theme="2" tint="-0.89999084444715716"/>
        <rFont val="Arial"/>
        <family val="2"/>
      </rPr>
      <t>G</t>
    </r>
    <r>
      <rPr>
        <sz val="10"/>
        <color theme="2" tint="-0.89999084444715716"/>
        <rFont val="Arial"/>
        <family val="2"/>
      </rPr>
      <t>)</t>
    </r>
  </si>
  <si>
    <r>
      <t>On-State Resistance, (R</t>
    </r>
    <r>
      <rPr>
        <vertAlign val="subscript"/>
        <sz val="10"/>
        <color theme="2" tint="-0.89999084444715716"/>
        <rFont val="Arial"/>
        <family val="2"/>
      </rPr>
      <t>DS(on)</t>
    </r>
    <r>
      <rPr>
        <sz val="10"/>
        <color theme="2" tint="-0.89999084444715716"/>
        <rFont val="Arial"/>
        <family val="2"/>
      </rPr>
      <t>)</t>
    </r>
  </si>
  <si>
    <r>
      <t>Total Gate Charge, (Q</t>
    </r>
    <r>
      <rPr>
        <vertAlign val="subscript"/>
        <sz val="10"/>
        <color theme="2" tint="-0.89999084444715716"/>
        <rFont val="Arial"/>
        <family val="2"/>
      </rPr>
      <t>G</t>
    </r>
    <r>
      <rPr>
        <sz val="10"/>
        <color theme="2" tint="-0.89999084444715716"/>
        <rFont val="Arial"/>
        <family val="2"/>
      </rPr>
      <t>)</t>
    </r>
  </si>
  <si>
    <r>
      <t>Gate-Drain Charge, (Q</t>
    </r>
    <r>
      <rPr>
        <vertAlign val="subscript"/>
        <sz val="10"/>
        <color theme="2" tint="-0.89999084444715716"/>
        <rFont val="Arial"/>
        <family val="2"/>
      </rPr>
      <t>GD</t>
    </r>
    <r>
      <rPr>
        <sz val="10"/>
        <color theme="2" tint="-0.89999084444715716"/>
        <rFont val="Arial"/>
        <family val="2"/>
      </rPr>
      <t>)</t>
    </r>
  </si>
  <si>
    <r>
      <t>Gate-Source Charge, (Q</t>
    </r>
    <r>
      <rPr>
        <vertAlign val="subscript"/>
        <sz val="10"/>
        <color theme="2" tint="-0.89999084444715716"/>
        <rFont val="Arial"/>
        <family val="2"/>
      </rPr>
      <t>GS</t>
    </r>
    <r>
      <rPr>
        <sz val="10"/>
        <color theme="2" tint="-0.89999084444715716"/>
        <rFont val="Arial"/>
        <family val="2"/>
      </rPr>
      <t>)</t>
    </r>
  </si>
  <si>
    <r>
      <t>IHS</t>
    </r>
    <r>
      <rPr>
        <vertAlign val="subscript"/>
        <sz val="11"/>
        <color theme="1"/>
        <rFont val="Calibri"/>
        <family val="2"/>
        <scheme val="minor"/>
      </rPr>
      <t>RMS</t>
    </r>
  </si>
  <si>
    <t>Dead Time losses</t>
  </si>
  <si>
    <t>Dead time losses (Sync Controller)</t>
  </si>
  <si>
    <t>t_dead</t>
  </si>
  <si>
    <r>
      <t>P</t>
    </r>
    <r>
      <rPr>
        <vertAlign val="subscript"/>
        <sz val="11"/>
        <color theme="1"/>
        <rFont val="Calibri"/>
        <family val="2"/>
        <scheme val="minor"/>
      </rPr>
      <t xml:space="preserve">HS_tot </t>
    </r>
    <r>
      <rPr>
        <sz val="11"/>
        <color theme="1"/>
        <rFont val="Calibri"/>
        <family val="2"/>
        <scheme val="minor"/>
      </rPr>
      <t>(W)</t>
    </r>
  </si>
  <si>
    <r>
      <t>Select a top VREF resistor between R</t>
    </r>
    <r>
      <rPr>
        <vertAlign val="subscript"/>
        <sz val="11"/>
        <color theme="1"/>
        <rFont val="Calibri"/>
        <family val="2"/>
        <scheme val="minor"/>
      </rPr>
      <t>VREFT_min</t>
    </r>
    <r>
      <rPr>
        <sz val="11"/>
        <color theme="1"/>
        <rFont val="Calibri"/>
        <family val="2"/>
        <scheme val="minor"/>
      </rPr>
      <t xml:space="preserve"> and R</t>
    </r>
    <r>
      <rPr>
        <vertAlign val="subscript"/>
        <sz val="11"/>
        <color theme="1"/>
        <rFont val="Calibri"/>
        <family val="2"/>
        <scheme val="minor"/>
      </rPr>
      <t>VREFT_max</t>
    </r>
    <r>
      <rPr>
        <sz val="11"/>
        <color theme="1"/>
        <rFont val="Calibri"/>
        <family val="2"/>
        <scheme val="minor"/>
      </rPr>
      <t xml:space="preserve"> (R</t>
    </r>
    <r>
      <rPr>
        <vertAlign val="subscript"/>
        <sz val="11"/>
        <color theme="1"/>
        <rFont val="Calibri"/>
        <family val="2"/>
        <scheme val="minor"/>
      </rPr>
      <t>VREFT</t>
    </r>
    <r>
      <rPr>
        <sz val="11"/>
        <color theme="1"/>
        <rFont val="Calibri"/>
        <family val="2"/>
        <scheme val="minor"/>
      </rPr>
      <t>)</t>
    </r>
  </si>
  <si>
    <r>
      <t>P</t>
    </r>
    <r>
      <rPr>
        <vertAlign val="subscript"/>
        <sz val="11"/>
        <color theme="1"/>
        <rFont val="Calibri"/>
        <family val="2"/>
        <scheme val="minor"/>
      </rPr>
      <t>L_CORE</t>
    </r>
    <r>
      <rPr>
        <sz val="11"/>
        <color theme="1"/>
        <rFont val="Calibri"/>
        <family val="2"/>
        <scheme val="minor"/>
      </rPr>
      <t xml:space="preserve"> (W)</t>
    </r>
  </si>
  <si>
    <r>
      <t>Low-Side MOSFET Parameters (Q</t>
    </r>
    <r>
      <rPr>
        <b/>
        <vertAlign val="subscript"/>
        <sz val="11"/>
        <color theme="2" tint="-0.89996032593768116"/>
        <rFont val="Calibri"/>
        <family val="2"/>
        <scheme val="minor"/>
      </rPr>
      <t>LS</t>
    </r>
    <r>
      <rPr>
        <b/>
        <sz val="11"/>
        <color theme="2" tint="-0.89999084444715716"/>
        <rFont val="Calibri"/>
        <family val="2"/>
        <scheme val="minor"/>
      </rPr>
      <t>)</t>
    </r>
  </si>
  <si>
    <r>
      <t>High-Side MOSFET Parameters (Q</t>
    </r>
    <r>
      <rPr>
        <b/>
        <vertAlign val="subscript"/>
        <sz val="11"/>
        <color theme="2" tint="-0.89996032593768116"/>
        <rFont val="Calibri"/>
        <family val="2"/>
        <scheme val="minor"/>
      </rPr>
      <t>HS</t>
    </r>
    <r>
      <rPr>
        <b/>
        <sz val="11"/>
        <color theme="2" tint="-0.89999084444715716"/>
        <rFont val="Calibri"/>
        <family val="2"/>
        <scheme val="minor"/>
      </rPr>
      <t>)</t>
    </r>
  </si>
  <si>
    <r>
      <t>Select a bottomresistor based on calculated balue(R</t>
    </r>
    <r>
      <rPr>
        <vertAlign val="subscript"/>
        <sz val="11"/>
        <color theme="1"/>
        <rFont val="Calibri"/>
        <family val="2"/>
        <scheme val="minor"/>
      </rPr>
      <t>VREFB</t>
    </r>
    <r>
      <rPr>
        <sz val="11"/>
        <color theme="1"/>
        <rFont val="Calibri"/>
        <family val="2"/>
        <scheme val="minor"/>
      </rPr>
      <t>)</t>
    </r>
  </si>
  <si>
    <r>
      <t>Selected bandwidth (F</t>
    </r>
    <r>
      <rPr>
        <vertAlign val="subscript"/>
        <sz val="11"/>
        <color theme="1"/>
        <rFont val="Calibri"/>
        <family val="2"/>
        <scheme val="minor"/>
      </rPr>
      <t>CO</t>
    </r>
    <r>
      <rPr>
        <sz val="11"/>
        <color theme="1"/>
        <rFont val="Calibri"/>
        <family val="2"/>
        <scheme val="minor"/>
      </rPr>
      <t>)</t>
    </r>
  </si>
  <si>
    <r>
      <t>Suggested bandwidth (F</t>
    </r>
    <r>
      <rPr>
        <vertAlign val="subscript"/>
        <sz val="11"/>
        <color theme="1"/>
        <rFont val="Calibri"/>
        <family val="2"/>
        <scheme val="minor"/>
      </rPr>
      <t>CO_calc</t>
    </r>
    <r>
      <rPr>
        <sz val="11"/>
        <color theme="1"/>
        <rFont val="Calibri"/>
        <family val="2"/>
        <scheme val="minor"/>
      </rPr>
      <t>)</t>
    </r>
  </si>
  <si>
    <r>
      <t>Minimum value for (R</t>
    </r>
    <r>
      <rPr>
        <vertAlign val="subscript"/>
        <sz val="11"/>
        <color theme="1"/>
        <rFont val="Calibri"/>
        <family val="2"/>
        <scheme val="minor"/>
      </rPr>
      <t>VREFT_min</t>
    </r>
    <r>
      <rPr>
        <sz val="11"/>
        <color theme="1"/>
        <rFont val="Calibri"/>
        <family val="2"/>
        <scheme val="minor"/>
      </rPr>
      <t>)</t>
    </r>
  </si>
  <si>
    <r>
      <t>Maximum value for (R</t>
    </r>
    <r>
      <rPr>
        <vertAlign val="subscript"/>
        <sz val="11"/>
        <color theme="1"/>
        <rFont val="Calibri"/>
        <family val="2"/>
        <scheme val="minor"/>
      </rPr>
      <t>VREFT_max</t>
    </r>
    <r>
      <rPr>
        <sz val="11"/>
        <color theme="1"/>
        <rFont val="Calibri"/>
        <family val="2"/>
        <scheme val="minor"/>
      </rPr>
      <t>)</t>
    </r>
  </si>
  <si>
    <t>nest</t>
  </si>
  <si>
    <t>estimated efficiency at the peak current limit. Keep at ~95% for SYNC boost controllers</t>
  </si>
  <si>
    <t xml:space="preserve"> </t>
  </si>
  <si>
    <t>SCH_1 = SKIP</t>
  </si>
  <si>
    <t>SCH_2 = DEM</t>
  </si>
  <si>
    <t>SCH_3 = FPWM</t>
  </si>
  <si>
    <t>DEM</t>
  </si>
  <si>
    <t>Rev 0.2</t>
  </si>
  <si>
    <t>December-2021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</si>
</sst>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_(* \(#,##0.00\);_(* &quot;-&quot;??_);_(@_)"/>
    <numFmt numFmtId="164" formatCode="0.000"/>
    <numFmt numFmtId="165" formatCode="0.000E+00"/>
    <numFmt numFmtId="166" formatCode="0.0000"/>
    <numFmt numFmtId="167" formatCode="0.0"/>
    <numFmt numFmtId="168" formatCode="0.0E+00"/>
    <numFmt numFmtId="169" formatCode="0.00000"/>
  </numFmts>
  <fonts count="40" x14ac:knownFonts="1">
    <font>
      <sz val="11"/>
      <color theme="1"/>
      <name val="Calibri"/>
      <family val="2"/>
      <scheme val="minor"/>
    </font>
    <font>
      <sz val="11"/>
      <color theme="1"/>
      <name val="Calibri"/>
      <family val="2"/>
      <scheme val="minor"/>
    </font>
    <font>
      <b/>
      <sz val="11"/>
      <color theme="0"/>
      <name val="Calibri"/>
      <family val="2"/>
      <scheme val="minor"/>
    </font>
    <font>
      <sz val="10"/>
      <name val="Arial"/>
      <family val="2"/>
    </font>
    <font>
      <sz val="10"/>
      <name val="Arial"/>
      <family val="2"/>
    </font>
    <font>
      <b/>
      <sz val="10"/>
      <name val="Arial"/>
      <family val="2"/>
    </font>
    <font>
      <b/>
      <sz val="22"/>
      <color indexed="44"/>
      <name val="Arial"/>
      <family val="2"/>
    </font>
    <font>
      <b/>
      <sz val="9"/>
      <color indexed="81"/>
      <name val="Tahoma"/>
      <family val="2"/>
    </font>
    <font>
      <sz val="9"/>
      <color indexed="81"/>
      <name val="Tahoma"/>
      <family val="2"/>
    </font>
    <font>
      <b/>
      <sz val="12"/>
      <color rgb="FF0000FF"/>
      <name val="Arial"/>
      <family val="2"/>
    </font>
    <font>
      <sz val="28"/>
      <color theme="0"/>
      <name val="Calibri"/>
      <family val="2"/>
      <scheme val="minor"/>
    </font>
    <font>
      <b/>
      <sz val="11"/>
      <color indexed="10"/>
      <name val="Tahoma"/>
      <family val="2"/>
    </font>
    <font>
      <sz val="12"/>
      <color indexed="10"/>
      <name val="Tahoma"/>
      <family val="2"/>
    </font>
    <font>
      <sz val="10"/>
      <color theme="1"/>
      <name val="Calibri"/>
      <family val="2"/>
      <scheme val="minor"/>
    </font>
    <font>
      <vertAlign val="subscript"/>
      <sz val="10"/>
      <color theme="1"/>
      <name val="Calibri"/>
      <family val="2"/>
      <scheme val="minor"/>
    </font>
    <font>
      <sz val="11"/>
      <name val="Calibri"/>
      <family val="2"/>
      <scheme val="minor"/>
    </font>
    <font>
      <b/>
      <sz val="11"/>
      <color rgb="FF0070C0"/>
      <name val="Calibri"/>
      <family val="2"/>
      <scheme val="minor"/>
    </font>
    <font>
      <sz val="11"/>
      <color theme="1"/>
      <name val="Calibri"/>
      <family val="2"/>
    </font>
    <font>
      <u/>
      <sz val="11"/>
      <color theme="1"/>
      <name val="Calibri"/>
      <family val="2"/>
      <scheme val="minor"/>
    </font>
    <font>
      <vertAlign val="subscript"/>
      <sz val="11"/>
      <color theme="1"/>
      <name val="Calibri"/>
      <family val="2"/>
      <scheme val="minor"/>
    </font>
    <font>
      <b/>
      <sz val="12"/>
      <color theme="1"/>
      <name val="Calibri"/>
      <family val="2"/>
      <scheme val="minor"/>
    </font>
    <font>
      <vertAlign val="subscript"/>
      <sz val="11"/>
      <color theme="1"/>
      <name val="Calibri"/>
      <family val="2"/>
    </font>
    <font>
      <b/>
      <sz val="11"/>
      <color theme="3" tint="0.39997558519241921"/>
      <name val="Calibri"/>
      <family val="2"/>
      <scheme val="minor"/>
    </font>
    <font>
      <b/>
      <sz val="11"/>
      <color theme="1"/>
      <name val="Calibri"/>
      <family val="2"/>
      <scheme val="minor"/>
    </font>
    <font>
      <sz val="10"/>
      <name val="Calibri"/>
      <family val="2"/>
      <scheme val="minor"/>
    </font>
    <font>
      <b/>
      <sz val="12"/>
      <color rgb="FF00B0F0"/>
      <name val="Calibri"/>
      <family val="2"/>
      <scheme val="minor"/>
    </font>
    <font>
      <b/>
      <sz val="11"/>
      <color rgb="FF00B0F0"/>
      <name val="Calibri"/>
      <family val="2"/>
      <scheme val="minor"/>
    </font>
    <font>
      <b/>
      <sz val="10"/>
      <color rgb="FF00B0F0"/>
      <name val="Arial"/>
      <family val="2"/>
    </font>
    <font>
      <vertAlign val="subscript"/>
      <sz val="10"/>
      <name val="Arial"/>
      <family val="2"/>
    </font>
    <font>
      <vertAlign val="subscript"/>
      <sz val="11"/>
      <name val="Calibri"/>
      <family val="2"/>
      <scheme val="minor"/>
    </font>
    <font>
      <sz val="11"/>
      <color rgb="FF0070C0"/>
      <name val="Calibri"/>
      <family val="2"/>
      <scheme val="minor"/>
    </font>
    <font>
      <b/>
      <u/>
      <sz val="11"/>
      <color theme="1"/>
      <name val="Calibri"/>
      <family val="2"/>
      <scheme val="minor"/>
    </font>
    <font>
      <sz val="18"/>
      <color theme="2" tint="-0.89999084444715716"/>
      <name val="Calibri"/>
      <family val="2"/>
      <scheme val="minor"/>
    </font>
    <font>
      <sz val="11"/>
      <color theme="2" tint="-0.89999084444715716"/>
      <name val="Calibri"/>
      <family val="2"/>
      <scheme val="minor"/>
    </font>
    <font>
      <b/>
      <sz val="11"/>
      <color theme="2" tint="-0.89999084444715716"/>
      <name val="Calibri"/>
      <family val="2"/>
      <scheme val="minor"/>
    </font>
    <font>
      <sz val="10"/>
      <color theme="2" tint="-0.89999084444715716"/>
      <name val="Arial"/>
      <family val="2"/>
    </font>
    <font>
      <vertAlign val="subscript"/>
      <sz val="10"/>
      <color theme="2" tint="-0.89999084444715716"/>
      <name val="Arial"/>
      <family val="2"/>
    </font>
    <font>
      <sz val="11"/>
      <color theme="1" tint="0.14999847407452621"/>
      <name val="Calibri"/>
      <family val="2"/>
      <scheme val="minor"/>
    </font>
    <font>
      <vertAlign val="subscript"/>
      <sz val="11"/>
      <color theme="2" tint="-0.89996032593768116"/>
      <name val="Calibri"/>
      <family val="2"/>
      <scheme val="minor"/>
    </font>
    <font>
      <b/>
      <vertAlign val="subscript"/>
      <sz val="11"/>
      <color theme="2" tint="-0.89996032593768116"/>
      <name val="Calibri"/>
      <family val="2"/>
      <scheme val="minor"/>
    </font>
  </fonts>
  <fills count="17">
    <fill>
      <patternFill patternType="none"/>
    </fill>
    <fill>
      <patternFill patternType="gray125"/>
    </fill>
    <fill>
      <patternFill patternType="solid">
        <fgColor indexed="8"/>
        <bgColor indexed="64"/>
      </patternFill>
    </fill>
    <fill>
      <patternFill patternType="solid">
        <fgColor indexed="22"/>
        <bgColor indexed="64"/>
      </patternFill>
    </fill>
    <fill>
      <patternFill patternType="solid">
        <fgColor indexed="52"/>
        <bgColor indexed="64"/>
      </patternFill>
    </fill>
    <fill>
      <patternFill patternType="solid">
        <fgColor indexed="50"/>
        <bgColor indexed="64"/>
      </patternFill>
    </fill>
    <fill>
      <patternFill patternType="solid">
        <fgColor rgb="FFFF0000"/>
        <bgColor indexed="64"/>
      </patternFill>
    </fill>
    <fill>
      <patternFill patternType="solid">
        <fgColor rgb="FFFFFF00"/>
        <bgColor indexed="64"/>
      </patternFill>
    </fill>
    <fill>
      <patternFill patternType="solid">
        <fgColor theme="0" tint="-0.499984740745262"/>
        <bgColor indexed="64"/>
      </patternFill>
    </fill>
    <fill>
      <patternFill patternType="solid">
        <fgColor rgb="FFFFC000"/>
        <bgColor indexed="64"/>
      </patternFill>
    </fill>
    <fill>
      <patternFill patternType="solid">
        <fgColor theme="0" tint="-0.249977111117893"/>
        <bgColor indexed="64"/>
      </patternFill>
    </fill>
    <fill>
      <patternFill patternType="solid">
        <fgColor rgb="FF92D050"/>
        <bgColor indexed="64"/>
      </patternFill>
    </fill>
    <fill>
      <patternFill patternType="solid">
        <fgColor theme="0" tint="-0.34998626667073579"/>
        <bgColor indexed="64"/>
      </patternFill>
    </fill>
    <fill>
      <patternFill patternType="solid">
        <fgColor theme="5" tint="0.79998168889431442"/>
        <bgColor indexed="64"/>
      </patternFill>
    </fill>
    <fill>
      <patternFill patternType="solid">
        <fgColor theme="2" tint="-0.89999084444715716"/>
        <bgColor indexed="64"/>
      </patternFill>
    </fill>
    <fill>
      <patternFill patternType="solid">
        <fgColor theme="0"/>
        <bgColor indexed="64"/>
      </patternFill>
    </fill>
    <fill>
      <patternFill patternType="solid">
        <fgColor rgb="FF00B050"/>
        <bgColor indexed="64"/>
      </patternFill>
    </fill>
  </fills>
  <borders count="31">
    <border>
      <left/>
      <right/>
      <top/>
      <bottom/>
      <diagonal/>
    </border>
    <border>
      <left/>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s>
  <cellStyleXfs count="12">
    <xf numFmtId="0" fontId="0" fillId="0" borderId="0"/>
    <xf numFmtId="0" fontId="3" fillId="0" borderId="0"/>
    <xf numFmtId="43" fontId="4" fillId="0" borderId="0" applyFont="0" applyFill="0" applyBorder="0" applyAlignment="0" applyProtection="0"/>
    <xf numFmtId="0" fontId="4" fillId="0" borderId="0"/>
    <xf numFmtId="0" fontId="1" fillId="0" borderId="0"/>
    <xf numFmtId="43" fontId="1" fillId="0" borderId="0" applyFont="0" applyFill="0" applyBorder="0" applyAlignment="0" applyProtection="0"/>
    <xf numFmtId="0" fontId="4" fillId="0" borderId="0"/>
    <xf numFmtId="0" fontId="4" fillId="0" borderId="0"/>
    <xf numFmtId="43" fontId="3" fillId="0" borderId="0" applyFont="0" applyFill="0" applyBorder="0" applyAlignment="0" applyProtection="0"/>
    <xf numFmtId="0" fontId="3" fillId="0" borderId="0"/>
    <xf numFmtId="0" fontId="3" fillId="0" borderId="0"/>
    <xf numFmtId="0" fontId="3" fillId="0" borderId="0"/>
  </cellStyleXfs>
  <cellXfs count="235">
    <xf numFmtId="0" fontId="0" fillId="0" borderId="0" xfId="0"/>
    <xf numFmtId="0" fontId="0" fillId="9" borderId="0" xfId="0" applyFill="1"/>
    <xf numFmtId="0" fontId="17" fillId="0" borderId="0" xfId="0" applyFont="1"/>
    <xf numFmtId="0" fontId="0" fillId="10" borderId="0" xfId="0" applyFill="1"/>
    <xf numFmtId="0" fontId="4" fillId="0" borderId="0" xfId="3"/>
    <xf numFmtId="0" fontId="5" fillId="0" borderId="0" xfId="3" applyFont="1" applyAlignment="1">
      <alignment horizontal="center"/>
    </xf>
    <xf numFmtId="0" fontId="5" fillId="3" borderId="0" xfId="3" applyFont="1" applyFill="1" applyAlignment="1">
      <alignment horizontal="center"/>
    </xf>
    <xf numFmtId="0" fontId="5" fillId="4" borderId="0" xfId="3" applyFont="1" applyFill="1" applyAlignment="1">
      <alignment horizontal="center"/>
    </xf>
    <xf numFmtId="0" fontId="5" fillId="5" borderId="0" xfId="3" applyFont="1" applyFill="1" applyAlignment="1">
      <alignment horizontal="center"/>
    </xf>
    <xf numFmtId="0" fontId="5" fillId="0" borderId="0" xfId="3" applyFont="1"/>
    <xf numFmtId="0" fontId="9" fillId="0" borderId="0" xfId="3" applyFont="1"/>
    <xf numFmtId="2" fontId="0" fillId="10" borderId="0" xfId="0" applyNumberFormat="1" applyFill="1"/>
    <xf numFmtId="0" fontId="0" fillId="11" borderId="0" xfId="0" applyFill="1"/>
    <xf numFmtId="165" fontId="0" fillId="9" borderId="0" xfId="0" applyNumberFormat="1" applyFill="1"/>
    <xf numFmtId="0" fontId="5" fillId="0" borderId="0" xfId="3" applyFont="1" applyAlignment="1">
      <alignment horizontal="right"/>
    </xf>
    <xf numFmtId="0" fontId="4" fillId="0" borderId="0" xfId="3" applyAlignment="1">
      <alignment horizontal="center"/>
    </xf>
    <xf numFmtId="164" fontId="0" fillId="9" borderId="0" xfId="0" applyNumberFormat="1" applyFill="1"/>
    <xf numFmtId="2" fontId="0" fillId="9" borderId="0" xfId="0" applyNumberFormat="1" applyFill="1"/>
    <xf numFmtId="1" fontId="0" fillId="9" borderId="0" xfId="0" applyNumberFormat="1" applyFill="1"/>
    <xf numFmtId="0" fontId="16" fillId="0" borderId="0" xfId="0" applyFont="1"/>
    <xf numFmtId="164" fontId="0" fillId="0" borderId="0" xfId="0" applyNumberFormat="1"/>
    <xf numFmtId="11" fontId="15" fillId="10" borderId="0" xfId="0" applyNumberFormat="1" applyFont="1" applyFill="1"/>
    <xf numFmtId="0" fontId="18" fillId="0" borderId="0" xfId="0" applyFont="1"/>
    <xf numFmtId="11" fontId="0" fillId="9" borderId="0" xfId="0" applyNumberFormat="1" applyFill="1"/>
    <xf numFmtId="0" fontId="5" fillId="0" borderId="0" xfId="3" applyFont="1" applyAlignment="1">
      <alignment horizontal="left"/>
    </xf>
    <xf numFmtId="166" fontId="0" fillId="9" borderId="0" xfId="0" applyNumberFormat="1" applyFill="1"/>
    <xf numFmtId="0" fontId="15" fillId="10" borderId="0" xfId="0" applyFont="1" applyFill="1"/>
    <xf numFmtId="0" fontId="20" fillId="0" borderId="0" xfId="0" applyFont="1"/>
    <xf numFmtId="0" fontId="22" fillId="0" borderId="0" xfId="0" applyFont="1"/>
    <xf numFmtId="0" fontId="0" fillId="12" borderId="0" xfId="0" applyFill="1"/>
    <xf numFmtId="1" fontId="0" fillId="0" borderId="0" xfId="0" applyNumberFormat="1"/>
    <xf numFmtId="0" fontId="23" fillId="0" borderId="0" xfId="0" applyFont="1"/>
    <xf numFmtId="0" fontId="24" fillId="0" borderId="0" xfId="0" applyFont="1"/>
    <xf numFmtId="164" fontId="4" fillId="0" borderId="0" xfId="3" applyNumberFormat="1"/>
    <xf numFmtId="2" fontId="0" fillId="0" borderId="0" xfId="0" applyNumberFormat="1"/>
    <xf numFmtId="0" fontId="25" fillId="0" borderId="0" xfId="0" applyFont="1"/>
    <xf numFmtId="2" fontId="0" fillId="0" borderId="5" xfId="0" applyNumberFormat="1" applyBorder="1"/>
    <xf numFmtId="2" fontId="0" fillId="0" borderId="7" xfId="0" applyNumberFormat="1" applyBorder="1"/>
    <xf numFmtId="0" fontId="4" fillId="0" borderId="8" xfId="3" applyBorder="1"/>
    <xf numFmtId="0" fontId="0" fillId="0" borderId="8" xfId="0" applyBorder="1"/>
    <xf numFmtId="0" fontId="4" fillId="0" borderId="9" xfId="3" applyBorder="1"/>
    <xf numFmtId="0" fontId="0" fillId="0" borderId="5" xfId="0" applyBorder="1"/>
    <xf numFmtId="0" fontId="4" fillId="0" borderId="7" xfId="3" applyBorder="1"/>
    <xf numFmtId="0" fontId="0" fillId="0" borderId="6" xfId="0" applyBorder="1"/>
    <xf numFmtId="0" fontId="0" fillId="0" borderId="7" xfId="0" applyBorder="1"/>
    <xf numFmtId="0" fontId="0" fillId="0" borderId="9" xfId="0" applyBorder="1"/>
    <xf numFmtId="164" fontId="0" fillId="0" borderId="8" xfId="0" applyNumberFormat="1" applyBorder="1"/>
    <xf numFmtId="0" fontId="4" fillId="0" borderId="5" xfId="3" applyBorder="1"/>
    <xf numFmtId="2" fontId="0" fillId="0" borderId="10" xfId="0" applyNumberFormat="1" applyBorder="1"/>
    <xf numFmtId="0" fontId="26" fillId="0" borderId="0" xfId="0" applyFont="1"/>
    <xf numFmtId="0" fontId="27" fillId="0" borderId="0" xfId="3" applyFont="1"/>
    <xf numFmtId="167" fontId="0" fillId="0" borderId="0" xfId="0" applyNumberFormat="1"/>
    <xf numFmtId="0" fontId="0" fillId="0" borderId="2" xfId="0" applyBorder="1"/>
    <xf numFmtId="164" fontId="4" fillId="0" borderId="3" xfId="3" applyNumberFormat="1" applyBorder="1"/>
    <xf numFmtId="0" fontId="4" fillId="0" borderId="3" xfId="3" applyBorder="1"/>
    <xf numFmtId="0" fontId="0" fillId="0" borderId="3" xfId="0" applyBorder="1"/>
    <xf numFmtId="0" fontId="4" fillId="0" borderId="2" xfId="3" applyBorder="1"/>
    <xf numFmtId="164" fontId="0" fillId="0" borderId="3" xfId="0" applyNumberFormat="1" applyBorder="1"/>
    <xf numFmtId="0" fontId="0" fillId="0" borderId="4" xfId="0" applyBorder="1"/>
    <xf numFmtId="164" fontId="4" fillId="0" borderId="8" xfId="3" applyNumberFormat="1" applyBorder="1"/>
    <xf numFmtId="0" fontId="4" fillId="0" borderId="6" xfId="3" applyBorder="1"/>
    <xf numFmtId="0" fontId="0" fillId="0" borderId="10" xfId="0" applyBorder="1"/>
    <xf numFmtId="0" fontId="0" fillId="0" borderId="11" xfId="0" applyBorder="1"/>
    <xf numFmtId="164" fontId="4" fillId="0" borderId="11" xfId="3" applyNumberFormat="1" applyBorder="1"/>
    <xf numFmtId="0" fontId="4" fillId="0" borderId="11" xfId="3" applyBorder="1"/>
    <xf numFmtId="0" fontId="4" fillId="0" borderId="10" xfId="3" applyBorder="1"/>
    <xf numFmtId="164" fontId="0" fillId="0" borderId="11" xfId="0" applyNumberFormat="1" applyBorder="1"/>
    <xf numFmtId="0" fontId="0" fillId="0" borderId="12" xfId="0" applyBorder="1"/>
    <xf numFmtId="1" fontId="0" fillId="0" borderId="4" xfId="0" applyNumberFormat="1" applyBorder="1"/>
    <xf numFmtId="1" fontId="0" fillId="0" borderId="6" xfId="0" applyNumberFormat="1" applyBorder="1"/>
    <xf numFmtId="1" fontId="0" fillId="0" borderId="9" xfId="0" applyNumberFormat="1" applyBorder="1"/>
    <xf numFmtId="0" fontId="0" fillId="0" borderId="13" xfId="0" applyBorder="1"/>
    <xf numFmtId="0" fontId="0" fillId="13" borderId="0" xfId="0" applyFill="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4" fillId="0" borderId="0" xfId="3" applyAlignment="1">
      <alignment horizontal="left"/>
    </xf>
    <xf numFmtId="0" fontId="4" fillId="0" borderId="8" xfId="3" applyBorder="1" applyAlignment="1">
      <alignment horizontal="left"/>
    </xf>
    <xf numFmtId="0" fontId="0" fillId="13" borderId="13" xfId="0" applyFill="1" applyBorder="1"/>
    <xf numFmtId="0" fontId="0" fillId="0" borderId="19" xfId="0" applyBorder="1"/>
    <xf numFmtId="0" fontId="0" fillId="13" borderId="15" xfId="0" applyFill="1" applyBorder="1"/>
    <xf numFmtId="0" fontId="0" fillId="0" borderId="20" xfId="0" applyBorder="1" applyAlignment="1">
      <alignment horizontal="center" wrapText="1"/>
    </xf>
    <xf numFmtId="0" fontId="0" fillId="0" borderId="21" xfId="0" applyBorder="1"/>
    <xf numFmtId="0" fontId="0" fillId="0" borderId="22" xfId="0" applyBorder="1"/>
    <xf numFmtId="0" fontId="15" fillId="0" borderId="0" xfId="0" applyFont="1"/>
    <xf numFmtId="0" fontId="0" fillId="6" borderId="0" xfId="0" applyFill="1" applyProtection="1">
      <protection hidden="1"/>
    </xf>
    <xf numFmtId="0" fontId="10" fillId="6" borderId="0" xfId="0" applyFont="1" applyFill="1" applyAlignment="1" applyProtection="1">
      <alignment horizontal="left" vertical="center"/>
      <protection hidden="1"/>
    </xf>
    <xf numFmtId="0" fontId="0" fillId="6" borderId="0" xfId="0" applyFill="1" applyAlignment="1" applyProtection="1">
      <alignment horizontal="right"/>
      <protection hidden="1"/>
    </xf>
    <xf numFmtId="0" fontId="15" fillId="8" borderId="0" xfId="0" applyFont="1" applyFill="1" applyProtection="1">
      <protection hidden="1"/>
    </xf>
    <xf numFmtId="0" fontId="0" fillId="14" borderId="0" xfId="0" applyFill="1" applyProtection="1">
      <protection hidden="1"/>
    </xf>
    <xf numFmtId="0" fontId="0" fillId="8" borderId="0" xfId="0" applyFill="1" applyProtection="1">
      <protection hidden="1"/>
    </xf>
    <xf numFmtId="0" fontId="0" fillId="8" borderId="0" xfId="0" applyFill="1" applyAlignment="1" applyProtection="1">
      <alignment horizontal="right"/>
      <protection hidden="1"/>
    </xf>
    <xf numFmtId="0" fontId="2" fillId="8" borderId="0" xfId="0" applyFont="1" applyFill="1" applyProtection="1">
      <protection hidden="1"/>
    </xf>
    <xf numFmtId="0" fontId="0" fillId="7" borderId="0" xfId="0" applyFill="1" applyProtection="1">
      <protection hidden="1"/>
    </xf>
    <xf numFmtId="0" fontId="2" fillId="8" borderId="0" xfId="0" quotePrefix="1" applyFont="1" applyFill="1" applyProtection="1">
      <protection hidden="1"/>
    </xf>
    <xf numFmtId="0" fontId="2" fillId="8" borderId="0" xfId="0" applyFont="1" applyFill="1" applyAlignment="1" applyProtection="1">
      <alignment horizontal="right"/>
      <protection hidden="1"/>
    </xf>
    <xf numFmtId="0" fontId="0" fillId="8" borderId="1" xfId="0" applyFill="1" applyBorder="1" applyProtection="1">
      <protection hidden="1"/>
    </xf>
    <xf numFmtId="0" fontId="0" fillId="8" borderId="1" xfId="0" applyFill="1" applyBorder="1" applyAlignment="1" applyProtection="1">
      <alignment horizontal="right"/>
      <protection hidden="1"/>
    </xf>
    <xf numFmtId="0" fontId="15" fillId="8" borderId="1" xfId="0" applyFont="1" applyFill="1" applyBorder="1" applyProtection="1">
      <protection hidden="1"/>
    </xf>
    <xf numFmtId="0" fontId="0" fillId="14" borderId="1" xfId="0" applyFill="1" applyBorder="1" applyProtection="1">
      <protection hidden="1"/>
    </xf>
    <xf numFmtId="0" fontId="0" fillId="15" borderId="0" xfId="0" applyFill="1" applyProtection="1">
      <protection hidden="1"/>
    </xf>
    <xf numFmtId="0" fontId="0" fillId="15" borderId="0" xfId="0" applyFill="1" applyAlignment="1" applyProtection="1">
      <alignment horizontal="right"/>
      <protection hidden="1"/>
    </xf>
    <xf numFmtId="49" fontId="0" fillId="15" borderId="0" xfId="0" applyNumberFormat="1" applyFill="1" applyProtection="1">
      <protection hidden="1"/>
    </xf>
    <xf numFmtId="0" fontId="0" fillId="15" borderId="2" xfId="0" applyFill="1" applyBorder="1" applyProtection="1">
      <protection hidden="1"/>
    </xf>
    <xf numFmtId="0" fontId="0" fillId="15" borderId="3" xfId="0" applyFill="1" applyBorder="1" applyProtection="1">
      <protection hidden="1"/>
    </xf>
    <xf numFmtId="0" fontId="13" fillId="15" borderId="3" xfId="3" applyFont="1" applyFill="1" applyBorder="1" applyAlignment="1" applyProtection="1">
      <alignment horizontal="right"/>
      <protection hidden="1"/>
    </xf>
    <xf numFmtId="0" fontId="0" fillId="15" borderId="4" xfId="0" applyFill="1" applyBorder="1" applyProtection="1">
      <protection hidden="1"/>
    </xf>
    <xf numFmtId="0" fontId="0" fillId="15" borderId="5" xfId="0" applyFill="1" applyBorder="1" applyProtection="1">
      <protection hidden="1"/>
    </xf>
    <xf numFmtId="0" fontId="13" fillId="15" borderId="0" xfId="3" applyFont="1" applyFill="1" applyAlignment="1" applyProtection="1">
      <alignment horizontal="right"/>
      <protection hidden="1"/>
    </xf>
    <xf numFmtId="0" fontId="0" fillId="15" borderId="6" xfId="0" applyFill="1" applyBorder="1" applyProtection="1">
      <protection hidden="1"/>
    </xf>
    <xf numFmtId="0" fontId="13" fillId="15" borderId="5" xfId="0" applyFont="1" applyFill="1" applyBorder="1" applyProtection="1">
      <protection hidden="1"/>
    </xf>
    <xf numFmtId="0" fontId="13" fillId="15" borderId="0" xfId="0" applyFont="1" applyFill="1" applyProtection="1">
      <protection hidden="1"/>
    </xf>
    <xf numFmtId="0" fontId="13" fillId="15" borderId="0" xfId="0" applyFont="1" applyFill="1" applyAlignment="1" applyProtection="1">
      <alignment horizontal="right"/>
      <protection hidden="1"/>
    </xf>
    <xf numFmtId="0" fontId="0" fillId="15" borderId="8" xfId="0" applyFill="1" applyBorder="1" applyProtection="1">
      <protection hidden="1"/>
    </xf>
    <xf numFmtId="0" fontId="0" fillId="15" borderId="9" xfId="0" applyFill="1" applyBorder="1" applyProtection="1">
      <protection hidden="1"/>
    </xf>
    <xf numFmtId="0" fontId="16" fillId="15" borderId="0" xfId="0" applyFont="1" applyFill="1" applyProtection="1">
      <protection hidden="1"/>
    </xf>
    <xf numFmtId="0" fontId="13" fillId="15" borderId="3" xfId="0" applyFont="1" applyFill="1" applyBorder="1" applyProtection="1">
      <protection hidden="1"/>
    </xf>
    <xf numFmtId="0" fontId="0" fillId="15" borderId="7" xfId="0" applyFill="1" applyBorder="1" applyProtection="1">
      <protection hidden="1"/>
    </xf>
    <xf numFmtId="0" fontId="13" fillId="15" borderId="8" xfId="3" applyFont="1" applyFill="1" applyBorder="1" applyAlignment="1" applyProtection="1">
      <alignment horizontal="right"/>
      <protection hidden="1"/>
    </xf>
    <xf numFmtId="0" fontId="17" fillId="15" borderId="6" xfId="0" applyFont="1" applyFill="1" applyBorder="1" applyProtection="1">
      <protection hidden="1"/>
    </xf>
    <xf numFmtId="0" fontId="0" fillId="15" borderId="8" xfId="0" applyFill="1" applyBorder="1" applyAlignment="1" applyProtection="1">
      <alignment horizontal="right"/>
      <protection hidden="1"/>
    </xf>
    <xf numFmtId="0" fontId="17" fillId="15" borderId="9" xfId="0" applyFont="1" applyFill="1" applyBorder="1" applyProtection="1">
      <protection hidden="1"/>
    </xf>
    <xf numFmtId="0" fontId="0" fillId="15" borderId="3" xfId="0" applyFill="1" applyBorder="1" applyAlignment="1" applyProtection="1">
      <alignment horizontal="right"/>
      <protection hidden="1"/>
    </xf>
    <xf numFmtId="0" fontId="16" fillId="15" borderId="2" xfId="0" applyFont="1" applyFill="1" applyBorder="1" applyProtection="1">
      <protection hidden="1"/>
    </xf>
    <xf numFmtId="0" fontId="15" fillId="15" borderId="3" xfId="0" applyFont="1" applyFill="1" applyBorder="1" applyAlignment="1" applyProtection="1">
      <alignment horizontal="right"/>
      <protection hidden="1"/>
    </xf>
    <xf numFmtId="0" fontId="16" fillId="15" borderId="5" xfId="0" applyFont="1" applyFill="1" applyBorder="1" applyProtection="1">
      <protection hidden="1"/>
    </xf>
    <xf numFmtId="0" fontId="23" fillId="15" borderId="0" xfId="0" applyFont="1" applyFill="1" applyAlignment="1" applyProtection="1">
      <alignment horizontal="right"/>
      <protection hidden="1"/>
    </xf>
    <xf numFmtId="0" fontId="0" fillId="15" borderId="0" xfId="0" applyFill="1" applyAlignment="1" applyProtection="1">
      <alignment horizontal="center"/>
      <protection hidden="1"/>
    </xf>
    <xf numFmtId="0" fontId="0" fillId="15" borderId="6" xfId="0" applyFill="1" applyBorder="1" applyAlignment="1" applyProtection="1">
      <alignment horizontal="center"/>
      <protection hidden="1"/>
    </xf>
    <xf numFmtId="0" fontId="0" fillId="14" borderId="0" xfId="0" applyFill="1" applyAlignment="1" applyProtection="1">
      <alignment horizontal="right"/>
      <protection hidden="1"/>
    </xf>
    <xf numFmtId="0" fontId="15" fillId="14" borderId="0" xfId="0" applyFont="1" applyFill="1" applyProtection="1">
      <protection hidden="1"/>
    </xf>
    <xf numFmtId="0" fontId="0" fillId="7" borderId="24" xfId="0" applyFill="1" applyBorder="1" applyProtection="1">
      <protection locked="0" hidden="1"/>
    </xf>
    <xf numFmtId="0" fontId="0" fillId="7" borderId="25" xfId="0" applyFill="1" applyBorder="1" applyProtection="1">
      <protection locked="0" hidden="1"/>
    </xf>
    <xf numFmtId="2" fontId="0" fillId="15" borderId="25" xfId="0" applyNumberFormat="1" applyFill="1" applyBorder="1" applyProtection="1">
      <protection hidden="1"/>
    </xf>
    <xf numFmtId="0" fontId="0" fillId="15" borderId="25" xfId="0" applyFill="1" applyBorder="1" applyProtection="1">
      <protection hidden="1"/>
    </xf>
    <xf numFmtId="164" fontId="0" fillId="0" borderId="25" xfId="0" applyNumberFormat="1" applyBorder="1" applyProtection="1">
      <protection hidden="1"/>
    </xf>
    <xf numFmtId="2" fontId="0" fillId="0" borderId="26" xfId="0" applyNumberFormat="1" applyBorder="1" applyProtection="1">
      <protection hidden="1"/>
    </xf>
    <xf numFmtId="2" fontId="0" fillId="15" borderId="26" xfId="0" applyNumberFormat="1" applyFill="1" applyBorder="1" applyProtection="1">
      <protection hidden="1"/>
    </xf>
    <xf numFmtId="0" fontId="0" fillId="7" borderId="26" xfId="0" applyFill="1" applyBorder="1" applyProtection="1">
      <protection locked="0" hidden="1"/>
    </xf>
    <xf numFmtId="2" fontId="0" fillId="0" borderId="25" xfId="0" applyNumberFormat="1" applyBorder="1" applyProtection="1">
      <protection hidden="1"/>
    </xf>
    <xf numFmtId="2" fontId="0" fillId="0" borderId="24" xfId="0" applyNumberFormat="1" applyBorder="1" applyProtection="1">
      <protection hidden="1"/>
    </xf>
    <xf numFmtId="1" fontId="0" fillId="0" borderId="26" xfId="0" applyNumberFormat="1" applyBorder="1" applyProtection="1">
      <protection hidden="1"/>
    </xf>
    <xf numFmtId="0" fontId="0" fillId="7" borderId="24" xfId="0" applyFill="1" applyBorder="1" applyAlignment="1" applyProtection="1">
      <alignment vertical="top"/>
      <protection hidden="1"/>
    </xf>
    <xf numFmtId="0" fontId="0" fillId="0" borderId="25" xfId="0" applyBorder="1" applyAlignment="1" applyProtection="1">
      <alignment vertical="top"/>
      <protection hidden="1"/>
    </xf>
    <xf numFmtId="164" fontId="0" fillId="15" borderId="25" xfId="0" applyNumberFormat="1" applyFill="1" applyBorder="1" applyProtection="1">
      <protection hidden="1"/>
    </xf>
    <xf numFmtId="0" fontId="0" fillId="15" borderId="25" xfId="0" applyFill="1" applyBorder="1" applyAlignment="1" applyProtection="1">
      <alignment horizontal="center"/>
      <protection hidden="1"/>
    </xf>
    <xf numFmtId="1" fontId="0" fillId="15" borderId="7" xfId="0" applyNumberFormat="1" applyFill="1" applyBorder="1" applyProtection="1">
      <protection hidden="1"/>
    </xf>
    <xf numFmtId="0" fontId="0" fillId="7" borderId="23" xfId="0" applyFill="1" applyBorder="1" applyProtection="1">
      <protection locked="0" hidden="1"/>
    </xf>
    <xf numFmtId="0" fontId="0" fillId="7" borderId="0" xfId="0" applyFill="1"/>
    <xf numFmtId="0" fontId="30" fillId="0" borderId="0" xfId="0" applyFont="1"/>
    <xf numFmtId="0" fontId="31" fillId="0" borderId="0" xfId="0" applyFont="1"/>
    <xf numFmtId="0" fontId="0" fillId="0" borderId="0" xfId="0" applyAlignment="1">
      <alignment horizontal="center"/>
    </xf>
    <xf numFmtId="11" fontId="0" fillId="0" borderId="0" xfId="0" applyNumberFormat="1"/>
    <xf numFmtId="168" fontId="0" fillId="9" borderId="0" xfId="0" applyNumberFormat="1" applyFill="1"/>
    <xf numFmtId="0" fontId="3" fillId="0" borderId="8" xfId="3" applyFont="1" applyBorder="1"/>
    <xf numFmtId="0" fontId="23" fillId="15" borderId="24" xfId="0" applyFont="1" applyFill="1" applyBorder="1" applyAlignment="1" applyProtection="1">
      <alignment horizontal="center"/>
      <protection hidden="1"/>
    </xf>
    <xf numFmtId="0" fontId="23" fillId="0" borderId="0" xfId="0" quotePrefix="1" applyFont="1"/>
    <xf numFmtId="0" fontId="37" fillId="14" borderId="0" xfId="0" applyFont="1" applyFill="1" applyProtection="1">
      <protection hidden="1"/>
    </xf>
    <xf numFmtId="0" fontId="0" fillId="15" borderId="0" xfId="0" applyFill="1"/>
    <xf numFmtId="0" fontId="13" fillId="15" borderId="7" xfId="0" applyFont="1" applyFill="1" applyBorder="1" applyProtection="1">
      <protection hidden="1"/>
    </xf>
    <xf numFmtId="0" fontId="13" fillId="15" borderId="8" xfId="0" applyFont="1" applyFill="1" applyBorder="1" applyProtection="1">
      <protection hidden="1"/>
    </xf>
    <xf numFmtId="167" fontId="0" fillId="15" borderId="25" xfId="0" applyNumberFormat="1" applyFill="1" applyBorder="1" applyProtection="1">
      <protection hidden="1"/>
    </xf>
    <xf numFmtId="0" fontId="23" fillId="13" borderId="0" xfId="0" applyFont="1" applyFill="1"/>
    <xf numFmtId="164" fontId="0" fillId="6" borderId="0" xfId="0" applyNumberFormat="1" applyFill="1"/>
    <xf numFmtId="0" fontId="0" fillId="6" borderId="0" xfId="0" applyFill="1"/>
    <xf numFmtId="164" fontId="0" fillId="0" borderId="26" xfId="0" applyNumberFormat="1" applyBorder="1" applyProtection="1">
      <protection hidden="1"/>
    </xf>
    <xf numFmtId="169" fontId="0" fillId="0" borderId="0" xfId="0" applyNumberFormat="1"/>
    <xf numFmtId="0" fontId="17" fillId="15" borderId="10" xfId="0" applyFont="1" applyFill="1" applyBorder="1" applyAlignment="1" applyProtection="1">
      <alignment horizontal="left"/>
      <protection hidden="1"/>
    </xf>
    <xf numFmtId="0" fontId="0" fillId="15" borderId="7" xfId="0" applyFill="1" applyBorder="1" applyAlignment="1" applyProtection="1">
      <alignment horizontal="left"/>
      <protection hidden="1"/>
    </xf>
    <xf numFmtId="0" fontId="32" fillId="15" borderId="0" xfId="0" applyFont="1" applyFill="1" applyProtection="1">
      <protection hidden="1"/>
    </xf>
    <xf numFmtId="0" fontId="33" fillId="15" borderId="0" xfId="0" applyFont="1" applyFill="1" applyProtection="1">
      <protection hidden="1"/>
    </xf>
    <xf numFmtId="0" fontId="33" fillId="15" borderId="0" xfId="0" applyFont="1" applyFill="1" applyAlignment="1" applyProtection="1">
      <alignment horizontal="right"/>
      <protection hidden="1"/>
    </xf>
    <xf numFmtId="0" fontId="37" fillId="15" borderId="0" xfId="0" applyFont="1" applyFill="1" applyProtection="1">
      <protection hidden="1"/>
    </xf>
    <xf numFmtId="0" fontId="34" fillId="15" borderId="0" xfId="0" applyFont="1" applyFill="1" applyAlignment="1" applyProtection="1">
      <alignment horizontal="left"/>
      <protection hidden="1"/>
    </xf>
    <xf numFmtId="0" fontId="35" fillId="15" borderId="0" xfId="3" applyFont="1" applyFill="1" applyAlignment="1" applyProtection="1">
      <alignment horizontal="right"/>
      <protection hidden="1"/>
    </xf>
    <xf numFmtId="0" fontId="0" fillId="0" borderId="23" xfId="0" applyBorder="1"/>
    <xf numFmtId="0" fontId="0" fillId="0" borderId="25" xfId="0" applyBorder="1"/>
    <xf numFmtId="0" fontId="0" fillId="0" borderId="24" xfId="0" applyBorder="1"/>
    <xf numFmtId="0" fontId="0" fillId="0" borderId="26" xfId="0" applyBorder="1"/>
    <xf numFmtId="0" fontId="4" fillId="0" borderId="12" xfId="3" applyBorder="1"/>
    <xf numFmtId="0" fontId="3" fillId="0" borderId="10" xfId="3" applyFont="1" applyBorder="1"/>
    <xf numFmtId="0" fontId="3" fillId="0" borderId="11" xfId="3" applyFont="1" applyBorder="1"/>
    <xf numFmtId="1" fontId="0" fillId="8" borderId="0" xfId="0" applyNumberFormat="1" applyFill="1" applyProtection="1">
      <protection hidden="1"/>
    </xf>
    <xf numFmtId="167" fontId="0" fillId="0" borderId="25" xfId="0" applyNumberFormat="1" applyBorder="1" applyProtection="1">
      <protection hidden="1"/>
    </xf>
    <xf numFmtId="167" fontId="0" fillId="15" borderId="10" xfId="0" applyNumberFormat="1" applyFill="1" applyBorder="1" applyProtection="1">
      <protection hidden="1"/>
    </xf>
    <xf numFmtId="0" fontId="0" fillId="16" borderId="0" xfId="0" applyFill="1"/>
    <xf numFmtId="0" fontId="0" fillId="0" borderId="28" xfId="0" applyBorder="1"/>
    <xf numFmtId="0" fontId="37" fillId="8" borderId="0" xfId="0" applyFont="1" applyFill="1" applyProtection="1">
      <protection hidden="1"/>
    </xf>
    <xf numFmtId="0" fontId="33" fillId="15" borderId="2" xfId="0" applyFont="1" applyFill="1" applyBorder="1" applyProtection="1">
      <protection hidden="1"/>
    </xf>
    <xf numFmtId="0" fontId="33" fillId="15" borderId="3" xfId="0" applyFont="1" applyFill="1" applyBorder="1" applyProtection="1">
      <protection hidden="1"/>
    </xf>
    <xf numFmtId="0" fontId="35" fillId="15" borderId="3" xfId="3" applyFont="1" applyFill="1" applyBorder="1" applyAlignment="1" applyProtection="1">
      <alignment horizontal="right"/>
      <protection hidden="1"/>
    </xf>
    <xf numFmtId="0" fontId="35" fillId="15" borderId="4" xfId="3" applyFont="1" applyFill="1" applyBorder="1" applyProtection="1">
      <protection hidden="1"/>
    </xf>
    <xf numFmtId="0" fontId="34" fillId="15" borderId="5" xfId="0" applyFont="1" applyFill="1" applyBorder="1" applyProtection="1">
      <protection hidden="1"/>
    </xf>
    <xf numFmtId="0" fontId="35" fillId="15" borderId="6" xfId="3" applyFont="1" applyFill="1" applyBorder="1" applyProtection="1">
      <protection hidden="1"/>
    </xf>
    <xf numFmtId="0" fontId="33" fillId="15" borderId="5" xfId="0" applyFont="1" applyFill="1" applyBorder="1" applyProtection="1">
      <protection hidden="1"/>
    </xf>
    <xf numFmtId="0" fontId="33" fillId="15" borderId="7" xfId="0" applyFont="1" applyFill="1" applyBorder="1" applyProtection="1">
      <protection hidden="1"/>
    </xf>
    <xf numFmtId="0" fontId="33" fillId="15" borderId="8" xfId="0" applyFont="1" applyFill="1" applyBorder="1" applyProtection="1">
      <protection hidden="1"/>
    </xf>
    <xf numFmtId="0" fontId="35" fillId="15" borderId="8" xfId="3" applyFont="1" applyFill="1" applyBorder="1" applyAlignment="1" applyProtection="1">
      <alignment horizontal="right"/>
      <protection hidden="1"/>
    </xf>
    <xf numFmtId="0" fontId="35" fillId="15" borderId="9" xfId="3" applyFont="1" applyFill="1" applyBorder="1" applyProtection="1">
      <protection hidden="1"/>
    </xf>
    <xf numFmtId="0" fontId="33" fillId="15" borderId="6" xfId="0" applyFont="1" applyFill="1" applyBorder="1" applyProtection="1">
      <protection hidden="1"/>
    </xf>
    <xf numFmtId="0" fontId="33" fillId="15" borderId="8" xfId="0" applyFont="1" applyFill="1" applyBorder="1" applyAlignment="1" applyProtection="1">
      <alignment horizontal="right"/>
      <protection hidden="1"/>
    </xf>
    <xf numFmtId="0" fontId="33" fillId="15" borderId="9" xfId="0" applyFont="1" applyFill="1" applyBorder="1" applyProtection="1">
      <protection hidden="1"/>
    </xf>
    <xf numFmtId="0" fontId="13" fillId="15" borderId="8" xfId="0" applyFont="1" applyFill="1" applyBorder="1" applyAlignment="1" applyProtection="1">
      <alignment horizontal="right"/>
      <protection hidden="1"/>
    </xf>
    <xf numFmtId="167" fontId="0" fillId="15" borderId="26" xfId="0" applyNumberFormat="1" applyFill="1" applyBorder="1" applyProtection="1">
      <protection hidden="1"/>
    </xf>
    <xf numFmtId="0" fontId="0" fillId="0" borderId="30" xfId="0" applyBorder="1"/>
    <xf numFmtId="0" fontId="33" fillId="7" borderId="24" xfId="0" applyFont="1" applyFill="1" applyBorder="1" applyProtection="1">
      <protection locked="0" hidden="1"/>
    </xf>
    <xf numFmtId="0" fontId="33" fillId="7" borderId="25" xfId="0" applyFont="1" applyFill="1" applyBorder="1" applyProtection="1">
      <protection locked="0" hidden="1"/>
    </xf>
    <xf numFmtId="0" fontId="33" fillId="7" borderId="26" xfId="0" applyFont="1" applyFill="1" applyBorder="1" applyProtection="1">
      <protection locked="0" hidden="1"/>
    </xf>
    <xf numFmtId="2" fontId="0" fillId="7" borderId="25" xfId="0" applyNumberFormat="1" applyFill="1" applyBorder="1" applyProtection="1">
      <protection locked="0" hidden="1"/>
    </xf>
    <xf numFmtId="0" fontId="0" fillId="7" borderId="5" xfId="0" applyFill="1" applyBorder="1" applyAlignment="1" applyProtection="1">
      <alignment horizontal="center"/>
      <protection locked="0" hidden="1"/>
    </xf>
    <xf numFmtId="0" fontId="0" fillId="0" borderId="25" xfId="0" applyBorder="1" applyProtection="1">
      <protection hidden="1"/>
    </xf>
    <xf numFmtId="0" fontId="6" fillId="2" borderId="0" xfId="3" applyFont="1" applyFill="1" applyAlignment="1">
      <alignment horizontal="center"/>
    </xf>
    <xf numFmtId="0" fontId="5" fillId="0" borderId="0" xfId="3" applyFont="1" applyAlignment="1">
      <alignment horizontal="center"/>
    </xf>
    <xf numFmtId="0" fontId="0" fillId="0" borderId="20" xfId="0" applyBorder="1" applyAlignment="1">
      <alignment horizontal="center" wrapText="1"/>
    </xf>
    <xf numFmtId="0" fontId="0" fillId="0" borderId="29" xfId="0" applyBorder="1" applyAlignment="1">
      <alignment horizontal="center" wrapText="1"/>
    </xf>
    <xf numFmtId="0" fontId="0" fillId="0" borderId="21" xfId="0" applyBorder="1" applyAlignment="1">
      <alignment horizontal="center" wrapText="1"/>
    </xf>
    <xf numFmtId="0" fontId="0" fillId="0" borderId="22" xfId="0" applyBorder="1" applyAlignment="1">
      <alignment horizontal="center" wrapText="1"/>
    </xf>
    <xf numFmtId="0" fontId="0" fillId="0" borderId="20" xfId="0" applyBorder="1" applyAlignment="1">
      <alignment horizontal="center"/>
    </xf>
    <xf numFmtId="0" fontId="0" fillId="0" borderId="21" xfId="0" applyBorder="1" applyAlignment="1">
      <alignment horizontal="center"/>
    </xf>
    <xf numFmtId="0" fontId="0" fillId="0" borderId="22" xfId="0" applyBorder="1" applyAlignment="1">
      <alignment horizontal="center"/>
    </xf>
    <xf numFmtId="0" fontId="0" fillId="0" borderId="27" xfId="0" applyBorder="1" applyAlignment="1">
      <alignment horizontal="center"/>
    </xf>
    <xf numFmtId="0" fontId="0" fillId="0" borderId="0" xfId="0" applyAlignment="1">
      <alignment horizontal="center"/>
    </xf>
    <xf numFmtId="0" fontId="23" fillId="0" borderId="10" xfId="0" applyFont="1" applyBorder="1" applyAlignment="1">
      <alignment horizontal="center"/>
    </xf>
    <xf numFmtId="0" fontId="23" fillId="0" borderId="11" xfId="0" applyFont="1" applyBorder="1" applyAlignment="1">
      <alignment horizontal="center"/>
    </xf>
    <xf numFmtId="0" fontId="23" fillId="0" borderId="12" xfId="0" applyFont="1" applyBorder="1" applyAlignment="1">
      <alignment horizontal="center"/>
    </xf>
    <xf numFmtId="0" fontId="4" fillId="0" borderId="0" xfId="3" applyAlignment="1">
      <alignment horizontal="center"/>
    </xf>
    <xf numFmtId="0" fontId="0" fillId="0" borderId="3" xfId="0" applyBorder="1" applyAlignment="1">
      <alignment horizontal="center"/>
    </xf>
    <xf numFmtId="0" fontId="0" fillId="0" borderId="2" xfId="0"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0" fillId="0" borderId="6" xfId="0" applyBorder="1" applyAlignment="1">
      <alignment horizontal="center"/>
    </xf>
    <xf numFmtId="0" fontId="23" fillId="0" borderId="2" xfId="0" applyFont="1" applyBorder="1" applyAlignment="1">
      <alignment horizontal="center"/>
    </xf>
    <xf numFmtId="0" fontId="23" fillId="0" borderId="4" xfId="0" applyFont="1" applyBorder="1" applyAlignment="1">
      <alignment horizontal="center"/>
    </xf>
  </cellXfs>
  <cellStyles count="12">
    <cellStyle name="Comma 2" xfId="5" xr:uid="{00000000-0005-0000-0000-000000000000}"/>
    <cellStyle name="Comma 3" xfId="2" xr:uid="{00000000-0005-0000-0000-000001000000}"/>
    <cellStyle name="Comma 3 2" xfId="8" xr:uid="{00000000-0005-0000-0000-000001000000}"/>
    <cellStyle name="Normal" xfId="0" builtinId="0"/>
    <cellStyle name="Normal 2" xfId="3" xr:uid="{00000000-0005-0000-0000-000003000000}"/>
    <cellStyle name="Normal 2 2" xfId="9" xr:uid="{00000000-0005-0000-0000-000003000000}"/>
    <cellStyle name="Normal 3" xfId="4" xr:uid="{00000000-0005-0000-0000-000004000000}"/>
    <cellStyle name="Normal 4" xfId="1" xr:uid="{00000000-0005-0000-0000-000005000000}"/>
    <cellStyle name="Normal 4 2" xfId="7" xr:uid="{00000000-0005-0000-0000-000006000000}"/>
    <cellStyle name="Normal 4 2 2" xfId="11" xr:uid="{00000000-0005-0000-0000-000006000000}"/>
    <cellStyle name="Normal 4 3" xfId="6" xr:uid="{00000000-0005-0000-0000-000007000000}"/>
    <cellStyle name="Normal 4 3 2" xfId="10" xr:uid="{00000000-0005-0000-0000-000007000000}"/>
  </cellStyles>
  <dxfs count="0"/>
  <tableStyles count="0" defaultTableStyle="TableStyleMedium2" defaultPivotStyle="PivotStyleLight16"/>
  <colors>
    <mruColors>
      <color rgb="FFEAEAE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a:pPr>
            <a:r>
              <a:rPr lang="en-US" sz="1600" baseline="0"/>
              <a:t>Bode Plot</a:t>
            </a:r>
          </a:p>
        </c:rich>
      </c:tx>
      <c:layout>
        <c:manualLayout>
          <c:xMode val="edge"/>
          <c:yMode val="edge"/>
          <c:x val="9.4354157174953393E-2"/>
          <c:y val="3.9916010498687662E-3"/>
        </c:manualLayout>
      </c:layout>
      <c:overlay val="0"/>
    </c:title>
    <c:autoTitleDeleted val="0"/>
    <c:plotArea>
      <c:layout>
        <c:manualLayout>
          <c:layoutTarget val="inner"/>
          <c:xMode val="edge"/>
          <c:yMode val="edge"/>
          <c:x val="9.0594052720499751E-2"/>
          <c:y val="8.9158108013693851E-2"/>
          <c:w val="0.80965876742891785"/>
          <c:h val="0.76159168715027026"/>
        </c:manualLayout>
      </c:layout>
      <c:scatterChart>
        <c:scatterStyle val="smoothMarker"/>
        <c:varyColors val="0"/>
        <c:ser>
          <c:idx val="0"/>
          <c:order val="0"/>
          <c:tx>
            <c:v>Gain (dB)</c:v>
          </c:tx>
          <c:spPr>
            <a:ln w="28575">
              <a:solidFill>
                <a:srgbClr val="FF0000"/>
              </a:solidFill>
            </a:ln>
          </c:spPr>
          <c:marker>
            <c:symbol val="none"/>
          </c:marker>
          <c:xVal>
            <c:numRef>
              <c:f>Loop_Modeling!$O$19:$O$560</c:f>
              <c:numCache>
                <c:formatCode>0.00</c:formatCode>
                <c:ptCount val="542"/>
                <c:pt idx="0">
                  <c:v>10.232929922807543</c:v>
                </c:pt>
                <c:pt idx="1">
                  <c:v>10.471285480509</c:v>
                </c:pt>
                <c:pt idx="2">
                  <c:v>10.715193052376069</c:v>
                </c:pt>
                <c:pt idx="3">
                  <c:v>10.964781961431854</c:v>
                </c:pt>
                <c:pt idx="4">
                  <c:v>11.220184543019636</c:v>
                </c:pt>
                <c:pt idx="5">
                  <c:v>11.481536214968834</c:v>
                </c:pt>
                <c:pt idx="6">
                  <c:v>11.748975549395301</c:v>
                </c:pt>
                <c:pt idx="7">
                  <c:v>12.022644346174133</c:v>
                </c:pt>
                <c:pt idx="8">
                  <c:v>12.302687708123818</c:v>
                </c:pt>
                <c:pt idx="9">
                  <c:v>12.58925411794168</c:v>
                </c:pt>
                <c:pt idx="10">
                  <c:v>12.882495516931346</c:v>
                </c:pt>
                <c:pt idx="11">
                  <c:v>13.182567385564075</c:v>
                </c:pt>
                <c:pt idx="12">
                  <c:v>13.489628825916535</c:v>
                </c:pt>
                <c:pt idx="13">
                  <c:v>13.803842646028857</c:v>
                </c:pt>
                <c:pt idx="14">
                  <c:v>14.125375446227544</c:v>
                </c:pt>
                <c:pt idx="15">
                  <c:v>14.454397707459275</c:v>
                </c:pt>
                <c:pt idx="16">
                  <c:v>14.791083881682074</c:v>
                </c:pt>
                <c:pt idx="17">
                  <c:v>15.135612484362087</c:v>
                </c:pt>
                <c:pt idx="18">
                  <c:v>15.488166189124817</c:v>
                </c:pt>
                <c:pt idx="19">
                  <c:v>15.848931924611136</c:v>
                </c:pt>
                <c:pt idx="20">
                  <c:v>16.218100973589298</c:v>
                </c:pt>
                <c:pt idx="21">
                  <c:v>16.595869074375614</c:v>
                </c:pt>
                <c:pt idx="22">
                  <c:v>16.982436524617448</c:v>
                </c:pt>
                <c:pt idx="23">
                  <c:v>17.378008287493756</c:v>
                </c:pt>
                <c:pt idx="24">
                  <c:v>17.782794100389236</c:v>
                </c:pt>
                <c:pt idx="25">
                  <c:v>18.197008586099841</c:v>
                </c:pt>
                <c:pt idx="26">
                  <c:v>18.62087136662868</c:v>
                </c:pt>
                <c:pt idx="27">
                  <c:v>19.054607179632477</c:v>
                </c:pt>
                <c:pt idx="28">
                  <c:v>19.498445997580465</c:v>
                </c:pt>
                <c:pt idx="29">
                  <c:v>19.952623149688804</c:v>
                </c:pt>
                <c:pt idx="30">
                  <c:v>20.4173794466953</c:v>
                </c:pt>
                <c:pt idx="31">
                  <c:v>20.8929613085404</c:v>
                </c:pt>
                <c:pt idx="32">
                  <c:v>21.379620895022335</c:v>
                </c:pt>
                <c:pt idx="33">
                  <c:v>21.877616239495538</c:v>
                </c:pt>
                <c:pt idx="34">
                  <c:v>22.387211385683404</c:v>
                </c:pt>
                <c:pt idx="35">
                  <c:v>22.908676527677727</c:v>
                </c:pt>
                <c:pt idx="36">
                  <c:v>23.442288153199236</c:v>
                </c:pt>
                <c:pt idx="37">
                  <c:v>23.988329190194907</c:v>
                </c:pt>
                <c:pt idx="38">
                  <c:v>24.547089156850316</c:v>
                </c:pt>
                <c:pt idx="39">
                  <c:v>25.118864315095799</c:v>
                </c:pt>
                <c:pt idx="40">
                  <c:v>25.703957827688647</c:v>
                </c:pt>
                <c:pt idx="41">
                  <c:v>26.302679918953825</c:v>
                </c:pt>
                <c:pt idx="42">
                  <c:v>26.915348039269158</c:v>
                </c:pt>
                <c:pt idx="43">
                  <c:v>27.542287033381665</c:v>
                </c:pt>
                <c:pt idx="44">
                  <c:v>28.183829312644548</c:v>
                </c:pt>
                <c:pt idx="45">
                  <c:v>28.840315031266066</c:v>
                </c:pt>
                <c:pt idx="46">
                  <c:v>29.512092266663863</c:v>
                </c:pt>
                <c:pt idx="47">
                  <c:v>30.199517204020164</c:v>
                </c:pt>
                <c:pt idx="48">
                  <c:v>30.902954325135919</c:v>
                </c:pt>
                <c:pt idx="49">
                  <c:v>31.622776601683803</c:v>
                </c:pt>
                <c:pt idx="50">
                  <c:v>32.359365692962832</c:v>
                </c:pt>
                <c:pt idx="51">
                  <c:v>33.113112148259127</c:v>
                </c:pt>
                <c:pt idx="52">
                  <c:v>33.884415613920268</c:v>
                </c:pt>
                <c:pt idx="53">
                  <c:v>34.67368504525318</c:v>
                </c:pt>
                <c:pt idx="54">
                  <c:v>35.481338923357555</c:v>
                </c:pt>
                <c:pt idx="55">
                  <c:v>36.307805477010156</c:v>
                </c:pt>
                <c:pt idx="56">
                  <c:v>37.15352290971726</c:v>
                </c:pt>
                <c:pt idx="57">
                  <c:v>38.018939632056139</c:v>
                </c:pt>
                <c:pt idx="58">
                  <c:v>38.904514499428053</c:v>
                </c:pt>
                <c:pt idx="59">
                  <c:v>39.810717055349755</c:v>
                </c:pt>
                <c:pt idx="60">
                  <c:v>40.738027780411279</c:v>
                </c:pt>
                <c:pt idx="61">
                  <c:v>41.686938347033561</c:v>
                </c:pt>
                <c:pt idx="62">
                  <c:v>42.657951880159267</c:v>
                </c:pt>
                <c:pt idx="63">
                  <c:v>43.651583224016633</c:v>
                </c:pt>
                <c:pt idx="64">
                  <c:v>44.668359215096324</c:v>
                </c:pt>
                <c:pt idx="65">
                  <c:v>45.70881896148753</c:v>
                </c:pt>
                <c:pt idx="66">
                  <c:v>46.773514128719818</c:v>
                </c:pt>
                <c:pt idx="67">
                  <c:v>47.863009232263877</c:v>
                </c:pt>
                <c:pt idx="68">
                  <c:v>48.977881936844632</c:v>
                </c:pt>
                <c:pt idx="69">
                  <c:v>50.118723362727238</c:v>
                </c:pt>
                <c:pt idx="70">
                  <c:v>51.28613839913649</c:v>
                </c:pt>
                <c:pt idx="71">
                  <c:v>52.480746024977286</c:v>
                </c:pt>
                <c:pt idx="72">
                  <c:v>53.703179637025293</c:v>
                </c:pt>
                <c:pt idx="73">
                  <c:v>54.95408738576247</c:v>
                </c:pt>
                <c:pt idx="74">
                  <c:v>56.234132519034915</c:v>
                </c:pt>
                <c:pt idx="75">
                  <c:v>57.543993733715695</c:v>
                </c:pt>
                <c:pt idx="76">
                  <c:v>58.884365535558949</c:v>
                </c:pt>
                <c:pt idx="77">
                  <c:v>60.255958607435822</c:v>
                </c:pt>
                <c:pt idx="78">
                  <c:v>61.659500186148257</c:v>
                </c:pt>
                <c:pt idx="79">
                  <c:v>63.095734448019364</c:v>
                </c:pt>
                <c:pt idx="80">
                  <c:v>64.565422903465588</c:v>
                </c:pt>
                <c:pt idx="81">
                  <c:v>66.069344800759623</c:v>
                </c:pt>
                <c:pt idx="82">
                  <c:v>67.60829753919819</c:v>
                </c:pt>
                <c:pt idx="83">
                  <c:v>69.183097091893657</c:v>
                </c:pt>
                <c:pt idx="84">
                  <c:v>70.794578438413865</c:v>
                </c:pt>
                <c:pt idx="85">
                  <c:v>72.443596007499011</c:v>
                </c:pt>
                <c:pt idx="86">
                  <c:v>74.131024130091816</c:v>
                </c:pt>
                <c:pt idx="87">
                  <c:v>75.857757502918361</c:v>
                </c:pt>
                <c:pt idx="88">
                  <c:v>77.624711662869217</c:v>
                </c:pt>
                <c:pt idx="89">
                  <c:v>79.432823472428197</c:v>
                </c:pt>
                <c:pt idx="90">
                  <c:v>81.283051616409963</c:v>
                </c:pt>
                <c:pt idx="91">
                  <c:v>83.176377110267126</c:v>
                </c:pt>
                <c:pt idx="92">
                  <c:v>85.113803820237734</c:v>
                </c:pt>
                <c:pt idx="93">
                  <c:v>87.096358995608071</c:v>
                </c:pt>
                <c:pt idx="94">
                  <c:v>89.125093813374562</c:v>
                </c:pt>
                <c:pt idx="95">
                  <c:v>91.201083935590972</c:v>
                </c:pt>
                <c:pt idx="96">
                  <c:v>93.325430079699174</c:v>
                </c:pt>
                <c:pt idx="97">
                  <c:v>95.499258602143655</c:v>
                </c:pt>
                <c:pt idx="98">
                  <c:v>97.723722095581124</c:v>
                </c:pt>
                <c:pt idx="99">
                  <c:v>100</c:v>
                </c:pt>
                <c:pt idx="100">
                  <c:v>102.32929922807544</c:v>
                </c:pt>
                <c:pt idx="101">
                  <c:v>104.71285480508998</c:v>
                </c:pt>
                <c:pt idx="102">
                  <c:v>107.15193052376065</c:v>
                </c:pt>
                <c:pt idx="103">
                  <c:v>109.64781961431861</c:v>
                </c:pt>
                <c:pt idx="104">
                  <c:v>112.20184543019634</c:v>
                </c:pt>
                <c:pt idx="105">
                  <c:v>114.81536214968835</c:v>
                </c:pt>
                <c:pt idx="106">
                  <c:v>117.48975549395293</c:v>
                </c:pt>
                <c:pt idx="107">
                  <c:v>120.22644346174135</c:v>
                </c:pt>
                <c:pt idx="108">
                  <c:v>123.02687708123821</c:v>
                </c:pt>
                <c:pt idx="109">
                  <c:v>125.89254117941677</c:v>
                </c:pt>
                <c:pt idx="110">
                  <c:v>128.82495516931343</c:v>
                </c:pt>
                <c:pt idx="111">
                  <c:v>131.82567385564084</c:v>
                </c:pt>
                <c:pt idx="112">
                  <c:v>134.89628825916537</c:v>
                </c:pt>
                <c:pt idx="113">
                  <c:v>138.0384264602886</c:v>
                </c:pt>
                <c:pt idx="114">
                  <c:v>141.25375446227542</c:v>
                </c:pt>
                <c:pt idx="115">
                  <c:v>144.54397707459285</c:v>
                </c:pt>
                <c:pt idx="116">
                  <c:v>147.91083881682084</c:v>
                </c:pt>
                <c:pt idx="117">
                  <c:v>151.3561248436209</c:v>
                </c:pt>
                <c:pt idx="118">
                  <c:v>154.8816618912482</c:v>
                </c:pt>
                <c:pt idx="119">
                  <c:v>158.48931924611153</c:v>
                </c:pt>
                <c:pt idx="120">
                  <c:v>162.18100973589304</c:v>
                </c:pt>
                <c:pt idx="121">
                  <c:v>165.95869074375622</c:v>
                </c:pt>
                <c:pt idx="122">
                  <c:v>169.82436524617444</c:v>
                </c:pt>
                <c:pt idx="123">
                  <c:v>173.78008287493768</c:v>
                </c:pt>
                <c:pt idx="124">
                  <c:v>177.82794100389242</c:v>
                </c:pt>
                <c:pt idx="125">
                  <c:v>181.9700858609983</c:v>
                </c:pt>
                <c:pt idx="126">
                  <c:v>186.20871366628685</c:v>
                </c:pt>
                <c:pt idx="127">
                  <c:v>190.54607179632498</c:v>
                </c:pt>
                <c:pt idx="128">
                  <c:v>194.98445997580458</c:v>
                </c:pt>
                <c:pt idx="129">
                  <c:v>199.52623149688802</c:v>
                </c:pt>
                <c:pt idx="130">
                  <c:v>204.17379446695315</c:v>
                </c:pt>
                <c:pt idx="131">
                  <c:v>208.92961308540396</c:v>
                </c:pt>
                <c:pt idx="132">
                  <c:v>213.79620895022339</c:v>
                </c:pt>
                <c:pt idx="133">
                  <c:v>218.77616239495524</c:v>
                </c:pt>
                <c:pt idx="134">
                  <c:v>223.87211385683412</c:v>
                </c:pt>
                <c:pt idx="135">
                  <c:v>229.08676527677744</c:v>
                </c:pt>
                <c:pt idx="136">
                  <c:v>234.42288153199232</c:v>
                </c:pt>
                <c:pt idx="137">
                  <c:v>239.88329190194912</c:v>
                </c:pt>
                <c:pt idx="138">
                  <c:v>245.4708915685033</c:v>
                </c:pt>
                <c:pt idx="139">
                  <c:v>251.18864315095806</c:v>
                </c:pt>
                <c:pt idx="140">
                  <c:v>257.03957827688663</c:v>
                </c:pt>
                <c:pt idx="141">
                  <c:v>263.02679918953817</c:v>
                </c:pt>
                <c:pt idx="142">
                  <c:v>269.15348039269179</c:v>
                </c:pt>
                <c:pt idx="143">
                  <c:v>275.42287033381683</c:v>
                </c:pt>
                <c:pt idx="144">
                  <c:v>281.83829312644554</c:v>
                </c:pt>
                <c:pt idx="145">
                  <c:v>288.40315031266073</c:v>
                </c:pt>
                <c:pt idx="146">
                  <c:v>295.12092266663871</c:v>
                </c:pt>
                <c:pt idx="147">
                  <c:v>301.99517204020168</c:v>
                </c:pt>
                <c:pt idx="148">
                  <c:v>309.02954325135937</c:v>
                </c:pt>
                <c:pt idx="149">
                  <c:v>316.22776601683825</c:v>
                </c:pt>
                <c:pt idx="150">
                  <c:v>323.59365692962825</c:v>
                </c:pt>
                <c:pt idx="151">
                  <c:v>331.13112148259137</c:v>
                </c:pt>
                <c:pt idx="152">
                  <c:v>338.84415613920277</c:v>
                </c:pt>
                <c:pt idx="153">
                  <c:v>346.73685045253183</c:v>
                </c:pt>
                <c:pt idx="154">
                  <c:v>354.81338923357566</c:v>
                </c:pt>
                <c:pt idx="155">
                  <c:v>363.07805477010152</c:v>
                </c:pt>
                <c:pt idx="156">
                  <c:v>371.53522909717265</c:v>
                </c:pt>
                <c:pt idx="157">
                  <c:v>380.18939632056163</c:v>
                </c:pt>
                <c:pt idx="158">
                  <c:v>389.04514499428063</c:v>
                </c:pt>
                <c:pt idx="159">
                  <c:v>398.10717055349761</c:v>
                </c:pt>
                <c:pt idx="160">
                  <c:v>407.38027780411272</c:v>
                </c:pt>
                <c:pt idx="161">
                  <c:v>416.86938347033572</c:v>
                </c:pt>
                <c:pt idx="162">
                  <c:v>426.57951880159294</c:v>
                </c:pt>
                <c:pt idx="163">
                  <c:v>436.51583224016622</c:v>
                </c:pt>
                <c:pt idx="164">
                  <c:v>446.68359215096331</c:v>
                </c:pt>
                <c:pt idx="165">
                  <c:v>457.0881896148756</c:v>
                </c:pt>
                <c:pt idx="166">
                  <c:v>467.7351412871983</c:v>
                </c:pt>
                <c:pt idx="167">
                  <c:v>478.63009232263886</c:v>
                </c:pt>
                <c:pt idx="168">
                  <c:v>489.77881936844625</c:v>
                </c:pt>
                <c:pt idx="169">
                  <c:v>501.18723362727269</c:v>
                </c:pt>
                <c:pt idx="170">
                  <c:v>512.86138399136519</c:v>
                </c:pt>
                <c:pt idx="171">
                  <c:v>524.80746024977248</c:v>
                </c:pt>
                <c:pt idx="172">
                  <c:v>537.03179637025301</c:v>
                </c:pt>
                <c:pt idx="173">
                  <c:v>549.54087385762534</c:v>
                </c:pt>
                <c:pt idx="174">
                  <c:v>562.34132519034927</c:v>
                </c:pt>
                <c:pt idx="175">
                  <c:v>575.43993733715706</c:v>
                </c:pt>
                <c:pt idx="176">
                  <c:v>588.84365535558959</c:v>
                </c:pt>
                <c:pt idx="177">
                  <c:v>602.55958607435832</c:v>
                </c:pt>
                <c:pt idx="178">
                  <c:v>616.59500186148273</c:v>
                </c:pt>
                <c:pt idx="179">
                  <c:v>630.95734448019323</c:v>
                </c:pt>
                <c:pt idx="180">
                  <c:v>645.65422903465594</c:v>
                </c:pt>
                <c:pt idx="181">
                  <c:v>660.69344800759643</c:v>
                </c:pt>
                <c:pt idx="182">
                  <c:v>676.08297539198213</c:v>
                </c:pt>
                <c:pt idx="183">
                  <c:v>691.83097091893671</c:v>
                </c:pt>
                <c:pt idx="184">
                  <c:v>707.94578438413873</c:v>
                </c:pt>
                <c:pt idx="185">
                  <c:v>724.43596007499025</c:v>
                </c:pt>
                <c:pt idx="186">
                  <c:v>741.31024130091828</c:v>
                </c:pt>
                <c:pt idx="187">
                  <c:v>758.57757502918378</c:v>
                </c:pt>
                <c:pt idx="188">
                  <c:v>776.24711662869231</c:v>
                </c:pt>
                <c:pt idx="189">
                  <c:v>794.32823472428208</c:v>
                </c:pt>
                <c:pt idx="190">
                  <c:v>812.83051616409978</c:v>
                </c:pt>
                <c:pt idx="191">
                  <c:v>831.7637711026714</c:v>
                </c:pt>
                <c:pt idx="192">
                  <c:v>851.13803820237763</c:v>
                </c:pt>
                <c:pt idx="193">
                  <c:v>870.96358995608091</c:v>
                </c:pt>
                <c:pt idx="194">
                  <c:v>891.25093813374656</c:v>
                </c:pt>
                <c:pt idx="195">
                  <c:v>912.01083935590987</c:v>
                </c:pt>
                <c:pt idx="196">
                  <c:v>933.25430079699106</c:v>
                </c:pt>
                <c:pt idx="197">
                  <c:v>954.99258602143675</c:v>
                </c:pt>
                <c:pt idx="198">
                  <c:v>977.23722095581138</c:v>
                </c:pt>
                <c:pt idx="199">
                  <c:v>1000</c:v>
                </c:pt>
                <c:pt idx="200">
                  <c:v>1023.2929922807547</c:v>
                </c:pt>
                <c:pt idx="201">
                  <c:v>1047.1285480509</c:v>
                </c:pt>
                <c:pt idx="202">
                  <c:v>1071.5193052376069</c:v>
                </c:pt>
                <c:pt idx="203">
                  <c:v>1096.4781961431863</c:v>
                </c:pt>
                <c:pt idx="204">
                  <c:v>1122.0184543019636</c:v>
                </c:pt>
                <c:pt idx="205">
                  <c:v>1148.1536214968839</c:v>
                </c:pt>
                <c:pt idx="206">
                  <c:v>1174.8975549395295</c:v>
                </c:pt>
                <c:pt idx="207">
                  <c:v>1202.2644346174138</c:v>
                </c:pt>
                <c:pt idx="208">
                  <c:v>1230.2687708123824</c:v>
                </c:pt>
                <c:pt idx="209">
                  <c:v>1258.925411794168</c:v>
                </c:pt>
                <c:pt idx="210">
                  <c:v>1288.2495516931347</c:v>
                </c:pt>
                <c:pt idx="211">
                  <c:v>1318.2567385564089</c:v>
                </c:pt>
                <c:pt idx="212">
                  <c:v>1348.9628825916541</c:v>
                </c:pt>
                <c:pt idx="213">
                  <c:v>1380.3842646028863</c:v>
                </c:pt>
                <c:pt idx="214">
                  <c:v>1412.5375446227545</c:v>
                </c:pt>
                <c:pt idx="215">
                  <c:v>1445.4397707459289</c:v>
                </c:pt>
                <c:pt idx="216">
                  <c:v>1479.1083881682086</c:v>
                </c:pt>
                <c:pt idx="217">
                  <c:v>1513.5612484362093</c:v>
                </c:pt>
                <c:pt idx="218">
                  <c:v>1548.8166189124822</c:v>
                </c:pt>
                <c:pt idx="219">
                  <c:v>1584.8931924611156</c:v>
                </c:pt>
                <c:pt idx="220">
                  <c:v>1621.8100973589308</c:v>
                </c:pt>
                <c:pt idx="221">
                  <c:v>1659.5869074375626</c:v>
                </c:pt>
                <c:pt idx="222">
                  <c:v>1698.2436524617447</c:v>
                </c:pt>
                <c:pt idx="223">
                  <c:v>1737.8008287493772</c:v>
                </c:pt>
                <c:pt idx="224">
                  <c:v>1778.2794100389244</c:v>
                </c:pt>
                <c:pt idx="225">
                  <c:v>1819.7008586099832</c:v>
                </c:pt>
                <c:pt idx="226">
                  <c:v>1862.0871366628687</c:v>
                </c:pt>
                <c:pt idx="227">
                  <c:v>1905.4607179632501</c:v>
                </c:pt>
                <c:pt idx="228">
                  <c:v>1949.8445997580463</c:v>
                </c:pt>
                <c:pt idx="229">
                  <c:v>1995.2623149688804</c:v>
                </c:pt>
                <c:pt idx="230">
                  <c:v>2041.7379446695318</c:v>
                </c:pt>
                <c:pt idx="231">
                  <c:v>2089.2961308540398</c:v>
                </c:pt>
                <c:pt idx="232">
                  <c:v>2137.9620895022344</c:v>
                </c:pt>
                <c:pt idx="233">
                  <c:v>2187.7616239495528</c:v>
                </c:pt>
                <c:pt idx="234">
                  <c:v>2238.7211385683418</c:v>
                </c:pt>
                <c:pt idx="235">
                  <c:v>2290.8676527677749</c:v>
                </c:pt>
                <c:pt idx="236">
                  <c:v>2344.2288153199238</c:v>
                </c:pt>
                <c:pt idx="237">
                  <c:v>2398.8329190194918</c:v>
                </c:pt>
                <c:pt idx="238">
                  <c:v>2454.7089156850338</c:v>
                </c:pt>
                <c:pt idx="239">
                  <c:v>2511.8864315095811</c:v>
                </c:pt>
                <c:pt idx="240">
                  <c:v>2570.3957827688669</c:v>
                </c:pt>
                <c:pt idx="241">
                  <c:v>2630.2679918953822</c:v>
                </c:pt>
                <c:pt idx="242">
                  <c:v>2691.5348039269184</c:v>
                </c:pt>
                <c:pt idx="243">
                  <c:v>2754.228703338169</c:v>
                </c:pt>
                <c:pt idx="244">
                  <c:v>2818.3829312644561</c:v>
                </c:pt>
                <c:pt idx="245">
                  <c:v>2884.0315031266077</c:v>
                </c:pt>
                <c:pt idx="246">
                  <c:v>2951.2092266663876</c:v>
                </c:pt>
                <c:pt idx="247">
                  <c:v>3019.9517204020176</c:v>
                </c:pt>
                <c:pt idx="248">
                  <c:v>3090.295432513592</c:v>
                </c:pt>
                <c:pt idx="249">
                  <c:v>3162.2776601683804</c:v>
                </c:pt>
                <c:pt idx="250">
                  <c:v>3235.9365692962833</c:v>
                </c:pt>
                <c:pt idx="251">
                  <c:v>3311.3112148259115</c:v>
                </c:pt>
                <c:pt idx="252">
                  <c:v>3388.4415613920314</c:v>
                </c:pt>
                <c:pt idx="253">
                  <c:v>3467.3685045253224</c:v>
                </c:pt>
                <c:pt idx="254">
                  <c:v>3548.1338923357539</c:v>
                </c:pt>
                <c:pt idx="255">
                  <c:v>3630.7805477010188</c:v>
                </c:pt>
                <c:pt idx="256">
                  <c:v>3715.352290971724</c:v>
                </c:pt>
                <c:pt idx="257">
                  <c:v>3801.8939632056172</c:v>
                </c:pt>
                <c:pt idx="258">
                  <c:v>3890.451449942811</c:v>
                </c:pt>
                <c:pt idx="259">
                  <c:v>3981.0717055349769</c:v>
                </c:pt>
                <c:pt idx="260">
                  <c:v>4073.8027780411317</c:v>
                </c:pt>
                <c:pt idx="261">
                  <c:v>4168.6938347033583</c:v>
                </c:pt>
                <c:pt idx="262">
                  <c:v>4265.7951880159299</c:v>
                </c:pt>
                <c:pt idx="263">
                  <c:v>4365.1583224016631</c:v>
                </c:pt>
                <c:pt idx="264">
                  <c:v>4466.8359215096343</c:v>
                </c:pt>
                <c:pt idx="265">
                  <c:v>4570.8818961487532</c:v>
                </c:pt>
                <c:pt idx="266">
                  <c:v>4677.3514128719844</c:v>
                </c:pt>
                <c:pt idx="267">
                  <c:v>4786.3009232263848</c:v>
                </c:pt>
                <c:pt idx="268">
                  <c:v>4897.7881936844633</c:v>
                </c:pt>
                <c:pt idx="269">
                  <c:v>5011.8723362727324</c:v>
                </c:pt>
                <c:pt idx="270">
                  <c:v>5128.6138399136489</c:v>
                </c:pt>
                <c:pt idx="271">
                  <c:v>5248.0746024977261</c:v>
                </c:pt>
                <c:pt idx="272">
                  <c:v>5370.3179637025269</c:v>
                </c:pt>
                <c:pt idx="273">
                  <c:v>5495.4087385762541</c:v>
                </c:pt>
                <c:pt idx="274">
                  <c:v>5623.4132519034993</c:v>
                </c:pt>
                <c:pt idx="275">
                  <c:v>5754.399373371567</c:v>
                </c:pt>
                <c:pt idx="276">
                  <c:v>5888.4365535558973</c:v>
                </c:pt>
                <c:pt idx="277">
                  <c:v>6025.595860743585</c:v>
                </c:pt>
                <c:pt idx="278">
                  <c:v>6165.9500186148289</c:v>
                </c:pt>
                <c:pt idx="279">
                  <c:v>6309.5734448019384</c:v>
                </c:pt>
                <c:pt idx="280">
                  <c:v>6456.5422903465615</c:v>
                </c:pt>
                <c:pt idx="281">
                  <c:v>6606.9344800759654</c:v>
                </c:pt>
                <c:pt idx="282">
                  <c:v>6760.8297539198229</c:v>
                </c:pt>
                <c:pt idx="283">
                  <c:v>6918.3097091893687</c:v>
                </c:pt>
                <c:pt idx="284">
                  <c:v>7079.4578438413828</c:v>
                </c:pt>
                <c:pt idx="285">
                  <c:v>7244.3596007499036</c:v>
                </c:pt>
                <c:pt idx="286">
                  <c:v>7413.1024130091773</c:v>
                </c:pt>
                <c:pt idx="287">
                  <c:v>7585.7757502918394</c:v>
                </c:pt>
                <c:pt idx="288">
                  <c:v>7762.4711662869322</c:v>
                </c:pt>
                <c:pt idx="289">
                  <c:v>7943.2823472428154</c:v>
                </c:pt>
                <c:pt idx="290">
                  <c:v>8128.3051616410066</c:v>
                </c:pt>
                <c:pt idx="291">
                  <c:v>8317.6377110267094</c:v>
                </c:pt>
                <c:pt idx="292">
                  <c:v>8511.3803820237772</c:v>
                </c:pt>
                <c:pt idx="293">
                  <c:v>8709.6358995608189</c:v>
                </c:pt>
                <c:pt idx="294">
                  <c:v>8912.5093813374679</c:v>
                </c:pt>
                <c:pt idx="295">
                  <c:v>9120.1083935591087</c:v>
                </c:pt>
                <c:pt idx="296">
                  <c:v>9332.5430079699217</c:v>
                </c:pt>
                <c:pt idx="297">
                  <c:v>9549.9258602143691</c:v>
                </c:pt>
                <c:pt idx="298">
                  <c:v>9772.3722095581161</c:v>
                </c:pt>
                <c:pt idx="299">
                  <c:v>10000</c:v>
                </c:pt>
                <c:pt idx="300">
                  <c:v>10232.929922807549</c:v>
                </c:pt>
                <c:pt idx="301">
                  <c:v>10471.285480509003</c:v>
                </c:pt>
                <c:pt idx="302">
                  <c:v>10715.193052376071</c:v>
                </c:pt>
                <c:pt idx="303">
                  <c:v>10964.781961431856</c:v>
                </c:pt>
                <c:pt idx="304">
                  <c:v>11220.184543019639</c:v>
                </c:pt>
                <c:pt idx="305">
                  <c:v>11481.536214968832</c:v>
                </c:pt>
                <c:pt idx="306">
                  <c:v>11748.975549395318</c:v>
                </c:pt>
                <c:pt idx="307">
                  <c:v>12022.644346174151</c:v>
                </c:pt>
                <c:pt idx="308">
                  <c:v>12302.687708123816</c:v>
                </c:pt>
                <c:pt idx="309">
                  <c:v>12589.254117941671</c:v>
                </c:pt>
                <c:pt idx="310">
                  <c:v>12882.49551693136</c:v>
                </c:pt>
                <c:pt idx="311">
                  <c:v>13182.567385564091</c:v>
                </c:pt>
                <c:pt idx="312">
                  <c:v>13489.628825916556</c:v>
                </c:pt>
                <c:pt idx="313">
                  <c:v>13803.842646028841</c:v>
                </c:pt>
                <c:pt idx="314">
                  <c:v>14125.375446227561</c:v>
                </c:pt>
                <c:pt idx="315">
                  <c:v>14454.397707459291</c:v>
                </c:pt>
                <c:pt idx="316">
                  <c:v>14791.083881682089</c:v>
                </c:pt>
                <c:pt idx="317">
                  <c:v>15135.612484362096</c:v>
                </c:pt>
                <c:pt idx="318">
                  <c:v>15488.166189124853</c:v>
                </c:pt>
                <c:pt idx="319">
                  <c:v>15848.931924611146</c:v>
                </c:pt>
                <c:pt idx="320">
                  <c:v>16218.100973589309</c:v>
                </c:pt>
                <c:pt idx="321">
                  <c:v>16595.869074375616</c:v>
                </c:pt>
                <c:pt idx="322">
                  <c:v>16982.436524617482</c:v>
                </c:pt>
                <c:pt idx="323">
                  <c:v>17378.008287493791</c:v>
                </c:pt>
                <c:pt idx="324">
                  <c:v>17782.794100389234</c:v>
                </c:pt>
                <c:pt idx="325">
                  <c:v>18197.008586099837</c:v>
                </c:pt>
                <c:pt idx="326">
                  <c:v>18620.871366628675</c:v>
                </c:pt>
                <c:pt idx="327">
                  <c:v>19054.607179632505</c:v>
                </c:pt>
                <c:pt idx="328">
                  <c:v>19498.445997580486</c:v>
                </c:pt>
                <c:pt idx="329">
                  <c:v>19952.623149688792</c:v>
                </c:pt>
                <c:pt idx="330">
                  <c:v>20417.379446695286</c:v>
                </c:pt>
                <c:pt idx="331">
                  <c:v>20892.961308540423</c:v>
                </c:pt>
                <c:pt idx="332">
                  <c:v>21379.620895022348</c:v>
                </c:pt>
                <c:pt idx="333">
                  <c:v>21877.61623949555</c:v>
                </c:pt>
                <c:pt idx="334">
                  <c:v>22387.211385683382</c:v>
                </c:pt>
                <c:pt idx="335">
                  <c:v>22908.676527677751</c:v>
                </c:pt>
                <c:pt idx="336">
                  <c:v>23442.288153199243</c:v>
                </c:pt>
                <c:pt idx="337">
                  <c:v>23988.329190194923</c:v>
                </c:pt>
                <c:pt idx="338">
                  <c:v>24547.089156850321</c:v>
                </c:pt>
                <c:pt idx="339">
                  <c:v>25118.86431509586</c:v>
                </c:pt>
                <c:pt idx="340">
                  <c:v>25703.95782768865</c:v>
                </c:pt>
                <c:pt idx="341">
                  <c:v>26302.679918953829</c:v>
                </c:pt>
                <c:pt idx="342">
                  <c:v>26915.348039269167</c:v>
                </c:pt>
                <c:pt idx="343">
                  <c:v>27542.287033381719</c:v>
                </c:pt>
                <c:pt idx="344">
                  <c:v>28183.829312644593</c:v>
                </c:pt>
                <c:pt idx="345">
                  <c:v>28840.315031266062</c:v>
                </c:pt>
                <c:pt idx="346">
                  <c:v>29512.092266663854</c:v>
                </c:pt>
                <c:pt idx="347">
                  <c:v>30199.517204020212</c:v>
                </c:pt>
                <c:pt idx="348">
                  <c:v>30902.954325135954</c:v>
                </c:pt>
                <c:pt idx="349">
                  <c:v>31622.77660168384</c:v>
                </c:pt>
                <c:pt idx="350">
                  <c:v>32359.365692962871</c:v>
                </c:pt>
                <c:pt idx="351">
                  <c:v>33113.11214825909</c:v>
                </c:pt>
                <c:pt idx="352">
                  <c:v>33884.41561392029</c:v>
                </c:pt>
                <c:pt idx="353">
                  <c:v>34673.685045253202</c:v>
                </c:pt>
                <c:pt idx="354">
                  <c:v>35481.33892335758</c:v>
                </c:pt>
                <c:pt idx="355">
                  <c:v>36307.805477010232</c:v>
                </c:pt>
                <c:pt idx="356">
                  <c:v>37153.522909717351</c:v>
                </c:pt>
                <c:pt idx="357">
                  <c:v>38018.939632056143</c:v>
                </c:pt>
                <c:pt idx="358">
                  <c:v>38904.514499428085</c:v>
                </c:pt>
                <c:pt idx="359">
                  <c:v>39810.717055349742</c:v>
                </c:pt>
                <c:pt idx="360">
                  <c:v>40738.027780411358</c:v>
                </c:pt>
                <c:pt idx="361">
                  <c:v>41686.938347033625</c:v>
                </c:pt>
                <c:pt idx="362">
                  <c:v>42657.951880159271</c:v>
                </c:pt>
                <c:pt idx="363">
                  <c:v>43651.583224016598</c:v>
                </c:pt>
                <c:pt idx="364">
                  <c:v>44668.359215096389</c:v>
                </c:pt>
                <c:pt idx="365">
                  <c:v>45708.818961487581</c:v>
                </c:pt>
                <c:pt idx="366">
                  <c:v>46773.514128719893</c:v>
                </c:pt>
                <c:pt idx="367">
                  <c:v>47863.009232263823</c:v>
                </c:pt>
                <c:pt idx="368">
                  <c:v>48977.881936844598</c:v>
                </c:pt>
                <c:pt idx="369">
                  <c:v>50118.723362727294</c:v>
                </c:pt>
                <c:pt idx="370">
                  <c:v>51286.138399136544</c:v>
                </c:pt>
                <c:pt idx="371">
                  <c:v>52480.746024977314</c:v>
                </c:pt>
                <c:pt idx="372">
                  <c:v>53703.179637025423</c:v>
                </c:pt>
                <c:pt idx="373">
                  <c:v>54954.087385762505</c:v>
                </c:pt>
                <c:pt idx="374">
                  <c:v>56234.132519034953</c:v>
                </c:pt>
                <c:pt idx="375">
                  <c:v>57543.993733715732</c:v>
                </c:pt>
                <c:pt idx="376">
                  <c:v>58884.365535558936</c:v>
                </c:pt>
                <c:pt idx="377">
                  <c:v>60255.95860743591</c:v>
                </c:pt>
                <c:pt idx="378">
                  <c:v>61659.500186148245</c:v>
                </c:pt>
                <c:pt idx="379">
                  <c:v>63095.734448019342</c:v>
                </c:pt>
                <c:pt idx="380">
                  <c:v>64565.422903465682</c:v>
                </c:pt>
                <c:pt idx="381">
                  <c:v>66069.344800759733</c:v>
                </c:pt>
                <c:pt idx="382">
                  <c:v>67608.297539198305</c:v>
                </c:pt>
                <c:pt idx="383">
                  <c:v>69183.097091893651</c:v>
                </c:pt>
                <c:pt idx="384">
                  <c:v>70794.578438413781</c:v>
                </c:pt>
                <c:pt idx="385">
                  <c:v>72443.596007499116</c:v>
                </c:pt>
                <c:pt idx="386">
                  <c:v>74131.024130091857</c:v>
                </c:pt>
                <c:pt idx="387">
                  <c:v>75857.757502918481</c:v>
                </c:pt>
                <c:pt idx="388">
                  <c:v>77624.711662869129</c:v>
                </c:pt>
                <c:pt idx="389">
                  <c:v>79432.823472428237</c:v>
                </c:pt>
                <c:pt idx="390">
                  <c:v>81283.051616410012</c:v>
                </c:pt>
                <c:pt idx="391">
                  <c:v>83176.377110267174</c:v>
                </c:pt>
                <c:pt idx="392">
                  <c:v>85113.803820237721</c:v>
                </c:pt>
                <c:pt idx="393">
                  <c:v>87096.358995608127</c:v>
                </c:pt>
                <c:pt idx="394">
                  <c:v>89125.093813374609</c:v>
                </c:pt>
                <c:pt idx="395">
                  <c:v>91201.083935591028</c:v>
                </c:pt>
                <c:pt idx="396">
                  <c:v>93325.430079699145</c:v>
                </c:pt>
                <c:pt idx="397">
                  <c:v>95499.258602143804</c:v>
                </c:pt>
                <c:pt idx="398">
                  <c:v>97723.722095581266</c:v>
                </c:pt>
                <c:pt idx="399">
                  <c:v>100000</c:v>
                </c:pt>
                <c:pt idx="400">
                  <c:v>102329.29922807543</c:v>
                </c:pt>
                <c:pt idx="401">
                  <c:v>104712.85480508996</c:v>
                </c:pt>
                <c:pt idx="402">
                  <c:v>107151.93052376082</c:v>
                </c:pt>
                <c:pt idx="403">
                  <c:v>109647.81961431868</c:v>
                </c:pt>
                <c:pt idx="404">
                  <c:v>112201.84543019651</c:v>
                </c:pt>
                <c:pt idx="405">
                  <c:v>114815.36214968823</c:v>
                </c:pt>
                <c:pt idx="406">
                  <c:v>117489.75549395311</c:v>
                </c:pt>
                <c:pt idx="407">
                  <c:v>120226.44346174144</c:v>
                </c:pt>
                <c:pt idx="408">
                  <c:v>123026.87708123829</c:v>
                </c:pt>
                <c:pt idx="409">
                  <c:v>125892.54117941685</c:v>
                </c:pt>
                <c:pt idx="410">
                  <c:v>128824.95516931375</c:v>
                </c:pt>
                <c:pt idx="411">
                  <c:v>131825.67385564081</c:v>
                </c:pt>
                <c:pt idx="412">
                  <c:v>134896.28825916545</c:v>
                </c:pt>
                <c:pt idx="413">
                  <c:v>138038.42646028858</c:v>
                </c:pt>
                <c:pt idx="414">
                  <c:v>141253.75446227577</c:v>
                </c:pt>
                <c:pt idx="415">
                  <c:v>144543.97707459307</c:v>
                </c:pt>
                <c:pt idx="416">
                  <c:v>147910.83881682079</c:v>
                </c:pt>
                <c:pt idx="417">
                  <c:v>151356.12484362084</c:v>
                </c:pt>
                <c:pt idx="418">
                  <c:v>154881.66189124843</c:v>
                </c:pt>
                <c:pt idx="419">
                  <c:v>158489.31924611164</c:v>
                </c:pt>
                <c:pt idx="420">
                  <c:v>162181.00973589328</c:v>
                </c:pt>
                <c:pt idx="421">
                  <c:v>165958.69074375604</c:v>
                </c:pt>
                <c:pt idx="422">
                  <c:v>169824.36524617471</c:v>
                </c:pt>
                <c:pt idx="423">
                  <c:v>173780.0828749378</c:v>
                </c:pt>
                <c:pt idx="424">
                  <c:v>177827.94100389251</c:v>
                </c:pt>
                <c:pt idx="425">
                  <c:v>181970.08586099857</c:v>
                </c:pt>
                <c:pt idx="426">
                  <c:v>186208.71366628664</c:v>
                </c:pt>
                <c:pt idx="427">
                  <c:v>190546.07179632492</c:v>
                </c:pt>
                <c:pt idx="428">
                  <c:v>194984.45997580473</c:v>
                </c:pt>
                <c:pt idx="429">
                  <c:v>199526.23149688813</c:v>
                </c:pt>
                <c:pt idx="430">
                  <c:v>204173.79446695308</c:v>
                </c:pt>
                <c:pt idx="431">
                  <c:v>208929.61308540447</c:v>
                </c:pt>
                <c:pt idx="432">
                  <c:v>213796.20895022334</c:v>
                </c:pt>
                <c:pt idx="433">
                  <c:v>218776.16239495538</c:v>
                </c:pt>
                <c:pt idx="434">
                  <c:v>223872.11385683404</c:v>
                </c:pt>
                <c:pt idx="435">
                  <c:v>229086.76527677779</c:v>
                </c:pt>
                <c:pt idx="436">
                  <c:v>234422.88153199267</c:v>
                </c:pt>
                <c:pt idx="437">
                  <c:v>239883.29190194907</c:v>
                </c:pt>
                <c:pt idx="438">
                  <c:v>245470.89156850305</c:v>
                </c:pt>
                <c:pt idx="439">
                  <c:v>251188.64315095844</c:v>
                </c:pt>
                <c:pt idx="440">
                  <c:v>257039.57827688678</c:v>
                </c:pt>
                <c:pt idx="441">
                  <c:v>263026.79918953858</c:v>
                </c:pt>
                <c:pt idx="442">
                  <c:v>269153.48039269145</c:v>
                </c:pt>
                <c:pt idx="443">
                  <c:v>275422.87033381703</c:v>
                </c:pt>
                <c:pt idx="444">
                  <c:v>281838.29312644573</c:v>
                </c:pt>
                <c:pt idx="445">
                  <c:v>288403.1503126609</c:v>
                </c:pt>
                <c:pt idx="446">
                  <c:v>295120.92266663886</c:v>
                </c:pt>
                <c:pt idx="447">
                  <c:v>301995.17204020242</c:v>
                </c:pt>
                <c:pt idx="448">
                  <c:v>309029.54325135931</c:v>
                </c:pt>
                <c:pt idx="449">
                  <c:v>316227.7660168382</c:v>
                </c:pt>
                <c:pt idx="450">
                  <c:v>323593.65692962846</c:v>
                </c:pt>
                <c:pt idx="451">
                  <c:v>331131.12148259126</c:v>
                </c:pt>
                <c:pt idx="452">
                  <c:v>338844.15613920329</c:v>
                </c:pt>
                <c:pt idx="453">
                  <c:v>346736.85045253241</c:v>
                </c:pt>
                <c:pt idx="454">
                  <c:v>354813.38923357555</c:v>
                </c:pt>
                <c:pt idx="455">
                  <c:v>363078.05477010203</c:v>
                </c:pt>
                <c:pt idx="456">
                  <c:v>371535.2290971732</c:v>
                </c:pt>
                <c:pt idx="457">
                  <c:v>380189.39632056188</c:v>
                </c:pt>
                <c:pt idx="458">
                  <c:v>389045.14499428123</c:v>
                </c:pt>
                <c:pt idx="459">
                  <c:v>398107.17055349716</c:v>
                </c:pt>
                <c:pt idx="460">
                  <c:v>407380.27780411334</c:v>
                </c:pt>
                <c:pt idx="461">
                  <c:v>416869.38347033598</c:v>
                </c:pt>
                <c:pt idx="462">
                  <c:v>426579.51880159322</c:v>
                </c:pt>
                <c:pt idx="463">
                  <c:v>436515.83224016649</c:v>
                </c:pt>
                <c:pt idx="464">
                  <c:v>446683.59215096442</c:v>
                </c:pt>
                <c:pt idx="465">
                  <c:v>457088.18961487547</c:v>
                </c:pt>
                <c:pt idx="466">
                  <c:v>467735.14128719864</c:v>
                </c:pt>
                <c:pt idx="467">
                  <c:v>478630.09232263872</c:v>
                </c:pt>
                <c:pt idx="468">
                  <c:v>489778.81936844654</c:v>
                </c:pt>
                <c:pt idx="469">
                  <c:v>501187.23362727347</c:v>
                </c:pt>
                <c:pt idx="470">
                  <c:v>512861.38399136515</c:v>
                </c:pt>
                <c:pt idx="471">
                  <c:v>524807.46024977288</c:v>
                </c:pt>
                <c:pt idx="472">
                  <c:v>537031.7963702539</c:v>
                </c:pt>
                <c:pt idx="473">
                  <c:v>549540.87385762564</c:v>
                </c:pt>
                <c:pt idx="474">
                  <c:v>562341.32519035018</c:v>
                </c:pt>
                <c:pt idx="475">
                  <c:v>575439.93733715697</c:v>
                </c:pt>
                <c:pt idx="476">
                  <c:v>588843.65535558888</c:v>
                </c:pt>
                <c:pt idx="477">
                  <c:v>602559.58607435878</c:v>
                </c:pt>
                <c:pt idx="478">
                  <c:v>616595.00186148309</c:v>
                </c:pt>
                <c:pt idx="479">
                  <c:v>630957.34448019415</c:v>
                </c:pt>
                <c:pt idx="480">
                  <c:v>645654.22903465747</c:v>
                </c:pt>
                <c:pt idx="481">
                  <c:v>660693.44800759677</c:v>
                </c:pt>
                <c:pt idx="482">
                  <c:v>676082.97539198259</c:v>
                </c:pt>
                <c:pt idx="483">
                  <c:v>691830.97091893724</c:v>
                </c:pt>
                <c:pt idx="484">
                  <c:v>707945.78438413853</c:v>
                </c:pt>
                <c:pt idx="485">
                  <c:v>724435.96007499192</c:v>
                </c:pt>
                <c:pt idx="486">
                  <c:v>741310.24130091805</c:v>
                </c:pt>
                <c:pt idx="487">
                  <c:v>758577.57502918423</c:v>
                </c:pt>
                <c:pt idx="488">
                  <c:v>776247.11662869214</c:v>
                </c:pt>
                <c:pt idx="489">
                  <c:v>794328.23472428333</c:v>
                </c:pt>
                <c:pt idx="490">
                  <c:v>812830.51616410096</c:v>
                </c:pt>
                <c:pt idx="491">
                  <c:v>831763.77110267128</c:v>
                </c:pt>
                <c:pt idx="492">
                  <c:v>851138.03820237669</c:v>
                </c:pt>
                <c:pt idx="493">
                  <c:v>870963.58995608077</c:v>
                </c:pt>
                <c:pt idx="494">
                  <c:v>891250.93813374708</c:v>
                </c:pt>
                <c:pt idx="495">
                  <c:v>912010.83935591124</c:v>
                </c:pt>
                <c:pt idx="496">
                  <c:v>933254.30079699249</c:v>
                </c:pt>
                <c:pt idx="497">
                  <c:v>954992.58602143743</c:v>
                </c:pt>
                <c:pt idx="498">
                  <c:v>977237.22095581202</c:v>
                </c:pt>
                <c:pt idx="499">
                  <c:v>1000000</c:v>
                </c:pt>
                <c:pt idx="500">
                  <c:v>1023292.9922807553</c:v>
                </c:pt>
                <c:pt idx="501">
                  <c:v>1047128.5480509007</c:v>
                </c:pt>
                <c:pt idx="502">
                  <c:v>1071519.3052376076</c:v>
                </c:pt>
                <c:pt idx="503">
                  <c:v>1096478.196143186</c:v>
                </c:pt>
                <c:pt idx="504">
                  <c:v>1122018.4543019643</c:v>
                </c:pt>
                <c:pt idx="505">
                  <c:v>1148153.6214968837</c:v>
                </c:pt>
                <c:pt idx="506">
                  <c:v>1174897.5549395324</c:v>
                </c:pt>
                <c:pt idx="507">
                  <c:v>1202264.4346174158</c:v>
                </c:pt>
                <c:pt idx="508">
                  <c:v>1230268.770812382</c:v>
                </c:pt>
                <c:pt idx="509">
                  <c:v>1258925.4117941677</c:v>
                </c:pt>
                <c:pt idx="510">
                  <c:v>1288249.5516931366</c:v>
                </c:pt>
                <c:pt idx="511">
                  <c:v>1318256.7385564097</c:v>
                </c:pt>
                <c:pt idx="512">
                  <c:v>1348962.8825916562</c:v>
                </c:pt>
                <c:pt idx="513">
                  <c:v>1380384.2646028849</c:v>
                </c:pt>
                <c:pt idx="514">
                  <c:v>1412537.5446227565</c:v>
                </c:pt>
                <c:pt idx="515">
                  <c:v>1445439.7707459298</c:v>
                </c:pt>
                <c:pt idx="516">
                  <c:v>1479108.3881682095</c:v>
                </c:pt>
                <c:pt idx="517">
                  <c:v>1513561.2484362102</c:v>
                </c:pt>
                <c:pt idx="518">
                  <c:v>1548816.6189124861</c:v>
                </c:pt>
                <c:pt idx="519">
                  <c:v>1584893.1924611153</c:v>
                </c:pt>
                <c:pt idx="520">
                  <c:v>1621810.0973589318</c:v>
                </c:pt>
                <c:pt idx="521">
                  <c:v>1659586.9074375622</c:v>
                </c:pt>
                <c:pt idx="522">
                  <c:v>1698243.6524617488</c:v>
                </c:pt>
                <c:pt idx="523">
                  <c:v>1737800.8287493798</c:v>
                </c:pt>
                <c:pt idx="524">
                  <c:v>1778279.4100389241</c:v>
                </c:pt>
                <c:pt idx="525">
                  <c:v>1819700.8586099846</c:v>
                </c:pt>
                <c:pt idx="526">
                  <c:v>1862087.1366628683</c:v>
                </c:pt>
                <c:pt idx="527">
                  <c:v>1905460.7179632513</c:v>
                </c:pt>
                <c:pt idx="528">
                  <c:v>1949844.5997580495</c:v>
                </c:pt>
                <c:pt idx="529">
                  <c:v>1995262.31496888</c:v>
                </c:pt>
                <c:pt idx="530">
                  <c:v>2041737.9446695296</c:v>
                </c:pt>
                <c:pt idx="531">
                  <c:v>2089296.1308540432</c:v>
                </c:pt>
                <c:pt idx="532">
                  <c:v>2137962.0895022359</c:v>
                </c:pt>
                <c:pt idx="533">
                  <c:v>2187761.6239495561</c:v>
                </c:pt>
                <c:pt idx="534">
                  <c:v>2238721.1385683389</c:v>
                </c:pt>
                <c:pt idx="535">
                  <c:v>2290867.6527677765</c:v>
                </c:pt>
                <c:pt idx="536">
                  <c:v>2344228.8153199251</c:v>
                </c:pt>
                <c:pt idx="537">
                  <c:v>2398832.9190194933</c:v>
                </c:pt>
                <c:pt idx="538">
                  <c:v>2454708.915685033</c:v>
                </c:pt>
                <c:pt idx="539">
                  <c:v>2511886.431509587</c:v>
                </c:pt>
                <c:pt idx="540">
                  <c:v>2570395.782768866</c:v>
                </c:pt>
                <c:pt idx="541">
                  <c:v>2630267.9918953842</c:v>
                </c:pt>
              </c:numCache>
            </c:numRef>
          </c:xVal>
          <c:yVal>
            <c:numRef>
              <c:f>Loop_Modeling!$BL$19:$BL$560</c:f>
              <c:numCache>
                <c:formatCode>General</c:formatCode>
                <c:ptCount val="542"/>
                <c:pt idx="0">
                  <c:v>63.264809055684424</c:v>
                </c:pt>
                <c:pt idx="1">
                  <c:v>63.064778119697287</c:v>
                </c:pt>
                <c:pt idx="2">
                  <c:v>62.864745726156606</c:v>
                </c:pt>
                <c:pt idx="3">
                  <c:v>62.664711806409855</c:v>
                </c:pt>
                <c:pt idx="4">
                  <c:v>62.464676288573145</c:v>
                </c:pt>
                <c:pt idx="5">
                  <c:v>62.264639097378748</c:v>
                </c:pt>
                <c:pt idx="6">
                  <c:v>62.064600154016595</c:v>
                </c:pt>
                <c:pt idx="7">
                  <c:v>61.864559375967225</c:v>
                </c:pt>
                <c:pt idx="8">
                  <c:v>61.664516676827901</c:v>
                </c:pt>
                <c:pt idx="9">
                  <c:v>61.464471966129949</c:v>
                </c:pt>
                <c:pt idx="10">
                  <c:v>61.264425149147719</c:v>
                </c:pt>
                <c:pt idx="11">
                  <c:v>61.064376126698633</c:v>
                </c:pt>
                <c:pt idx="12">
                  <c:v>60.86432479493358</c:v>
                </c:pt>
                <c:pt idx="13">
                  <c:v>60.66427104511849</c:v>
                </c:pt>
                <c:pt idx="14">
                  <c:v>60.464214763404172</c:v>
                </c:pt>
                <c:pt idx="15">
                  <c:v>60.264155830586631</c:v>
                </c:pt>
                <c:pt idx="16">
                  <c:v>60.064094121855476</c:v>
                </c:pt>
                <c:pt idx="17">
                  <c:v>59.864029506531089</c:v>
                </c:pt>
                <c:pt idx="18">
                  <c:v>59.663961847788968</c:v>
                </c:pt>
                <c:pt idx="19">
                  <c:v>59.463891002371689</c:v>
                </c:pt>
                <c:pt idx="20">
                  <c:v>59.263816820287154</c:v>
                </c:pt>
                <c:pt idx="21">
                  <c:v>59.063739144492587</c:v>
                </c:pt>
                <c:pt idx="22">
                  <c:v>58.863657810564547</c:v>
                </c:pt>
                <c:pt idx="23">
                  <c:v>58.663572646352485</c:v>
                </c:pt>
                <c:pt idx="24">
                  <c:v>58.463483471616925</c:v>
                </c:pt>
                <c:pt idx="25">
                  <c:v>58.263390097650706</c:v>
                </c:pt>
                <c:pt idx="26">
                  <c:v>58.063292326882404</c:v>
                </c:pt>
                <c:pt idx="27">
                  <c:v>57.863189952461184</c:v>
                </c:pt>
                <c:pt idx="28">
                  <c:v>57.663082757822828</c:v>
                </c:pt>
                <c:pt idx="29">
                  <c:v>57.462970516235224</c:v>
                </c:pt>
                <c:pt idx="30">
                  <c:v>57.262852990322912</c:v>
                </c:pt>
                <c:pt idx="31">
                  <c:v>57.062729931569493</c:v>
                </c:pt>
                <c:pt idx="32">
                  <c:v>56.862601079796974</c:v>
                </c:pt>
                <c:pt idx="33">
                  <c:v>56.662466162621257</c:v>
                </c:pt>
                <c:pt idx="34">
                  <c:v>56.462324894881874</c:v>
                </c:pt>
                <c:pt idx="35">
                  <c:v>56.262176978046156</c:v>
                </c:pt>
                <c:pt idx="36">
                  <c:v>56.062022099585171</c:v>
                </c:pt>
                <c:pt idx="37">
                  <c:v>55.861859932321281</c:v>
                </c:pt>
                <c:pt idx="38">
                  <c:v>55.661690133745225</c:v>
                </c:pt>
                <c:pt idx="39">
                  <c:v>55.46151234530231</c:v>
                </c:pt>
                <c:pt idx="40">
                  <c:v>55.261326191645566</c:v>
                </c:pt>
                <c:pt idx="41">
                  <c:v>55.061131279854074</c:v>
                </c:pt>
                <c:pt idx="42">
                  <c:v>54.86092719861648</c:v>
                </c:pt>
                <c:pt idx="43">
                  <c:v>54.66071351737579</c:v>
                </c:pt>
                <c:pt idx="44">
                  <c:v>54.460489785436451</c:v>
                </c:pt>
                <c:pt idx="45">
                  <c:v>54.260255531029429</c:v>
                </c:pt>
                <c:pt idx="46">
                  <c:v>54.060010260335368</c:v>
                </c:pt>
                <c:pt idx="47">
                  <c:v>53.859753456462876</c:v>
                </c:pt>
                <c:pt idx="48">
                  <c:v>53.659484578380528</c:v>
                </c:pt>
                <c:pt idx="49">
                  <c:v>53.45920305980048</c:v>
                </c:pt>
                <c:pt idx="50">
                  <c:v>53.258908308011073</c:v>
                </c:pt>
                <c:pt idx="51">
                  <c:v>53.058599702657133</c:v>
                </c:pt>
                <c:pt idx="52">
                  <c:v>52.85827659446511</c:v>
                </c:pt>
                <c:pt idx="53">
                  <c:v>52.657938303910441</c:v>
                </c:pt>
                <c:pt idx="54">
                  <c:v>52.457584119825526</c:v>
                </c:pt>
                <c:pt idx="55">
                  <c:v>52.257213297944929</c:v>
                </c:pt>
                <c:pt idx="56">
                  <c:v>52.056825059385396</c:v>
                </c:pt>
                <c:pt idx="57">
                  <c:v>51.856418589059331</c:v>
                </c:pt>
                <c:pt idx="58">
                  <c:v>51.655993034015339</c:v>
                </c:pt>
                <c:pt idx="59">
                  <c:v>51.455547501707386</c:v>
                </c:pt>
                <c:pt idx="60">
                  <c:v>51.255081058186548</c:v>
                </c:pt>
                <c:pt idx="61">
                  <c:v>51.054592726212668</c:v>
                </c:pt>
                <c:pt idx="62">
                  <c:v>50.854081483283622</c:v>
                </c:pt>
                <c:pt idx="63">
                  <c:v>50.653546259578562</c:v>
                </c:pt>
                <c:pt idx="64">
                  <c:v>50.45298593581024</c:v>
                </c:pt>
                <c:pt idx="65">
                  <c:v>50.252399340985406</c:v>
                </c:pt>
                <c:pt idx="66">
                  <c:v>50.051785250067752</c:v>
                </c:pt>
                <c:pt idx="67">
                  <c:v>49.851142381539937</c:v>
                </c:pt>
                <c:pt idx="68">
                  <c:v>49.650469394861375</c:v>
                </c:pt>
                <c:pt idx="69">
                  <c:v>49.449764887817921</c:v>
                </c:pt>
                <c:pt idx="70">
                  <c:v>49.249027393758098</c:v>
                </c:pt>
                <c:pt idx="71">
                  <c:v>49.048255378713748</c:v>
                </c:pt>
                <c:pt idx="72">
                  <c:v>48.847447238399269</c:v>
                </c:pt>
                <c:pt idx="73">
                  <c:v>48.64660129508546</c:v>
                </c:pt>
                <c:pt idx="74">
                  <c:v>48.445715794344501</c:v>
                </c:pt>
                <c:pt idx="75">
                  <c:v>48.244788901660456</c:v>
                </c:pt>
                <c:pt idx="76">
                  <c:v>48.043818698901276</c:v>
                </c:pt>
                <c:pt idx="77">
                  <c:v>47.842803180648218</c:v>
                </c:pt>
                <c:pt idx="78">
                  <c:v>47.64174025037687</c:v>
                </c:pt>
                <c:pt idx="79">
                  <c:v>47.440627716486965</c:v>
                </c:pt>
                <c:pt idx="80">
                  <c:v>47.239463288174591</c:v>
                </c:pt>
                <c:pt idx="81">
                  <c:v>47.03824457114321</c:v>
                </c:pt>
                <c:pt idx="82">
                  <c:v>46.836969063148779</c:v>
                </c:pt>
                <c:pt idx="83">
                  <c:v>46.635634149374432</c:v>
                </c:pt>
                <c:pt idx="84">
                  <c:v>46.434237097630302</c:v>
                </c:pt>
                <c:pt idx="85">
                  <c:v>46.232775053374084</c:v>
                </c:pt>
                <c:pt idx="86">
                  <c:v>46.031245034548512</c:v>
                </c:pt>
                <c:pt idx="87">
                  <c:v>45.829643926231213</c:v>
                </c:pt>
                <c:pt idx="88">
                  <c:v>45.627968475094548</c:v>
                </c:pt>
                <c:pt idx="89">
                  <c:v>45.426215283669073</c:v>
                </c:pt>
                <c:pt idx="90">
                  <c:v>45.224380804412178</c:v>
                </c:pt>
                <c:pt idx="91">
                  <c:v>45.022461333573844</c:v>
                </c:pt>
                <c:pt idx="92">
                  <c:v>44.820453004861413</c:v>
                </c:pt>
                <c:pt idx="93">
                  <c:v>44.618351782898827</c:v>
                </c:pt>
                <c:pt idx="94">
                  <c:v>44.416153456481375</c:v>
                </c:pt>
                <c:pt idx="95">
                  <c:v>44.213853631622456</c:v>
                </c:pt>
                <c:pt idx="96">
                  <c:v>44.011447724395794</c:v>
                </c:pt>
                <c:pt idx="97">
                  <c:v>43.808930953571441</c:v>
                </c:pt>
                <c:pt idx="98">
                  <c:v>43.60629833304845</c:v>
                </c:pt>
                <c:pt idx="99">
                  <c:v>43.40354466408818</c:v>
                </c:pt>
                <c:pt idx="100">
                  <c:v>43.200664527349701</c:v>
                </c:pt>
                <c:pt idx="101">
                  <c:v>42.997652274736197</c:v>
                </c:pt>
                <c:pt idx="102">
                  <c:v>42.794502021055443</c:v>
                </c:pt>
                <c:pt idx="103">
                  <c:v>42.591207635506116</c:v>
                </c:pt>
                <c:pt idx="104">
                  <c:v>42.3877627329977</c:v>
                </c:pt>
                <c:pt idx="105">
                  <c:v>42.184160665317066</c:v>
                </c:pt>
                <c:pt idx="106">
                  <c:v>41.980394512155797</c:v>
                </c:pt>
                <c:pt idx="107">
                  <c:v>41.776457072014011</c:v>
                </c:pt>
                <c:pt idx="108">
                  <c:v>41.572340853000647</c:v>
                </c:pt>
                <c:pt idx="109">
                  <c:v>41.368038063550117</c:v>
                </c:pt>
                <c:pt idx="110">
                  <c:v>41.163540603081906</c:v>
                </c:pt>
                <c:pt idx="111">
                  <c:v>40.958840052628204</c:v>
                </c:pt>
                <c:pt idx="112">
                  <c:v>40.753927665462982</c:v>
                </c:pt>
                <c:pt idx="113">
                  <c:v>40.548794357765829</c:v>
                </c:pt>
                <c:pt idx="114">
                  <c:v>40.343430699358713</c:v>
                </c:pt>
                <c:pt idx="115">
                  <c:v>40.137826904559802</c:v>
                </c:pt>
                <c:pt idx="116">
                  <c:v>39.931972823201029</c:v>
                </c:pt>
                <c:pt idx="117">
                  <c:v>39.725857931860261</c:v>
                </c:pt>
                <c:pt idx="118">
                  <c:v>39.519471325367363</c:v>
                </c:pt>
                <c:pt idx="119">
                  <c:v>39.312801708644287</c:v>
                </c:pt>
                <c:pt idx="120">
                  <c:v>39.105837388948935</c:v>
                </c:pt>
                <c:pt idx="121">
                  <c:v>38.898566268595488</c:v>
                </c:pt>
                <c:pt idx="122">
                  <c:v>38.690975838232362</c:v>
                </c:pt>
                <c:pt idx="123">
                  <c:v>38.483053170762958</c:v>
                </c:pt>
                <c:pt idx="124">
                  <c:v>38.274784916004087</c:v>
                </c:pt>
                <c:pt idx="125">
                  <c:v>38.066157296179995</c:v>
                </c:pt>
                <c:pt idx="126">
                  <c:v>37.857156102361053</c:v>
                </c:pt>
                <c:pt idx="127">
                  <c:v>37.647766691959802</c:v>
                </c:pt>
                <c:pt idx="128">
                  <c:v>37.437973987406458</c:v>
                </c:pt>
                <c:pt idx="129">
                  <c:v>37.227762476132028</c:v>
                </c:pt>
                <c:pt idx="130">
                  <c:v>37.017116211995905</c:v>
                </c:pt>
                <c:pt idx="131">
                  <c:v>36.806018818298952</c:v>
                </c:pt>
                <c:pt idx="132">
                  <c:v>36.594453492534043</c:v>
                </c:pt>
                <c:pt idx="133">
                  <c:v>36.382403013028494</c:v>
                </c:pt>
                <c:pt idx="134">
                  <c:v>36.169849747641869</c:v>
                </c:pt>
                <c:pt idx="135">
                  <c:v>35.956775664686404</c:v>
                </c:pt>
                <c:pt idx="136">
                  <c:v>35.743162346242954</c:v>
                </c:pt>
                <c:pt idx="137">
                  <c:v>35.528991004049018</c:v>
                </c:pt>
                <c:pt idx="138">
                  <c:v>35.314242498138206</c:v>
                </c:pt>
                <c:pt idx="139">
                  <c:v>35.098897358413346</c:v>
                </c:pt>
                <c:pt idx="140">
                  <c:v>34.88293580933238</c:v>
                </c:pt>
                <c:pt idx="141">
                  <c:v>34.666337797890449</c:v>
                </c:pt>
                <c:pt idx="142">
                  <c:v>34.449083025072021</c:v>
                </c:pt>
                <c:pt idx="143">
                  <c:v>34.231150980948087</c:v>
                </c:pt>
                <c:pt idx="144">
                  <c:v>34.012520983579783</c:v>
                </c:pt>
                <c:pt idx="145">
                  <c:v>33.793172221885563</c:v>
                </c:pt>
                <c:pt idx="146">
                  <c:v>33.57308380261226</c:v>
                </c:pt>
                <c:pt idx="147">
                  <c:v>33.35223480153693</c:v>
                </c:pt>
                <c:pt idx="148">
                  <c:v>33.130604319007972</c:v>
                </c:pt>
                <c:pt idx="149">
                  <c:v>32.908171539909226</c:v>
                </c:pt>
                <c:pt idx="150">
                  <c:v>32.684915798110325</c:v>
                </c:pt>
                <c:pt idx="151">
                  <c:v>32.460816645432303</c:v>
                </c:pt>
                <c:pt idx="152">
                  <c:v>32.235853925127891</c:v>
                </c:pt>
                <c:pt idx="153">
                  <c:v>32.010007849839816</c:v>
                </c:pt>
                <c:pt idx="154">
                  <c:v>31.783259083958029</c:v>
                </c:pt>
                <c:pt idx="155">
                  <c:v>31.55558883025504</c:v>
                </c:pt>
                <c:pt idx="156">
                  <c:v>31.326978920631081</c:v>
                </c:pt>
                <c:pt idx="157">
                  <c:v>31.097411910749315</c:v>
                </c:pt>
                <c:pt idx="158">
                  <c:v>30.866871178288836</c:v>
                </c:pt>
                <c:pt idx="159">
                  <c:v>30.63534102448779</c:v>
                </c:pt>
                <c:pt idx="160">
                  <c:v>30.402806778587582</c:v>
                </c:pt>
                <c:pt idx="161">
                  <c:v>30.169254904735109</c:v>
                </c:pt>
                <c:pt idx="162">
                  <c:v>29.934673110832723</c:v>
                </c:pt>
                <c:pt idx="163">
                  <c:v>29.699050458771037</c:v>
                </c:pt>
                <c:pt idx="164">
                  <c:v>29.462377475414506</c:v>
                </c:pt>
                <c:pt idx="165">
                  <c:v>29.224646263655604</c:v>
                </c:pt>
                <c:pt idx="166">
                  <c:v>28.985850612794366</c:v>
                </c:pt>
                <c:pt idx="167">
                  <c:v>28.745986107449912</c:v>
                </c:pt>
                <c:pt idx="168">
                  <c:v>28.505050234161736</c:v>
                </c:pt>
                <c:pt idx="169">
                  <c:v>28.263042484798376</c:v>
                </c:pt>
                <c:pt idx="170">
                  <c:v>28.019964455853973</c:v>
                </c:pt>
                <c:pt idx="171">
                  <c:v>27.775819942689154</c:v>
                </c:pt>
                <c:pt idx="172">
                  <c:v>27.530615027753633</c:v>
                </c:pt>
                <c:pt idx="173">
                  <c:v>27.284358161817657</c:v>
                </c:pt>
                <c:pt idx="174">
                  <c:v>27.037060237248141</c:v>
                </c:pt>
                <c:pt idx="175">
                  <c:v>26.788734652373204</c:v>
                </c:pt>
                <c:pt idx="176">
                  <c:v>26.539397366010014</c:v>
                </c:pt>
                <c:pt idx="177">
                  <c:v>26.289066941267304</c:v>
                </c:pt>
                <c:pt idx="178">
                  <c:v>26.037764577788195</c:v>
                </c:pt>
                <c:pt idx="179">
                  <c:v>25.785514131659259</c:v>
                </c:pt>
                <c:pt idx="180">
                  <c:v>25.532342122292874</c:v>
                </c:pt>
                <c:pt idx="181">
                  <c:v>25.278277725677111</c:v>
                </c:pt>
                <c:pt idx="182">
                  <c:v>25.023352753486545</c:v>
                </c:pt>
                <c:pt idx="183">
                  <c:v>24.767601617659842</c:v>
                </c:pt>
                <c:pt idx="184">
                  <c:v>24.511061280170161</c:v>
                </c:pt>
                <c:pt idx="185">
                  <c:v>24.253771187839341</c:v>
                </c:pt>
                <c:pt idx="186">
                  <c:v>23.995773192186405</c:v>
                </c:pt>
                <c:pt idx="187">
                  <c:v>23.737111454435361</c:v>
                </c:pt>
                <c:pt idx="188">
                  <c:v>23.477832335953501</c:v>
                </c:pt>
                <c:pt idx="189">
                  <c:v>23.217984274531617</c:v>
                </c:pt>
                <c:pt idx="190">
                  <c:v>22.957617647063636</c:v>
                </c:pt>
                <c:pt idx="191">
                  <c:v>22.696784619319928</c:v>
                </c:pt>
                <c:pt idx="192">
                  <c:v>22.435538983645106</c:v>
                </c:pt>
                <c:pt idx="193">
                  <c:v>22.17393598554056</c:v>
                </c:pt>
                <c:pt idx="194">
                  <c:v>21.912032140207675</c:v>
                </c:pt>
                <c:pt idx="195">
                  <c:v>21.649885040242825</c:v>
                </c:pt>
                <c:pt idx="196">
                  <c:v>21.387553155765936</c:v>
                </c:pt>
                <c:pt idx="197">
                  <c:v>21.125095628353868</c:v>
                </c:pt>
                <c:pt idx="198">
                  <c:v>20.862572060215136</c:v>
                </c:pt>
                <c:pt idx="199">
                  <c:v>20.60004230009698</c:v>
                </c:pt>
                <c:pt idx="200">
                  <c:v>20.337566227453998</c:v>
                </c:pt>
                <c:pt idx="201">
                  <c:v>20.075203536424439</c:v>
                </c:pt>
                <c:pt idx="202">
                  <c:v>19.813013521164578</c:v>
                </c:pt>
                <c:pt idx="203">
                  <c:v>19.551054864075471</c:v>
                </c:pt>
                <c:pt idx="204">
                  <c:v>19.289385428425124</c:v>
                </c:pt>
                <c:pt idx="205">
                  <c:v>19.028062056817266</c:v>
                </c:pt>
                <c:pt idx="206">
                  <c:v>18.767140376897487</c:v>
                </c:pt>
                <c:pt idx="207">
                  <c:v>18.506674615601458</c:v>
                </c:pt>
                <c:pt idx="208">
                  <c:v>18.246717423162231</c:v>
                </c:pt>
                <c:pt idx="209">
                  <c:v>17.987319707982266</c:v>
                </c:pt>
                <c:pt idx="210">
                  <c:v>17.728530483360924</c:v>
                </c:pt>
                <c:pt idx="211">
                  <c:v>17.470396726943903</c:v>
                </c:pt>
                <c:pt idx="212">
                  <c:v>17.212963253622505</c:v>
                </c:pt>
                <c:pt idx="213">
                  <c:v>16.956272602476673</c:v>
                </c:pt>
                <c:pt idx="214">
                  <c:v>16.700364938212289</c:v>
                </c:pt>
                <c:pt idx="215">
                  <c:v>16.445277967397228</c:v>
                </c:pt>
                <c:pt idx="216">
                  <c:v>16.191046869662177</c:v>
                </c:pt>
                <c:pt idx="217">
                  <c:v>15.937704243887714</c:v>
                </c:pt>
                <c:pt idx="218">
                  <c:v>15.685280069267067</c:v>
                </c:pt>
                <c:pt idx="219">
                  <c:v>15.433801681000109</c:v>
                </c:pt>
                <c:pt idx="220">
                  <c:v>15.18329376025606</c:v>
                </c:pt>
                <c:pt idx="221">
                  <c:v>14.933778337926737</c:v>
                </c:pt>
                <c:pt idx="222">
                  <c:v>14.685274811588187</c:v>
                </c:pt>
                <c:pt idx="223">
                  <c:v>14.437799975001155</c:v>
                </c:pt>
                <c:pt idx="224">
                  <c:v>14.191368059394909</c:v>
                </c:pt>
                <c:pt idx="225">
                  <c:v>13.945990785716294</c:v>
                </c:pt>
                <c:pt idx="226">
                  <c:v>13.70167742696837</c:v>
                </c:pt>
                <c:pt idx="227">
                  <c:v>13.45843487972135</c:v>
                </c:pt>
                <c:pt idx="228">
                  <c:v>13.216267743849459</c:v>
                </c:pt>
                <c:pt idx="229">
                  <c:v>12.975178409528246</c:v>
                </c:pt>
                <c:pt idx="230">
                  <c:v>12.735167150524326</c:v>
                </c:pt>
                <c:pt idx="231">
                  <c:v>12.496232222810992</c:v>
                </c:pt>
                <c:pt idx="232">
                  <c:v>12.25836996756035</c:v>
                </c:pt>
                <c:pt idx="233">
                  <c:v>12.021574917589156</c:v>
                </c:pt>
                <c:pt idx="234">
                  <c:v>11.78583990636392</c:v>
                </c:pt>
                <c:pt idx="235">
                  <c:v>11.551156178715482</c:v>
                </c:pt>
                <c:pt idx="236">
                  <c:v>11.317513502456208</c:v>
                </c:pt>
                <c:pt idx="237">
                  <c:v>11.084900280146297</c:v>
                </c:pt>
                <c:pt idx="238">
                  <c:v>10.853303660309203</c:v>
                </c:pt>
                <c:pt idx="239">
                  <c:v>10.622709647454208</c:v>
                </c:pt>
                <c:pt idx="240">
                  <c:v>10.393103210325357</c:v>
                </c:pt>
                <c:pt idx="241">
                  <c:v>10.164468387854921</c:v>
                </c:pt>
                <c:pt idx="242">
                  <c:v>9.9367883923612208</c:v>
                </c:pt>
                <c:pt idx="243">
                  <c:v>9.7100457095902009</c:v>
                </c:pt>
                <c:pt idx="244">
                  <c:v>9.4842221952592922</c:v>
                </c:pt>
                <c:pt idx="245">
                  <c:v>9.2592991678187122</c:v>
                </c:pt>
                <c:pt idx="246">
                  <c:v>9.0352574971985185</c:v>
                </c:pt>
                <c:pt idx="247">
                  <c:v>8.8120776893627522</c:v>
                </c:pt>
                <c:pt idx="248">
                  <c:v>8.5897399665388932</c:v>
                </c:pt>
                <c:pt idx="249">
                  <c:v>8.368224343035525</c:v>
                </c:pt>
                <c:pt idx="250">
                  <c:v>8.1475106966026498</c:v>
                </c:pt>
                <c:pt idx="251">
                  <c:v>7.9275788353270338</c:v>
                </c:pt>
                <c:pt idx="252">
                  <c:v>7.7084085600858145</c:v>
                </c:pt>
                <c:pt idx="253">
                  <c:v>7.4899797226162965</c:v>
                </c:pt>
                <c:pt idx="254">
                  <c:v>7.2722722792812231</c:v>
                </c:pt>
                <c:pt idx="255">
                  <c:v>7.0552663406348675</c:v>
                </c:pt>
                <c:pt idx="256">
                  <c:v>6.8389422169145977</c:v>
                </c:pt>
                <c:pt idx="257">
                  <c:v>6.623280459596339</c:v>
                </c:pt>
                <c:pt idx="258">
                  <c:v>6.4082618991690889</c:v>
                </c:pt>
                <c:pt idx="259">
                  <c:v>6.1938676792922367</c:v>
                </c:pt>
                <c:pt idx="260">
                  <c:v>5.980079287507964</c:v>
                </c:pt>
                <c:pt idx="261">
                  <c:v>5.7668785826858233</c:v>
                </c:pt>
                <c:pt idx="262">
                  <c:v>5.5542478193829856</c:v>
                </c:pt>
                <c:pt idx="263">
                  <c:v>5.3421696693011702</c:v>
                </c:pt>
                <c:pt idx="264">
                  <c:v>5.1306272400257456</c:v>
                </c:pt>
                <c:pt idx="265">
                  <c:v>4.9196040912270229</c:v>
                </c:pt>
                <c:pt idx="266">
                  <c:v>4.7090842485046505</c:v>
                </c:pt>
                <c:pt idx="267">
                  <c:v>4.4990522150495336</c:v>
                </c:pt>
                <c:pt idx="268">
                  <c:v>4.2894929812942539</c:v>
                </c:pt>
                <c:pt idx="269">
                  <c:v>4.0803920327179712</c:v>
                </c:pt>
                <c:pt idx="270">
                  <c:v>3.8717353559636534</c:v>
                </c:pt>
                <c:pt idx="271">
                  <c:v>3.6635094434219457</c:v>
                </c:pt>
                <c:pt idx="272">
                  <c:v>3.4557012964262142</c:v>
                </c:pt>
                <c:pt idx="273">
                  <c:v>3.2482984271969135</c:v>
                </c:pt>
                <c:pt idx="274">
                  <c:v>3.041288859667695</c:v>
                </c:pt>
                <c:pt idx="275">
                  <c:v>2.8346611293156583</c:v>
                </c:pt>
                <c:pt idx="276">
                  <c:v>2.6284042821116871</c:v>
                </c:pt>
                <c:pt idx="277">
                  <c:v>2.4225078726995313</c:v>
                </c:pt>
                <c:pt idx="278">
                  <c:v>2.2169619619049987</c:v>
                </c:pt>
                <c:pt idx="279">
                  <c:v>2.0117571136684091</c:v>
                </c:pt>
                <c:pt idx="280">
                  <c:v>1.8068843914858881</c:v>
                </c:pt>
                <c:pt idx="281">
                  <c:v>1.6023353544413372</c:v>
                </c:pt>
                <c:pt idx="282">
                  <c:v>1.3981020528989769</c:v>
                </c:pt>
                <c:pt idx="283">
                  <c:v>1.1941770239236833</c:v>
                </c:pt>
                <c:pt idx="284">
                  <c:v>0.99055328648941421</c:v>
                </c:pt>
                <c:pt idx="285">
                  <c:v>0.78722433652747159</c:v>
                </c:pt>
                <c:pt idx="286">
                  <c:v>0.58418414186250101</c:v>
                </c:pt>
                <c:pt idx="287">
                  <c:v>0.38142713707951614</c:v>
                </c:pt>
                <c:pt idx="288">
                  <c:v>0.17894821835558772</c:v>
                </c:pt>
                <c:pt idx="289">
                  <c:v>-2.3257261711922633E-2</c:v>
                </c:pt>
                <c:pt idx="290">
                  <c:v>-0.22519349925406409</c:v>
                </c:pt>
                <c:pt idx="291">
                  <c:v>-0.42686424423641739</c:v>
                </c:pt>
                <c:pt idx="292">
                  <c:v>-0.62827280550648035</c:v>
                </c:pt>
                <c:pt idx="293">
                  <c:v>-0.82942205577116734</c:v>
                </c:pt>
                <c:pt idx="294">
                  <c:v>-1.0303144364954986</c:v>
                </c:pt>
                <c:pt idx="295">
                  <c:v>-1.2309519627239047</c:v>
                </c:pt>
                <c:pt idx="296">
                  <c:v>-1.4313362278217026</c:v>
                </c:pt>
                <c:pt idx="297">
                  <c:v>-1.6314684081445652</c:v>
                </c:pt>
                <c:pt idx="298">
                  <c:v>-1.831349267645147</c:v>
                </c:pt>
                <c:pt idx="299">
                  <c:v>-2.0309791624299853</c:v>
                </c:pt>
                <c:pt idx="300">
                  <c:v>-2.2303580452840772</c:v>
                </c:pt>
                <c:pt idx="301">
                  <c:v>-2.4294854701829163</c:v>
                </c:pt>
                <c:pt idx="302">
                  <c:v>-2.628360596817982</c:v>
                </c:pt>
                <c:pt idx="303">
                  <c:v>-2.8269821951611798</c:v>
                </c:pt>
                <c:pt idx="304">
                  <c:v>-3.0253486501000748</c:v>
                </c:pt>
                <c:pt idx="305">
                  <c:v>-3.2234579661788141</c:v>
                </c:pt>
                <c:pt idx="306">
                  <c:v>-3.421307772479842</c:v>
                </c:pt>
                <c:pt idx="307">
                  <c:v>-3.6188953276876128</c:v>
                </c:pt>
                <c:pt idx="308">
                  <c:v>-3.8162175253768864</c:v>
                </c:pt>
                <c:pt idx="309">
                  <c:v>-4.0132708995710811</c:v>
                </c:pt>
                <c:pt idx="310">
                  <c:v>-4.2100516306169258</c:v>
                </c:pt>
                <c:pt idx="311">
                  <c:v>-4.4065555514267816</c:v>
                </c:pt>
                <c:pt idx="312">
                  <c:v>-4.6027781541396182</c:v>
                </c:pt>
                <c:pt idx="313">
                  <c:v>-4.7987145972530687</c:v>
                </c:pt>
                <c:pt idx="314">
                  <c:v>-4.9943597132817636</c:v>
                </c:pt>
                <c:pt idx="315">
                  <c:v>-5.1897080169974865</c:v>
                </c:pt>
                <c:pt idx="316">
                  <c:v>-5.3847537143058064</c:v>
                </c:pt>
                <c:pt idx="317">
                  <c:v>-5.5794907118161881</c:v>
                </c:pt>
                <c:pt idx="318">
                  <c:v>-5.7739126271592136</c:v>
                </c:pt>
                <c:pt idx="319">
                  <c:v>-5.9680128001078723</c:v>
                </c:pt>
                <c:pt idx="320">
                  <c:v>-6.1617843045534411</c:v>
                </c:pt>
                <c:pt idx="321">
                  <c:v>-6.3552199613868909</c:v>
                </c:pt>
                <c:pt idx="322">
                  <c:v>-6.5483123523359055</c:v>
                </c:pt>
                <c:pt idx="323">
                  <c:v>-6.7410538347991338</c:v>
                </c:pt>
                <c:pt idx="324">
                  <c:v>-6.9334365577203876</c:v>
                </c:pt>
                <c:pt idx="325">
                  <c:v>-7.1254524785374063</c:v>
                </c:pt>
                <c:pt idx="326">
                  <c:v>-7.3170933812362353</c:v>
                </c:pt>
                <c:pt idx="327">
                  <c:v>-7.5083508955347833</c:v>
                </c:pt>
                <c:pt idx="328">
                  <c:v>-7.6992165172135207</c:v>
                </c:pt>
                <c:pt idx="329">
                  <c:v>-7.8896816296045138</c:v>
                </c:pt>
                <c:pt idx="330">
                  <c:v>-8.0797375262395494</c:v>
                </c:pt>
                <c:pt idx="331">
                  <c:v>-8.2693754346529786</c:v>
                </c:pt>
                <c:pt idx="332">
                  <c:v>-8.4585865413248058</c:v>
                </c:pt>
                <c:pt idx="333">
                  <c:v>-8.6473620177404182</c:v>
                </c:pt>
                <c:pt idx="334">
                  <c:v>-8.8356930475347681</c:v>
                </c:pt>
                <c:pt idx="335">
                  <c:v>-9.0235708546812425</c:v>
                </c:pt>
                <c:pt idx="336">
                  <c:v>-9.2109867326732271</c:v>
                </c:pt>
                <c:pt idx="337">
                  <c:v>-9.3979320746420072</c:v>
                </c:pt>
                <c:pt idx="338">
                  <c:v>-9.584398404343716</c:v>
                </c:pt>
                <c:pt idx="339">
                  <c:v>-9.7703774079430374</c:v>
                </c:pt>
                <c:pt idx="340">
                  <c:v>-9.955860966512331</c:v>
                </c:pt>
                <c:pt idx="341">
                  <c:v>-10.140841189162744</c:v>
                </c:pt>
                <c:pt idx="342">
                  <c:v>-10.325310446716635</c:v>
                </c:pt>
                <c:pt idx="343">
                  <c:v>-10.509261405830122</c:v>
                </c:pt>
                <c:pt idx="344">
                  <c:v>-10.692687063470512</c:v>
                </c:pt>
                <c:pt idx="345">
                  <c:v>-10.875580781655973</c:v>
                </c:pt>
                <c:pt idx="346">
                  <c:v>-11.05793632236254</c:v>
                </c:pt>
                <c:pt idx="347">
                  <c:v>-11.239747882509956</c:v>
                </c:pt>
                <c:pt idx="348">
                  <c:v>-11.421010128936848</c:v>
                </c:pt>
                <c:pt idx="349">
                  <c:v>-11.601718233285364</c:v>
                </c:pt>
                <c:pt idx="350">
                  <c:v>-11.781867906716393</c:v>
                </c:pt>
                <c:pt idx="351">
                  <c:v>-11.961455434386014</c:v>
                </c:pt>
                <c:pt idx="352">
                  <c:v>-12.140477709617087</c:v>
                </c:pt>
                <c:pt idx="353">
                  <c:v>-12.318932267707542</c:v>
                </c:pt>
                <c:pt idx="354">
                  <c:v>-12.496817319321543</c:v>
                </c:pt>
                <c:pt idx="355">
                  <c:v>-12.674131783414124</c:v>
                </c:pt>
                <c:pt idx="356">
                  <c:v>-12.850875319640092</c:v>
                </c:pt>
                <c:pt idx="357">
                  <c:v>-13.027048360202285</c:v>
                </c:pt>
                <c:pt idx="358">
                  <c:v>-13.202652141087059</c:v>
                </c:pt>
                <c:pt idx="359">
                  <c:v>-13.377688732634173</c:v>
                </c:pt>
                <c:pt idx="360">
                  <c:v>-13.552161069376059</c:v>
                </c:pt>
                <c:pt idx="361">
                  <c:v>-13.726072979072281</c:v>
                </c:pt>
                <c:pt idx="362">
                  <c:v>-13.899429210846563</c:v>
                </c:pt>
                <c:pt idx="363">
                  <c:v>-14.072235462318286</c:v>
                </c:pt>
                <c:pt idx="364">
                  <c:v>-14.244498405593266</c:v>
                </c:pt>
                <c:pt idx="365">
                  <c:v>-14.416225711957257</c:v>
                </c:pt>
                <c:pt idx="366">
                  <c:v>-14.587426075084426</c:v>
                </c:pt>
                <c:pt idx="367">
                  <c:v>-14.758109232545477</c:v>
                </c:pt>
                <c:pt idx="368">
                  <c:v>-14.928285985365815</c:v>
                </c:pt>
                <c:pt idx="369">
                  <c:v>-15.097968215356545</c:v>
                </c:pt>
                <c:pt idx="370">
                  <c:v>-15.267168899907768</c:v>
                </c:pt>
                <c:pt idx="371">
                  <c:v>-15.435902123907718</c:v>
                </c:pt>
                <c:pt idx="372">
                  <c:v>-15.604183088424415</c:v>
                </c:pt>
                <c:pt idx="373">
                  <c:v>-15.772028115768702</c:v>
                </c:pt>
                <c:pt idx="374">
                  <c:v>-15.939454650542206</c:v>
                </c:pt>
                <c:pt idx="375">
                  <c:v>-16.106481256264203</c:v>
                </c:pt>
                <c:pt idx="376">
                  <c:v>-16.273127607178701</c:v>
                </c:pt>
                <c:pt idx="377">
                  <c:v>-16.439414474845119</c:v>
                </c:pt>
                <c:pt idx="378">
                  <c:v>-16.605363709140978</c:v>
                </c:pt>
                <c:pt idx="379">
                  <c:v>-16.770998213334074</c:v>
                </c:pt>
                <c:pt idx="380">
                  <c:v>-16.936341912920053</c:v>
                </c:pt>
                <c:pt idx="381">
                  <c:v>-17.101419717972366</c:v>
                </c:pt>
                <c:pt idx="382">
                  <c:v>-17.266257478815831</c:v>
                </c:pt>
                <c:pt idx="383">
                  <c:v>-17.430881934898004</c:v>
                </c:pt>
                <c:pt idx="384">
                  <c:v>-17.595320656818632</c:v>
                </c:pt>
                <c:pt idx="385">
                  <c:v>-17.759601981555221</c:v>
                </c:pt>
                <c:pt idx="386">
                  <c:v>-17.92375494102026</c:v>
                </c:pt>
                <c:pt idx="387">
                  <c:v>-18.087809184174038</c:v>
                </c:pt>
                <c:pt idx="388">
                  <c:v>-18.251794893018115</c:v>
                </c:pt>
                <c:pt idx="389">
                  <c:v>-18.415742692886742</c:v>
                </c:pt>
                <c:pt idx="390">
                  <c:v>-18.57968355755051</c:v>
                </c:pt>
                <c:pt idx="391">
                  <c:v>-18.743648709731239</c:v>
                </c:pt>
                <c:pt idx="392">
                  <c:v>-18.907669517715341</c:v>
                </c:pt>
                <c:pt idx="393">
                  <c:v>-19.071777388821289</c:v>
                </c:pt>
                <c:pt idx="394">
                  <c:v>-19.23600366054335</c:v>
                </c:pt>
                <c:pt idx="395">
                  <c:v>-19.400379490246081</c:v>
                </c:pt>
                <c:pt idx="396">
                  <c:v>-19.564935744320024</c:v>
                </c:pt>
                <c:pt idx="397">
                  <c:v>-19.729702887735144</c:v>
                </c:pt>
                <c:pt idx="398">
                  <c:v>-19.894710874939307</c:v>
                </c:pt>
                <c:pt idx="399">
                  <c:v>-20.059989043041178</c:v>
                </c:pt>
                <c:pt idx="400">
                  <c:v>-20.225566008198726</c:v>
                </c:pt>
                <c:pt idx="401">
                  <c:v>-20.391469566099115</c:v>
                </c:pt>
                <c:pt idx="402">
                  <c:v>-20.557726597366937</c:v>
                </c:pt>
                <c:pt idx="403">
                  <c:v>-20.724362978678744</c:v>
                </c:pt>
                <c:pt idx="404">
                  <c:v>-20.891403500285996</c:v>
                </c:pt>
                <c:pt idx="405">
                  <c:v>-21.05887179057185</c:v>
                </c:pt>
                <c:pt idx="406">
                  <c:v>-21.226790248172144</c:v>
                </c:pt>
                <c:pt idx="407">
                  <c:v>-21.395179982098725</c:v>
                </c:pt>
                <c:pt idx="408">
                  <c:v>-21.564060760204562</c:v>
                </c:pt>
                <c:pt idx="409">
                  <c:v>-21.733450966222655</c:v>
                </c:pt>
                <c:pt idx="410">
                  <c:v>-21.903367565518167</c:v>
                </c:pt>
                <c:pt idx="411">
                  <c:v>-22.073826079581771</c:v>
                </c:pt>
                <c:pt idx="412">
                  <c:v>-22.244840569207799</c:v>
                </c:pt>
                <c:pt idx="413">
                  <c:v>-22.416423626198046</c:v>
                </c:pt>
                <c:pt idx="414">
                  <c:v>-22.588586373355184</c:v>
                </c:pt>
                <c:pt idx="415">
                  <c:v>-22.761338472446155</c:v>
                </c:pt>
                <c:pt idx="416">
                  <c:v>-22.934688139751159</c:v>
                </c:pt>
                <c:pt idx="417">
                  <c:v>-23.108642168749935</c:v>
                </c:pt>
                <c:pt idx="418">
                  <c:v>-23.283205959447262</c:v>
                </c:pt>
                <c:pt idx="419">
                  <c:v>-23.458383553801717</c:v>
                </c:pt>
                <c:pt idx="420">
                  <c:v>-23.634177676684736</c:v>
                </c:pt>
                <c:pt idx="421">
                  <c:v>-23.810589781779399</c:v>
                </c:pt>
                <c:pt idx="422">
                  <c:v>-23.987620101815637</c:v>
                </c:pt>
                <c:pt idx="423">
                  <c:v>-24.165267702531533</c:v>
                </c:pt>
                <c:pt idx="424">
                  <c:v>-24.343530539758937</c:v>
                </c:pt>
                <c:pt idx="425">
                  <c:v>-24.522405519037605</c:v>
                </c:pt>
                <c:pt idx="426">
                  <c:v>-24.701888557186216</c:v>
                </c:pt>
                <c:pt idx="427">
                  <c:v>-24.881974645274969</c:v>
                </c:pt>
                <c:pt idx="428">
                  <c:v>-25.062657912479356</c:v>
                </c:pt>
                <c:pt idx="429">
                  <c:v>-25.243931690321759</c:v>
                </c:pt>
                <c:pt idx="430">
                  <c:v>-25.425788576845108</c:v>
                </c:pt>
                <c:pt idx="431">
                  <c:v>-25.608220500300391</c:v>
                </c:pt>
                <c:pt idx="432">
                  <c:v>-25.791218781965966</c:v>
                </c:pt>
                <c:pt idx="433">
                  <c:v>-25.974774197759881</c:v>
                </c:pt>
                <c:pt idx="434">
                  <c:v>-26.158877038343455</c:v>
                </c:pt>
                <c:pt idx="435">
                  <c:v>-26.34351716745428</c:v>
                </c:pt>
                <c:pt idx="436">
                  <c:v>-26.528684078244972</c:v>
                </c:pt>
                <c:pt idx="437">
                  <c:v>-26.714366947441938</c:v>
                </c:pt>
                <c:pt idx="438">
                  <c:v>-26.900554687172008</c:v>
                </c:pt>
                <c:pt idx="439">
                  <c:v>-27.087235994339402</c:v>
                </c:pt>
                <c:pt idx="440">
                  <c:v>-27.274399397465437</c:v>
                </c:pt>
                <c:pt idx="441">
                  <c:v>-27.462033300933257</c:v>
                </c:pt>
                <c:pt idx="442">
                  <c:v>-27.650126026605484</c:v>
                </c:pt>
                <c:pt idx="443">
                  <c:v>-27.83866585280586</c:v>
                </c:pt>
                <c:pt idx="444">
                  <c:v>-28.027641050679097</c:v>
                </c:pt>
                <c:pt idx="445">
                  <c:v>-28.217039917959902</c:v>
                </c:pt>
                <c:pt idx="446">
                  <c:v>-28.406850810200616</c:v>
                </c:pt>
                <c:pt idx="447">
                  <c:v>-28.597062169519507</c:v>
                </c:pt>
                <c:pt idx="448">
                  <c:v>-28.787662550945001</c:v>
                </c:pt>
                <c:pt idx="449">
                  <c:v>-28.978640646440816</c:v>
                </c:pt>
                <c:pt idx="450">
                  <c:v>-29.169985306705012</c:v>
                </c:pt>
                <c:pt idx="451">
                  <c:v>-29.361685560842243</c:v>
                </c:pt>
                <c:pt idx="452">
                  <c:v>-29.553730634013942</c:v>
                </c:pt>
                <c:pt idx="453">
                  <c:v>-29.74610996317432</c:v>
                </c:pt>
                <c:pt idx="454">
                  <c:v>-29.938813211001012</c:v>
                </c:pt>
                <c:pt idx="455">
                  <c:v>-30.131830278132977</c:v>
                </c:pt>
                <c:pt idx="456">
                  <c:v>-30.325151313824197</c:v>
                </c:pt>
                <c:pt idx="457">
                  <c:v>-30.518766725125065</c:v>
                </c:pt>
                <c:pt idx="458">
                  <c:v>-30.712667184698045</c:v>
                </c:pt>
                <c:pt idx="459">
                  <c:v>-30.906843637374322</c:v>
                </c:pt>
                <c:pt idx="460">
                  <c:v>-31.101287305554219</c:v>
                </c:pt>
                <c:pt idx="461">
                  <c:v>-31.295989693550471</c:v>
                </c:pt>
                <c:pt idx="462">
                  <c:v>-31.490942590971763</c:v>
                </c:pt>
                <c:pt idx="463">
                  <c:v>-31.686138075237665</c:v>
                </c:pt>
                <c:pt idx="464">
                  <c:v>-31.881568513313429</c:v>
                </c:pt>
                <c:pt idx="465">
                  <c:v>-32.07722656274921</c:v>
                </c:pt>
                <c:pt idx="466">
                  <c:v>-32.273105172102589</c:v>
                </c:pt>
                <c:pt idx="467">
                  <c:v>-32.469197580821373</c:v>
                </c:pt>
                <c:pt idx="468">
                  <c:v>-32.665497318656215</c:v>
                </c:pt>
                <c:pt idx="469">
                  <c:v>-32.861998204671707</c:v>
                </c:pt>
                <c:pt idx="470">
                  <c:v>-33.058694345918489</c:v>
                </c:pt>
                <c:pt idx="471">
                  <c:v>-33.25558013582561</c:v>
                </c:pt>
                <c:pt idx="472">
                  <c:v>-33.452650252367228</c:v>
                </c:pt>
                <c:pt idx="473">
                  <c:v>-33.649899656058508</c:v>
                </c:pt>
                <c:pt idx="474">
                  <c:v>-33.84732358782518</c:v>
                </c:pt>
                <c:pt idx="475">
                  <c:v>-34.044917566792535</c:v>
                </c:pt>
                <c:pt idx="476">
                  <c:v>-34.242677388038111</c:v>
                </c:pt>
                <c:pt idx="477">
                  <c:v>-34.440599120341929</c:v>
                </c:pt>
                <c:pt idx="478">
                  <c:v>-34.638679103974411</c:v>
                </c:pt>
                <c:pt idx="479">
                  <c:v>-34.836913948552109</c:v>
                </c:pt>
                <c:pt idx="480">
                  <c:v>-35.035300530993702</c:v>
                </c:pt>
                <c:pt idx="481">
                  <c:v>-35.2338359936033</c:v>
                </c:pt>
                <c:pt idx="482">
                  <c:v>-35.432517742308541</c:v>
                </c:pt>
                <c:pt idx="483">
                  <c:v>-35.631343445075771</c:v>
                </c:pt>
                <c:pt idx="484">
                  <c:v>-35.830311030527966</c:v>
                </c:pt>
                <c:pt idx="485">
                  <c:v>-36.029418686782073</c:v>
                </c:pt>
                <c:pt idx="486">
                  <c:v>-36.228664860528426</c:v>
                </c:pt>
                <c:pt idx="487">
                  <c:v>-36.428048256368292</c:v>
                </c:pt>
                <c:pt idx="488">
                  <c:v>-36.627567836426522</c:v>
                </c:pt>
                <c:pt idx="489">
                  <c:v>-36.827222820254782</c:v>
                </c:pt>
                <c:pt idx="490">
                  <c:v>-37.027012685038876</c:v>
                </c:pt>
                <c:pt idx="491">
                  <c:v>-37.22693716612617</c:v>
                </c:pt>
                <c:pt idx="492">
                  <c:v>-37.426996257881214</c:v>
                </c:pt>
                <c:pt idx="493">
                  <c:v>-37.627190214885459</c:v>
                </c:pt>
                <c:pt idx="494">
                  <c:v>-37.827519553490646</c:v>
                </c:pt>
                <c:pt idx="495">
                  <c:v>-38.027985053734177</c:v>
                </c:pt>
                <c:pt idx="496">
                  <c:v>-38.228587761630898</c:v>
                </c:pt>
                <c:pt idx="497">
                  <c:v>-38.429328991845033</c:v>
                </c:pt>
                <c:pt idx="498">
                  <c:v>-38.630210330755453</c:v>
                </c:pt>
                <c:pt idx="499">
                  <c:v>-38.831233639920526</c:v>
                </c:pt>
                <c:pt idx="500">
                  <c:v>-39.032401059950324</c:v>
                </c:pt>
                <c:pt idx="501">
                  <c:v>-39.233715014794562</c:v>
                </c:pt>
                <c:pt idx="502">
                  <c:v>-39.435178216452115</c:v>
                </c:pt>
                <c:pt idx="503">
                  <c:v>-39.63679367010927</c:v>
                </c:pt>
                <c:pt idx="504">
                  <c:v>-39.838564679713755</c:v>
                </c:pt>
                <c:pt idx="505">
                  <c:v>-40.040494853987539</c:v>
                </c:pt>
                <c:pt idx="506">
                  <c:v>-40.242588112886857</c:v>
                </c:pt>
                <c:pt idx="507">
                  <c:v>-40.444848694511649</c:v>
                </c:pt>
                <c:pt idx="508">
                  <c:v>-40.647281162469262</c:v>
                </c:pt>
                <c:pt idx="509">
                  <c:v>-40.849890413696301</c:v>
                </c:pt>
                <c:pt idx="510">
                  <c:v>-41.052681686740826</c:v>
                </c:pt>
                <c:pt idx="511">
                  <c:v>-41.255660570507153</c:v>
                </c:pt>
                <c:pt idx="512">
                  <c:v>-41.458833013463341</c:v>
                </c:pt>
                <c:pt idx="513">
                  <c:v>-41.662205333313473</c:v>
                </c:pt>
                <c:pt idx="514">
                  <c:v>-41.865784227132316</c:v>
                </c:pt>
                <c:pt idx="515">
                  <c:v>-42.069576781959071</c:v>
                </c:pt>
                <c:pt idx="516">
                  <c:v>-42.273590485850399</c:v>
                </c:pt>
                <c:pt idx="517">
                  <c:v>-42.477833239383173</c:v>
                </c:pt>
                <c:pt idx="518">
                  <c:v>-42.682313367603967</c:v>
                </c:pt>
                <c:pt idx="519">
                  <c:v>-42.887039632414115</c:v>
                </c:pt>
                <c:pt idx="520">
                  <c:v>-43.092021245382064</c:v>
                </c:pt>
                <c:pt idx="521">
                  <c:v>-43.297267880967716</c:v>
                </c:pt>
                <c:pt idx="522">
                  <c:v>-43.50278969014618</c:v>
                </c:pt>
                <c:pt idx="523">
                  <c:v>-43.708597314410682</c:v>
                </c:pt>
                <c:pt idx="524">
                  <c:v>-43.91470190013581</c:v>
                </c:pt>
                <c:pt idx="525">
                  <c:v>-44.121115113274385</c:v>
                </c:pt>
                <c:pt idx="526">
                  <c:v>-44.327849154364536</c:v>
                </c:pt>
                <c:pt idx="527">
                  <c:v>-44.534916773810536</c:v>
                </c:pt>
                <c:pt idx="528">
                  <c:v>-44.742331287406373</c:v>
                </c:pt>
                <c:pt idx="529">
                  <c:v>-44.950106592060528</c:v>
                </c:pt>
                <c:pt idx="530">
                  <c:v>-45.158257181676731</c:v>
                </c:pt>
                <c:pt idx="531">
                  <c:v>-45.366798163143081</c:v>
                </c:pt>
                <c:pt idx="532">
                  <c:v>-45.575745272373538</c:v>
                </c:pt>
                <c:pt idx="533">
                  <c:v>-45.785114890340921</c:v>
                </c:pt>
                <c:pt idx="534">
                  <c:v>-45.994924059035959</c:v>
                </c:pt>
                <c:pt idx="535">
                  <c:v>-46.205190497278664</c:v>
                </c:pt>
                <c:pt idx="536">
                  <c:v>-46.415932616302442</c:v>
                </c:pt>
                <c:pt idx="537">
                  <c:v>-46.627169535023967</c:v>
                </c:pt>
                <c:pt idx="538">
                  <c:v>-46.838921094905508</c:v>
                </c:pt>
                <c:pt idx="539">
                  <c:v>-47.051207874307138</c:v>
                </c:pt>
                <c:pt idx="540">
                  <c:v>-47.264051202220038</c:v>
                </c:pt>
                <c:pt idx="541">
                  <c:v>-47.477473171262332</c:v>
                </c:pt>
              </c:numCache>
            </c:numRef>
          </c:yVal>
          <c:smooth val="1"/>
          <c:extLst>
            <c:ext xmlns:c16="http://schemas.microsoft.com/office/drawing/2014/chart" uri="{C3380CC4-5D6E-409C-BE32-E72D297353CC}">
              <c16:uniqueId val="{00000000-ECAC-4E20-B866-0DB1B3DE6FE8}"/>
            </c:ext>
          </c:extLst>
        </c:ser>
        <c:ser>
          <c:idx val="2"/>
          <c:order val="2"/>
          <c:tx>
            <c:v>f_LP</c:v>
          </c:tx>
          <c:spPr>
            <a:ln w="38100" cmpd="sng"/>
          </c:spPr>
          <c:marker>
            <c:symbol val="x"/>
            <c:size val="7"/>
            <c:spPr>
              <a:noFill/>
            </c:spPr>
          </c:marker>
          <c:dPt>
            <c:idx val="0"/>
            <c:marker>
              <c:spPr>
                <a:noFill/>
                <a:ln w="19050">
                  <a:solidFill>
                    <a:schemeClr val="tx1"/>
                  </a:solidFill>
                </a:ln>
              </c:spPr>
            </c:marker>
            <c:bubble3D val="0"/>
            <c:extLst>
              <c:ext xmlns:c16="http://schemas.microsoft.com/office/drawing/2014/chart" uri="{C3380CC4-5D6E-409C-BE32-E72D297353CC}">
                <c16:uniqueId val="{00000001-ECAC-4E20-B866-0DB1B3DE6FE8}"/>
              </c:ext>
            </c:extLst>
          </c:dPt>
          <c:dLbls>
            <c:dLbl>
              <c:idx val="0"/>
              <c:tx>
                <c:rich>
                  <a:bodyPr/>
                  <a:lstStyle/>
                  <a:p>
                    <a:r>
                      <a:rPr lang="en-US" sz="1100" b="1"/>
                      <a:t>f</a:t>
                    </a:r>
                    <a:r>
                      <a:rPr lang="en-US" sz="1100" b="1" baseline="-25000"/>
                      <a:t>LP</a:t>
                    </a:r>
                    <a:endParaRPr lang="en-US" b="1" baseline="-25000"/>
                  </a:p>
                </c:rich>
              </c:tx>
              <c:dLblPos val="b"/>
              <c:showLegendKey val="0"/>
              <c:showVal val="0"/>
              <c:showCatName val="0"/>
              <c:showSerName val="1"/>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1-ECAC-4E20-B866-0DB1B3DE6FE8}"/>
                </c:ext>
              </c:extLst>
            </c:dLbl>
            <c:spPr>
              <a:noFill/>
              <a:ln>
                <a:noFill/>
              </a:ln>
              <a:effectLst/>
            </c:spPr>
            <c:dLblPos val="b"/>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Loop_Modeling!$O$11</c:f>
              <c:numCache>
                <c:formatCode>0</c:formatCode>
                <c:ptCount val="1"/>
                <c:pt idx="0">
                  <c:v>709.08606560516773</c:v>
                </c:pt>
              </c:numCache>
            </c:numRef>
          </c:xVal>
          <c:yVal>
            <c:numRef>
              <c:f>Loop_Modeling!$BL$11</c:f>
              <c:numCache>
                <c:formatCode>General</c:formatCode>
                <c:ptCount val="1"/>
                <c:pt idx="0">
                  <c:v>24.493101860968835</c:v>
                </c:pt>
              </c:numCache>
            </c:numRef>
          </c:yVal>
          <c:smooth val="0"/>
          <c:extLst>
            <c:ext xmlns:c16="http://schemas.microsoft.com/office/drawing/2014/chart" uri="{C3380CC4-5D6E-409C-BE32-E72D297353CC}">
              <c16:uniqueId val="{00000002-ECAC-4E20-B866-0DB1B3DE6FE8}"/>
            </c:ext>
          </c:extLst>
        </c:ser>
        <c:ser>
          <c:idx val="3"/>
          <c:order val="3"/>
          <c:tx>
            <c:v>fz_rhp</c:v>
          </c:tx>
          <c:spPr>
            <a:ln>
              <a:solidFill>
                <a:schemeClr val="tx1"/>
              </a:solidFill>
            </a:ln>
          </c:spPr>
          <c:marker>
            <c:symbol val="circle"/>
            <c:size val="7"/>
            <c:spPr>
              <a:noFill/>
              <a:ln w="19050">
                <a:solidFill>
                  <a:schemeClr val="tx1"/>
                </a:solidFill>
              </a:ln>
            </c:spPr>
          </c:marker>
          <c:dLbls>
            <c:dLbl>
              <c:idx val="0"/>
              <c:layout>
                <c:manualLayout>
                  <c:x val="8.0501209561423519E-3"/>
                  <c:y val="-1.5493667278504181E-2"/>
                </c:manualLayout>
              </c:layout>
              <c:dLblPos val="r"/>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3-ECAC-4E20-B866-0DB1B3DE6FE8}"/>
                </c:ext>
              </c:extLst>
            </c:dLbl>
            <c:spPr>
              <a:noFill/>
              <a:ln>
                <a:noFill/>
              </a:ln>
              <a:effectLst/>
            </c:spPr>
            <c:txPr>
              <a:bodyPr/>
              <a:lstStyle/>
              <a:p>
                <a:pPr>
                  <a:defRPr b="1"/>
                </a:pPr>
                <a:endParaRPr lang="en-US"/>
              </a:p>
            </c:txPr>
            <c:dLblPos val="t"/>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Loop_Modeling!$O$9</c:f>
              <c:numCache>
                <c:formatCode>0</c:formatCode>
                <c:ptCount val="1"/>
                <c:pt idx="0">
                  <c:v>76394.372684109767</c:v>
                </c:pt>
              </c:numCache>
            </c:numRef>
          </c:xVal>
          <c:yVal>
            <c:numRef>
              <c:f>Loop_Modeling!$BL$9</c:f>
              <c:numCache>
                <c:formatCode>General</c:formatCode>
                <c:ptCount val="1"/>
                <c:pt idx="0">
                  <c:v>-18.138017131638811</c:v>
                </c:pt>
              </c:numCache>
            </c:numRef>
          </c:yVal>
          <c:smooth val="1"/>
          <c:extLst>
            <c:ext xmlns:c16="http://schemas.microsoft.com/office/drawing/2014/chart" uri="{C3380CC4-5D6E-409C-BE32-E72D297353CC}">
              <c16:uniqueId val="{00000004-ECAC-4E20-B866-0DB1B3DE6FE8}"/>
            </c:ext>
          </c:extLst>
        </c:ser>
        <c:ser>
          <c:idx val="4"/>
          <c:order val="4"/>
          <c:tx>
            <c:v>f_esr</c:v>
          </c:tx>
          <c:spPr>
            <a:ln>
              <a:noFill/>
            </a:ln>
          </c:spPr>
          <c:marker>
            <c:symbol val="circle"/>
            <c:size val="5"/>
            <c:spPr>
              <a:noFill/>
              <a:ln w="19050">
                <a:solidFill>
                  <a:schemeClr val="tx1"/>
                </a:solidFill>
              </a:ln>
            </c:spPr>
          </c:marker>
          <c:dPt>
            <c:idx val="0"/>
            <c:marker>
              <c:symbol val="circle"/>
              <c:size val="7"/>
            </c:marker>
            <c:bubble3D val="0"/>
            <c:extLst>
              <c:ext xmlns:c16="http://schemas.microsoft.com/office/drawing/2014/chart" uri="{C3380CC4-5D6E-409C-BE32-E72D297353CC}">
                <c16:uniqueId val="{00000005-ECAC-4E20-B866-0DB1B3DE6FE8}"/>
              </c:ext>
            </c:extLst>
          </c:dPt>
          <c:dLbls>
            <c:dLbl>
              <c:idx val="0"/>
              <c:layout>
                <c:manualLayout>
                  <c:x val="-5.990474489899654E-2"/>
                  <c:y val="-1.2457193490087108E-2"/>
                </c:manualLayout>
              </c:layout>
              <c:dLblPos val="r"/>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5-ECAC-4E20-B866-0DB1B3DE6FE8}"/>
                </c:ext>
              </c:extLst>
            </c:dLbl>
            <c:spPr>
              <a:noFill/>
              <a:ln>
                <a:noFill/>
              </a:ln>
              <a:effectLst/>
            </c:spPr>
            <c:txPr>
              <a:bodyPr/>
              <a:lstStyle/>
              <a:p>
                <a:pPr>
                  <a:defRPr b="1"/>
                </a:pPr>
                <a:endParaRPr lang="en-US"/>
              </a:p>
            </c:txPr>
            <c:dLblPos val="t"/>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Loop_Modeling!$O$10</c:f>
              <c:numCache>
                <c:formatCode>0</c:formatCode>
                <c:ptCount val="1"/>
                <c:pt idx="0">
                  <c:v>42328.442311674291</c:v>
                </c:pt>
              </c:numCache>
            </c:numRef>
          </c:xVal>
          <c:yVal>
            <c:numRef>
              <c:f>Loop_Modeling!$BL$10</c:f>
              <c:numCache>
                <c:formatCode>General</c:formatCode>
                <c:ptCount val="1"/>
                <c:pt idx="0">
                  <c:v>-13.841109526611969</c:v>
                </c:pt>
              </c:numCache>
            </c:numRef>
          </c:yVal>
          <c:smooth val="1"/>
          <c:extLst>
            <c:ext xmlns:c16="http://schemas.microsoft.com/office/drawing/2014/chart" uri="{C3380CC4-5D6E-409C-BE32-E72D297353CC}">
              <c16:uniqueId val="{00000006-ECAC-4E20-B866-0DB1B3DE6FE8}"/>
            </c:ext>
          </c:extLst>
        </c:ser>
        <c:ser>
          <c:idx val="5"/>
          <c:order val="5"/>
          <c:tx>
            <c:v>fz_ea</c:v>
          </c:tx>
          <c:marker>
            <c:symbol val="circle"/>
            <c:size val="8"/>
            <c:spPr>
              <a:noFill/>
              <a:ln w="25400">
                <a:solidFill>
                  <a:srgbClr val="00B0F0"/>
                </a:solidFill>
              </a:ln>
            </c:spPr>
          </c:marker>
          <c:dLbls>
            <c:dLbl>
              <c:idx val="0"/>
              <c:spPr/>
              <c:txPr>
                <a:bodyPr/>
                <a:lstStyle/>
                <a:p>
                  <a:pPr>
                    <a:defRPr b="1"/>
                  </a:pPr>
                  <a:endParaRPr lang="en-US"/>
                </a:p>
              </c:txPr>
              <c:dLblPos val="b"/>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7-ECAC-4E20-B866-0DB1B3DE6FE8}"/>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Loop_Modeling!$O$12</c:f>
              <c:numCache>
                <c:formatCode>General</c:formatCode>
                <c:ptCount val="1"/>
                <c:pt idx="0">
                  <c:v>1354.7407481434739</c:v>
                </c:pt>
              </c:numCache>
            </c:numRef>
          </c:xVal>
          <c:yVal>
            <c:numRef>
              <c:f>Loop_Modeling!$BL$12</c:f>
              <c:numCache>
                <c:formatCode>General</c:formatCode>
                <c:ptCount val="1"/>
                <c:pt idx="0">
                  <c:v>17.16525911758621</c:v>
                </c:pt>
              </c:numCache>
            </c:numRef>
          </c:yVal>
          <c:smooth val="1"/>
          <c:extLst>
            <c:ext xmlns:c16="http://schemas.microsoft.com/office/drawing/2014/chart" uri="{C3380CC4-5D6E-409C-BE32-E72D297353CC}">
              <c16:uniqueId val="{00000008-ECAC-4E20-B866-0DB1B3DE6FE8}"/>
            </c:ext>
          </c:extLst>
        </c:ser>
        <c:ser>
          <c:idx val="6"/>
          <c:order val="6"/>
          <c:tx>
            <c:v>fp_ea</c:v>
          </c:tx>
          <c:marker>
            <c:symbol val="x"/>
            <c:size val="7"/>
            <c:spPr>
              <a:noFill/>
              <a:ln w="25400">
                <a:solidFill>
                  <a:srgbClr val="00B0F0"/>
                </a:solidFill>
              </a:ln>
            </c:spPr>
          </c:marker>
          <c:dLbls>
            <c:dLbl>
              <c:idx val="0"/>
              <c:layout>
                <c:manualLayout>
                  <c:x val="-5.3995739911983948E-2"/>
                  <c:y val="3.3712510009006609E-2"/>
                </c:manualLayout>
              </c:layout>
              <c:dLblPos val="r"/>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9-ECAC-4E20-B866-0DB1B3DE6FE8}"/>
                </c:ext>
              </c:extLst>
            </c:dLbl>
            <c:spPr>
              <a:noFill/>
              <a:ln>
                <a:noFill/>
              </a:ln>
              <a:effectLst/>
            </c:spPr>
            <c:txPr>
              <a:bodyPr/>
              <a:lstStyle/>
              <a:p>
                <a:pPr>
                  <a:defRPr b="1"/>
                </a:pPr>
                <a:endParaRPr lang="en-US"/>
              </a:p>
            </c:txPr>
            <c:dLblPos val="b"/>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Loop_Modeling!$O$13</c:f>
              <c:numCache>
                <c:formatCode>General</c:formatCode>
                <c:ptCount val="1"/>
                <c:pt idx="0">
                  <c:v>46061.185436878121</c:v>
                </c:pt>
              </c:numCache>
            </c:numRef>
          </c:xVal>
          <c:yVal>
            <c:numRef>
              <c:f>Loop_Modeling!$BL$13</c:f>
              <c:numCache>
                <c:formatCode>General</c:formatCode>
                <c:ptCount val="1"/>
                <c:pt idx="0">
                  <c:v>-14.47338103600492</c:v>
                </c:pt>
              </c:numCache>
            </c:numRef>
          </c:yVal>
          <c:smooth val="1"/>
          <c:extLst>
            <c:ext xmlns:c16="http://schemas.microsoft.com/office/drawing/2014/chart" uri="{C3380CC4-5D6E-409C-BE32-E72D297353CC}">
              <c16:uniqueId val="{0000000A-ECAC-4E20-B866-0DB1B3DE6FE8}"/>
            </c:ext>
          </c:extLst>
        </c:ser>
        <c:dLbls>
          <c:showLegendKey val="0"/>
          <c:showVal val="0"/>
          <c:showCatName val="0"/>
          <c:showSerName val="0"/>
          <c:showPercent val="0"/>
          <c:showBubbleSize val="0"/>
        </c:dLbls>
        <c:axId val="357835904"/>
        <c:axId val="364477056"/>
      </c:scatterChart>
      <c:scatterChart>
        <c:scatterStyle val="smoothMarker"/>
        <c:varyColors val="0"/>
        <c:ser>
          <c:idx val="1"/>
          <c:order val="1"/>
          <c:tx>
            <c:v>Phase (deg)</c:v>
          </c:tx>
          <c:spPr>
            <a:ln w="28575">
              <a:solidFill>
                <a:schemeClr val="tx1">
                  <a:lumMod val="95000"/>
                  <a:lumOff val="5000"/>
                </a:schemeClr>
              </a:solidFill>
              <a:prstDash val="sysDash"/>
            </a:ln>
          </c:spPr>
          <c:marker>
            <c:symbol val="none"/>
          </c:marker>
          <c:xVal>
            <c:numRef>
              <c:f>Loop_Modeling!$O$19:$O$560</c:f>
              <c:numCache>
                <c:formatCode>0.00</c:formatCode>
                <c:ptCount val="542"/>
                <c:pt idx="0">
                  <c:v>10.232929922807543</c:v>
                </c:pt>
                <c:pt idx="1">
                  <c:v>10.471285480509</c:v>
                </c:pt>
                <c:pt idx="2">
                  <c:v>10.715193052376069</c:v>
                </c:pt>
                <c:pt idx="3">
                  <c:v>10.964781961431854</c:v>
                </c:pt>
                <c:pt idx="4">
                  <c:v>11.220184543019636</c:v>
                </c:pt>
                <c:pt idx="5">
                  <c:v>11.481536214968834</c:v>
                </c:pt>
                <c:pt idx="6">
                  <c:v>11.748975549395301</c:v>
                </c:pt>
                <c:pt idx="7">
                  <c:v>12.022644346174133</c:v>
                </c:pt>
                <c:pt idx="8">
                  <c:v>12.302687708123818</c:v>
                </c:pt>
                <c:pt idx="9">
                  <c:v>12.58925411794168</c:v>
                </c:pt>
                <c:pt idx="10">
                  <c:v>12.882495516931346</c:v>
                </c:pt>
                <c:pt idx="11">
                  <c:v>13.182567385564075</c:v>
                </c:pt>
                <c:pt idx="12">
                  <c:v>13.489628825916535</c:v>
                </c:pt>
                <c:pt idx="13">
                  <c:v>13.803842646028857</c:v>
                </c:pt>
                <c:pt idx="14">
                  <c:v>14.125375446227544</c:v>
                </c:pt>
                <c:pt idx="15">
                  <c:v>14.454397707459275</c:v>
                </c:pt>
                <c:pt idx="16">
                  <c:v>14.791083881682074</c:v>
                </c:pt>
                <c:pt idx="17">
                  <c:v>15.135612484362087</c:v>
                </c:pt>
                <c:pt idx="18">
                  <c:v>15.488166189124817</c:v>
                </c:pt>
                <c:pt idx="19">
                  <c:v>15.848931924611136</c:v>
                </c:pt>
                <c:pt idx="20">
                  <c:v>16.218100973589298</c:v>
                </c:pt>
                <c:pt idx="21">
                  <c:v>16.595869074375614</c:v>
                </c:pt>
                <c:pt idx="22">
                  <c:v>16.982436524617448</c:v>
                </c:pt>
                <c:pt idx="23">
                  <c:v>17.378008287493756</c:v>
                </c:pt>
                <c:pt idx="24">
                  <c:v>17.782794100389236</c:v>
                </c:pt>
                <c:pt idx="25">
                  <c:v>18.197008586099841</c:v>
                </c:pt>
                <c:pt idx="26">
                  <c:v>18.62087136662868</c:v>
                </c:pt>
                <c:pt idx="27">
                  <c:v>19.054607179632477</c:v>
                </c:pt>
                <c:pt idx="28">
                  <c:v>19.498445997580465</c:v>
                </c:pt>
                <c:pt idx="29">
                  <c:v>19.952623149688804</c:v>
                </c:pt>
                <c:pt idx="30">
                  <c:v>20.4173794466953</c:v>
                </c:pt>
                <c:pt idx="31">
                  <c:v>20.8929613085404</c:v>
                </c:pt>
                <c:pt idx="32">
                  <c:v>21.379620895022335</c:v>
                </c:pt>
                <c:pt idx="33">
                  <c:v>21.877616239495538</c:v>
                </c:pt>
                <c:pt idx="34">
                  <c:v>22.387211385683404</c:v>
                </c:pt>
                <c:pt idx="35">
                  <c:v>22.908676527677727</c:v>
                </c:pt>
                <c:pt idx="36">
                  <c:v>23.442288153199236</c:v>
                </c:pt>
                <c:pt idx="37">
                  <c:v>23.988329190194907</c:v>
                </c:pt>
                <c:pt idx="38">
                  <c:v>24.547089156850316</c:v>
                </c:pt>
                <c:pt idx="39">
                  <c:v>25.118864315095799</c:v>
                </c:pt>
                <c:pt idx="40">
                  <c:v>25.703957827688647</c:v>
                </c:pt>
                <c:pt idx="41">
                  <c:v>26.302679918953825</c:v>
                </c:pt>
                <c:pt idx="42">
                  <c:v>26.915348039269158</c:v>
                </c:pt>
                <c:pt idx="43">
                  <c:v>27.542287033381665</c:v>
                </c:pt>
                <c:pt idx="44">
                  <c:v>28.183829312644548</c:v>
                </c:pt>
                <c:pt idx="45">
                  <c:v>28.840315031266066</c:v>
                </c:pt>
                <c:pt idx="46">
                  <c:v>29.512092266663863</c:v>
                </c:pt>
                <c:pt idx="47">
                  <c:v>30.199517204020164</c:v>
                </c:pt>
                <c:pt idx="48">
                  <c:v>30.902954325135919</c:v>
                </c:pt>
                <c:pt idx="49">
                  <c:v>31.622776601683803</c:v>
                </c:pt>
                <c:pt idx="50">
                  <c:v>32.359365692962832</c:v>
                </c:pt>
                <c:pt idx="51">
                  <c:v>33.113112148259127</c:v>
                </c:pt>
                <c:pt idx="52">
                  <c:v>33.884415613920268</c:v>
                </c:pt>
                <c:pt idx="53">
                  <c:v>34.67368504525318</c:v>
                </c:pt>
                <c:pt idx="54">
                  <c:v>35.481338923357555</c:v>
                </c:pt>
                <c:pt idx="55">
                  <c:v>36.307805477010156</c:v>
                </c:pt>
                <c:pt idx="56">
                  <c:v>37.15352290971726</c:v>
                </c:pt>
                <c:pt idx="57">
                  <c:v>38.018939632056139</c:v>
                </c:pt>
                <c:pt idx="58">
                  <c:v>38.904514499428053</c:v>
                </c:pt>
                <c:pt idx="59">
                  <c:v>39.810717055349755</c:v>
                </c:pt>
                <c:pt idx="60">
                  <c:v>40.738027780411279</c:v>
                </c:pt>
                <c:pt idx="61">
                  <c:v>41.686938347033561</c:v>
                </c:pt>
                <c:pt idx="62">
                  <c:v>42.657951880159267</c:v>
                </c:pt>
                <c:pt idx="63">
                  <c:v>43.651583224016633</c:v>
                </c:pt>
                <c:pt idx="64">
                  <c:v>44.668359215096324</c:v>
                </c:pt>
                <c:pt idx="65">
                  <c:v>45.70881896148753</c:v>
                </c:pt>
                <c:pt idx="66">
                  <c:v>46.773514128719818</c:v>
                </c:pt>
                <c:pt idx="67">
                  <c:v>47.863009232263877</c:v>
                </c:pt>
                <c:pt idx="68">
                  <c:v>48.977881936844632</c:v>
                </c:pt>
                <c:pt idx="69">
                  <c:v>50.118723362727238</c:v>
                </c:pt>
                <c:pt idx="70">
                  <c:v>51.28613839913649</c:v>
                </c:pt>
                <c:pt idx="71">
                  <c:v>52.480746024977286</c:v>
                </c:pt>
                <c:pt idx="72">
                  <c:v>53.703179637025293</c:v>
                </c:pt>
                <c:pt idx="73">
                  <c:v>54.95408738576247</c:v>
                </c:pt>
                <c:pt idx="74">
                  <c:v>56.234132519034915</c:v>
                </c:pt>
                <c:pt idx="75">
                  <c:v>57.543993733715695</c:v>
                </c:pt>
                <c:pt idx="76">
                  <c:v>58.884365535558949</c:v>
                </c:pt>
                <c:pt idx="77">
                  <c:v>60.255958607435822</c:v>
                </c:pt>
                <c:pt idx="78">
                  <c:v>61.659500186148257</c:v>
                </c:pt>
                <c:pt idx="79">
                  <c:v>63.095734448019364</c:v>
                </c:pt>
                <c:pt idx="80">
                  <c:v>64.565422903465588</c:v>
                </c:pt>
                <c:pt idx="81">
                  <c:v>66.069344800759623</c:v>
                </c:pt>
                <c:pt idx="82">
                  <c:v>67.60829753919819</c:v>
                </c:pt>
                <c:pt idx="83">
                  <c:v>69.183097091893657</c:v>
                </c:pt>
                <c:pt idx="84">
                  <c:v>70.794578438413865</c:v>
                </c:pt>
                <c:pt idx="85">
                  <c:v>72.443596007499011</c:v>
                </c:pt>
                <c:pt idx="86">
                  <c:v>74.131024130091816</c:v>
                </c:pt>
                <c:pt idx="87">
                  <c:v>75.857757502918361</c:v>
                </c:pt>
                <c:pt idx="88">
                  <c:v>77.624711662869217</c:v>
                </c:pt>
                <c:pt idx="89">
                  <c:v>79.432823472428197</c:v>
                </c:pt>
                <c:pt idx="90">
                  <c:v>81.283051616409963</c:v>
                </c:pt>
                <c:pt idx="91">
                  <c:v>83.176377110267126</c:v>
                </c:pt>
                <c:pt idx="92">
                  <c:v>85.113803820237734</c:v>
                </c:pt>
                <c:pt idx="93">
                  <c:v>87.096358995608071</c:v>
                </c:pt>
                <c:pt idx="94">
                  <c:v>89.125093813374562</c:v>
                </c:pt>
                <c:pt idx="95">
                  <c:v>91.201083935590972</c:v>
                </c:pt>
                <c:pt idx="96">
                  <c:v>93.325430079699174</c:v>
                </c:pt>
                <c:pt idx="97">
                  <c:v>95.499258602143655</c:v>
                </c:pt>
                <c:pt idx="98">
                  <c:v>97.723722095581124</c:v>
                </c:pt>
                <c:pt idx="99">
                  <c:v>100</c:v>
                </c:pt>
                <c:pt idx="100">
                  <c:v>102.32929922807544</c:v>
                </c:pt>
                <c:pt idx="101">
                  <c:v>104.71285480508998</c:v>
                </c:pt>
                <c:pt idx="102">
                  <c:v>107.15193052376065</c:v>
                </c:pt>
                <c:pt idx="103">
                  <c:v>109.64781961431861</c:v>
                </c:pt>
                <c:pt idx="104">
                  <c:v>112.20184543019634</c:v>
                </c:pt>
                <c:pt idx="105">
                  <c:v>114.81536214968835</c:v>
                </c:pt>
                <c:pt idx="106">
                  <c:v>117.48975549395293</c:v>
                </c:pt>
                <c:pt idx="107">
                  <c:v>120.22644346174135</c:v>
                </c:pt>
                <c:pt idx="108">
                  <c:v>123.02687708123821</c:v>
                </c:pt>
                <c:pt idx="109">
                  <c:v>125.89254117941677</c:v>
                </c:pt>
                <c:pt idx="110">
                  <c:v>128.82495516931343</c:v>
                </c:pt>
                <c:pt idx="111">
                  <c:v>131.82567385564084</c:v>
                </c:pt>
                <c:pt idx="112">
                  <c:v>134.89628825916537</c:v>
                </c:pt>
                <c:pt idx="113">
                  <c:v>138.0384264602886</c:v>
                </c:pt>
                <c:pt idx="114">
                  <c:v>141.25375446227542</c:v>
                </c:pt>
                <c:pt idx="115">
                  <c:v>144.54397707459285</c:v>
                </c:pt>
                <c:pt idx="116">
                  <c:v>147.91083881682084</c:v>
                </c:pt>
                <c:pt idx="117">
                  <c:v>151.3561248436209</c:v>
                </c:pt>
                <c:pt idx="118">
                  <c:v>154.8816618912482</c:v>
                </c:pt>
                <c:pt idx="119">
                  <c:v>158.48931924611153</c:v>
                </c:pt>
                <c:pt idx="120">
                  <c:v>162.18100973589304</c:v>
                </c:pt>
                <c:pt idx="121">
                  <c:v>165.95869074375622</c:v>
                </c:pt>
                <c:pt idx="122">
                  <c:v>169.82436524617444</c:v>
                </c:pt>
                <c:pt idx="123">
                  <c:v>173.78008287493768</c:v>
                </c:pt>
                <c:pt idx="124">
                  <c:v>177.82794100389242</c:v>
                </c:pt>
                <c:pt idx="125">
                  <c:v>181.9700858609983</c:v>
                </c:pt>
                <c:pt idx="126">
                  <c:v>186.20871366628685</c:v>
                </c:pt>
                <c:pt idx="127">
                  <c:v>190.54607179632498</c:v>
                </c:pt>
                <c:pt idx="128">
                  <c:v>194.98445997580458</c:v>
                </c:pt>
                <c:pt idx="129">
                  <c:v>199.52623149688802</c:v>
                </c:pt>
                <c:pt idx="130">
                  <c:v>204.17379446695315</c:v>
                </c:pt>
                <c:pt idx="131">
                  <c:v>208.92961308540396</c:v>
                </c:pt>
                <c:pt idx="132">
                  <c:v>213.79620895022339</c:v>
                </c:pt>
                <c:pt idx="133">
                  <c:v>218.77616239495524</c:v>
                </c:pt>
                <c:pt idx="134">
                  <c:v>223.87211385683412</c:v>
                </c:pt>
                <c:pt idx="135">
                  <c:v>229.08676527677744</c:v>
                </c:pt>
                <c:pt idx="136">
                  <c:v>234.42288153199232</c:v>
                </c:pt>
                <c:pt idx="137">
                  <c:v>239.88329190194912</c:v>
                </c:pt>
                <c:pt idx="138">
                  <c:v>245.4708915685033</c:v>
                </c:pt>
                <c:pt idx="139">
                  <c:v>251.18864315095806</c:v>
                </c:pt>
                <c:pt idx="140">
                  <c:v>257.03957827688663</c:v>
                </c:pt>
                <c:pt idx="141">
                  <c:v>263.02679918953817</c:v>
                </c:pt>
                <c:pt idx="142">
                  <c:v>269.15348039269179</c:v>
                </c:pt>
                <c:pt idx="143">
                  <c:v>275.42287033381683</c:v>
                </c:pt>
                <c:pt idx="144">
                  <c:v>281.83829312644554</c:v>
                </c:pt>
                <c:pt idx="145">
                  <c:v>288.40315031266073</c:v>
                </c:pt>
                <c:pt idx="146">
                  <c:v>295.12092266663871</c:v>
                </c:pt>
                <c:pt idx="147">
                  <c:v>301.99517204020168</c:v>
                </c:pt>
                <c:pt idx="148">
                  <c:v>309.02954325135937</c:v>
                </c:pt>
                <c:pt idx="149">
                  <c:v>316.22776601683825</c:v>
                </c:pt>
                <c:pt idx="150">
                  <c:v>323.59365692962825</c:v>
                </c:pt>
                <c:pt idx="151">
                  <c:v>331.13112148259137</c:v>
                </c:pt>
                <c:pt idx="152">
                  <c:v>338.84415613920277</c:v>
                </c:pt>
                <c:pt idx="153">
                  <c:v>346.73685045253183</c:v>
                </c:pt>
                <c:pt idx="154">
                  <c:v>354.81338923357566</c:v>
                </c:pt>
                <c:pt idx="155">
                  <c:v>363.07805477010152</c:v>
                </c:pt>
                <c:pt idx="156">
                  <c:v>371.53522909717265</c:v>
                </c:pt>
                <c:pt idx="157">
                  <c:v>380.18939632056163</c:v>
                </c:pt>
                <c:pt idx="158">
                  <c:v>389.04514499428063</c:v>
                </c:pt>
                <c:pt idx="159">
                  <c:v>398.10717055349761</c:v>
                </c:pt>
                <c:pt idx="160">
                  <c:v>407.38027780411272</c:v>
                </c:pt>
                <c:pt idx="161">
                  <c:v>416.86938347033572</c:v>
                </c:pt>
                <c:pt idx="162">
                  <c:v>426.57951880159294</c:v>
                </c:pt>
                <c:pt idx="163">
                  <c:v>436.51583224016622</c:v>
                </c:pt>
                <c:pt idx="164">
                  <c:v>446.68359215096331</c:v>
                </c:pt>
                <c:pt idx="165">
                  <c:v>457.0881896148756</c:v>
                </c:pt>
                <c:pt idx="166">
                  <c:v>467.7351412871983</c:v>
                </c:pt>
                <c:pt idx="167">
                  <c:v>478.63009232263886</c:v>
                </c:pt>
                <c:pt idx="168">
                  <c:v>489.77881936844625</c:v>
                </c:pt>
                <c:pt idx="169">
                  <c:v>501.18723362727269</c:v>
                </c:pt>
                <c:pt idx="170">
                  <c:v>512.86138399136519</c:v>
                </c:pt>
                <c:pt idx="171">
                  <c:v>524.80746024977248</c:v>
                </c:pt>
                <c:pt idx="172">
                  <c:v>537.03179637025301</c:v>
                </c:pt>
                <c:pt idx="173">
                  <c:v>549.54087385762534</c:v>
                </c:pt>
                <c:pt idx="174">
                  <c:v>562.34132519034927</c:v>
                </c:pt>
                <c:pt idx="175">
                  <c:v>575.43993733715706</c:v>
                </c:pt>
                <c:pt idx="176">
                  <c:v>588.84365535558959</c:v>
                </c:pt>
                <c:pt idx="177">
                  <c:v>602.55958607435832</c:v>
                </c:pt>
                <c:pt idx="178">
                  <c:v>616.59500186148273</c:v>
                </c:pt>
                <c:pt idx="179">
                  <c:v>630.95734448019323</c:v>
                </c:pt>
                <c:pt idx="180">
                  <c:v>645.65422903465594</c:v>
                </c:pt>
                <c:pt idx="181">
                  <c:v>660.69344800759643</c:v>
                </c:pt>
                <c:pt idx="182">
                  <c:v>676.08297539198213</c:v>
                </c:pt>
                <c:pt idx="183">
                  <c:v>691.83097091893671</c:v>
                </c:pt>
                <c:pt idx="184">
                  <c:v>707.94578438413873</c:v>
                </c:pt>
                <c:pt idx="185">
                  <c:v>724.43596007499025</c:v>
                </c:pt>
                <c:pt idx="186">
                  <c:v>741.31024130091828</c:v>
                </c:pt>
                <c:pt idx="187">
                  <c:v>758.57757502918378</c:v>
                </c:pt>
                <c:pt idx="188">
                  <c:v>776.24711662869231</c:v>
                </c:pt>
                <c:pt idx="189">
                  <c:v>794.32823472428208</c:v>
                </c:pt>
                <c:pt idx="190">
                  <c:v>812.83051616409978</c:v>
                </c:pt>
                <c:pt idx="191">
                  <c:v>831.7637711026714</c:v>
                </c:pt>
                <c:pt idx="192">
                  <c:v>851.13803820237763</c:v>
                </c:pt>
                <c:pt idx="193">
                  <c:v>870.96358995608091</c:v>
                </c:pt>
                <c:pt idx="194">
                  <c:v>891.25093813374656</c:v>
                </c:pt>
                <c:pt idx="195">
                  <c:v>912.01083935590987</c:v>
                </c:pt>
                <c:pt idx="196">
                  <c:v>933.25430079699106</c:v>
                </c:pt>
                <c:pt idx="197">
                  <c:v>954.99258602143675</c:v>
                </c:pt>
                <c:pt idx="198">
                  <c:v>977.23722095581138</c:v>
                </c:pt>
                <c:pt idx="199">
                  <c:v>1000</c:v>
                </c:pt>
                <c:pt idx="200">
                  <c:v>1023.2929922807547</c:v>
                </c:pt>
                <c:pt idx="201">
                  <c:v>1047.1285480509</c:v>
                </c:pt>
                <c:pt idx="202">
                  <c:v>1071.5193052376069</c:v>
                </c:pt>
                <c:pt idx="203">
                  <c:v>1096.4781961431863</c:v>
                </c:pt>
                <c:pt idx="204">
                  <c:v>1122.0184543019636</c:v>
                </c:pt>
                <c:pt idx="205">
                  <c:v>1148.1536214968839</c:v>
                </c:pt>
                <c:pt idx="206">
                  <c:v>1174.8975549395295</c:v>
                </c:pt>
                <c:pt idx="207">
                  <c:v>1202.2644346174138</c:v>
                </c:pt>
                <c:pt idx="208">
                  <c:v>1230.2687708123824</c:v>
                </c:pt>
                <c:pt idx="209">
                  <c:v>1258.925411794168</c:v>
                </c:pt>
                <c:pt idx="210">
                  <c:v>1288.2495516931347</c:v>
                </c:pt>
                <c:pt idx="211">
                  <c:v>1318.2567385564089</c:v>
                </c:pt>
                <c:pt idx="212">
                  <c:v>1348.9628825916541</c:v>
                </c:pt>
                <c:pt idx="213">
                  <c:v>1380.3842646028863</c:v>
                </c:pt>
                <c:pt idx="214">
                  <c:v>1412.5375446227545</c:v>
                </c:pt>
                <c:pt idx="215">
                  <c:v>1445.4397707459289</c:v>
                </c:pt>
                <c:pt idx="216">
                  <c:v>1479.1083881682086</c:v>
                </c:pt>
                <c:pt idx="217">
                  <c:v>1513.5612484362093</c:v>
                </c:pt>
                <c:pt idx="218">
                  <c:v>1548.8166189124822</c:v>
                </c:pt>
                <c:pt idx="219">
                  <c:v>1584.8931924611156</c:v>
                </c:pt>
                <c:pt idx="220">
                  <c:v>1621.8100973589308</c:v>
                </c:pt>
                <c:pt idx="221">
                  <c:v>1659.5869074375626</c:v>
                </c:pt>
                <c:pt idx="222">
                  <c:v>1698.2436524617447</c:v>
                </c:pt>
                <c:pt idx="223">
                  <c:v>1737.8008287493772</c:v>
                </c:pt>
                <c:pt idx="224">
                  <c:v>1778.2794100389244</c:v>
                </c:pt>
                <c:pt idx="225">
                  <c:v>1819.7008586099832</c:v>
                </c:pt>
                <c:pt idx="226">
                  <c:v>1862.0871366628687</c:v>
                </c:pt>
                <c:pt idx="227">
                  <c:v>1905.4607179632501</c:v>
                </c:pt>
                <c:pt idx="228">
                  <c:v>1949.8445997580463</c:v>
                </c:pt>
                <c:pt idx="229">
                  <c:v>1995.2623149688804</c:v>
                </c:pt>
                <c:pt idx="230">
                  <c:v>2041.7379446695318</c:v>
                </c:pt>
                <c:pt idx="231">
                  <c:v>2089.2961308540398</c:v>
                </c:pt>
                <c:pt idx="232">
                  <c:v>2137.9620895022344</c:v>
                </c:pt>
                <c:pt idx="233">
                  <c:v>2187.7616239495528</c:v>
                </c:pt>
                <c:pt idx="234">
                  <c:v>2238.7211385683418</c:v>
                </c:pt>
                <c:pt idx="235">
                  <c:v>2290.8676527677749</c:v>
                </c:pt>
                <c:pt idx="236">
                  <c:v>2344.2288153199238</c:v>
                </c:pt>
                <c:pt idx="237">
                  <c:v>2398.8329190194918</c:v>
                </c:pt>
                <c:pt idx="238">
                  <c:v>2454.7089156850338</c:v>
                </c:pt>
                <c:pt idx="239">
                  <c:v>2511.8864315095811</c:v>
                </c:pt>
                <c:pt idx="240">
                  <c:v>2570.3957827688669</c:v>
                </c:pt>
                <c:pt idx="241">
                  <c:v>2630.2679918953822</c:v>
                </c:pt>
                <c:pt idx="242">
                  <c:v>2691.5348039269184</c:v>
                </c:pt>
                <c:pt idx="243">
                  <c:v>2754.228703338169</c:v>
                </c:pt>
                <c:pt idx="244">
                  <c:v>2818.3829312644561</c:v>
                </c:pt>
                <c:pt idx="245">
                  <c:v>2884.0315031266077</c:v>
                </c:pt>
                <c:pt idx="246">
                  <c:v>2951.2092266663876</c:v>
                </c:pt>
                <c:pt idx="247">
                  <c:v>3019.9517204020176</c:v>
                </c:pt>
                <c:pt idx="248">
                  <c:v>3090.295432513592</c:v>
                </c:pt>
                <c:pt idx="249">
                  <c:v>3162.2776601683804</c:v>
                </c:pt>
                <c:pt idx="250">
                  <c:v>3235.9365692962833</c:v>
                </c:pt>
                <c:pt idx="251">
                  <c:v>3311.3112148259115</c:v>
                </c:pt>
                <c:pt idx="252">
                  <c:v>3388.4415613920314</c:v>
                </c:pt>
                <c:pt idx="253">
                  <c:v>3467.3685045253224</c:v>
                </c:pt>
                <c:pt idx="254">
                  <c:v>3548.1338923357539</c:v>
                </c:pt>
                <c:pt idx="255">
                  <c:v>3630.7805477010188</c:v>
                </c:pt>
                <c:pt idx="256">
                  <c:v>3715.352290971724</c:v>
                </c:pt>
                <c:pt idx="257">
                  <c:v>3801.8939632056172</c:v>
                </c:pt>
                <c:pt idx="258">
                  <c:v>3890.451449942811</c:v>
                </c:pt>
                <c:pt idx="259">
                  <c:v>3981.0717055349769</c:v>
                </c:pt>
                <c:pt idx="260">
                  <c:v>4073.8027780411317</c:v>
                </c:pt>
                <c:pt idx="261">
                  <c:v>4168.6938347033583</c:v>
                </c:pt>
                <c:pt idx="262">
                  <c:v>4265.7951880159299</c:v>
                </c:pt>
                <c:pt idx="263">
                  <c:v>4365.1583224016631</c:v>
                </c:pt>
                <c:pt idx="264">
                  <c:v>4466.8359215096343</c:v>
                </c:pt>
                <c:pt idx="265">
                  <c:v>4570.8818961487532</c:v>
                </c:pt>
                <c:pt idx="266">
                  <c:v>4677.3514128719844</c:v>
                </c:pt>
                <c:pt idx="267">
                  <c:v>4786.3009232263848</c:v>
                </c:pt>
                <c:pt idx="268">
                  <c:v>4897.7881936844633</c:v>
                </c:pt>
                <c:pt idx="269">
                  <c:v>5011.8723362727324</c:v>
                </c:pt>
                <c:pt idx="270">
                  <c:v>5128.6138399136489</c:v>
                </c:pt>
                <c:pt idx="271">
                  <c:v>5248.0746024977261</c:v>
                </c:pt>
                <c:pt idx="272">
                  <c:v>5370.3179637025269</c:v>
                </c:pt>
                <c:pt idx="273">
                  <c:v>5495.4087385762541</c:v>
                </c:pt>
                <c:pt idx="274">
                  <c:v>5623.4132519034993</c:v>
                </c:pt>
                <c:pt idx="275">
                  <c:v>5754.399373371567</c:v>
                </c:pt>
                <c:pt idx="276">
                  <c:v>5888.4365535558973</c:v>
                </c:pt>
                <c:pt idx="277">
                  <c:v>6025.595860743585</c:v>
                </c:pt>
                <c:pt idx="278">
                  <c:v>6165.9500186148289</c:v>
                </c:pt>
                <c:pt idx="279">
                  <c:v>6309.5734448019384</c:v>
                </c:pt>
                <c:pt idx="280">
                  <c:v>6456.5422903465615</c:v>
                </c:pt>
                <c:pt idx="281">
                  <c:v>6606.9344800759654</c:v>
                </c:pt>
                <c:pt idx="282">
                  <c:v>6760.8297539198229</c:v>
                </c:pt>
                <c:pt idx="283">
                  <c:v>6918.3097091893687</c:v>
                </c:pt>
                <c:pt idx="284">
                  <c:v>7079.4578438413828</c:v>
                </c:pt>
                <c:pt idx="285">
                  <c:v>7244.3596007499036</c:v>
                </c:pt>
                <c:pt idx="286">
                  <c:v>7413.1024130091773</c:v>
                </c:pt>
                <c:pt idx="287">
                  <c:v>7585.7757502918394</c:v>
                </c:pt>
                <c:pt idx="288">
                  <c:v>7762.4711662869322</c:v>
                </c:pt>
                <c:pt idx="289">
                  <c:v>7943.2823472428154</c:v>
                </c:pt>
                <c:pt idx="290">
                  <c:v>8128.3051616410066</c:v>
                </c:pt>
                <c:pt idx="291">
                  <c:v>8317.6377110267094</c:v>
                </c:pt>
                <c:pt idx="292">
                  <c:v>8511.3803820237772</c:v>
                </c:pt>
                <c:pt idx="293">
                  <c:v>8709.6358995608189</c:v>
                </c:pt>
                <c:pt idx="294">
                  <c:v>8912.5093813374679</c:v>
                </c:pt>
                <c:pt idx="295">
                  <c:v>9120.1083935591087</c:v>
                </c:pt>
                <c:pt idx="296">
                  <c:v>9332.5430079699217</c:v>
                </c:pt>
                <c:pt idx="297">
                  <c:v>9549.9258602143691</c:v>
                </c:pt>
                <c:pt idx="298">
                  <c:v>9772.3722095581161</c:v>
                </c:pt>
                <c:pt idx="299">
                  <c:v>10000</c:v>
                </c:pt>
                <c:pt idx="300">
                  <c:v>10232.929922807549</c:v>
                </c:pt>
                <c:pt idx="301">
                  <c:v>10471.285480509003</c:v>
                </c:pt>
                <c:pt idx="302">
                  <c:v>10715.193052376071</c:v>
                </c:pt>
                <c:pt idx="303">
                  <c:v>10964.781961431856</c:v>
                </c:pt>
                <c:pt idx="304">
                  <c:v>11220.184543019639</c:v>
                </c:pt>
                <c:pt idx="305">
                  <c:v>11481.536214968832</c:v>
                </c:pt>
                <c:pt idx="306">
                  <c:v>11748.975549395318</c:v>
                </c:pt>
                <c:pt idx="307">
                  <c:v>12022.644346174151</c:v>
                </c:pt>
                <c:pt idx="308">
                  <c:v>12302.687708123816</c:v>
                </c:pt>
                <c:pt idx="309">
                  <c:v>12589.254117941671</c:v>
                </c:pt>
                <c:pt idx="310">
                  <c:v>12882.49551693136</c:v>
                </c:pt>
                <c:pt idx="311">
                  <c:v>13182.567385564091</c:v>
                </c:pt>
                <c:pt idx="312">
                  <c:v>13489.628825916556</c:v>
                </c:pt>
                <c:pt idx="313">
                  <c:v>13803.842646028841</c:v>
                </c:pt>
                <c:pt idx="314">
                  <c:v>14125.375446227561</c:v>
                </c:pt>
                <c:pt idx="315">
                  <c:v>14454.397707459291</c:v>
                </c:pt>
                <c:pt idx="316">
                  <c:v>14791.083881682089</c:v>
                </c:pt>
                <c:pt idx="317">
                  <c:v>15135.612484362096</c:v>
                </c:pt>
                <c:pt idx="318">
                  <c:v>15488.166189124853</c:v>
                </c:pt>
                <c:pt idx="319">
                  <c:v>15848.931924611146</c:v>
                </c:pt>
                <c:pt idx="320">
                  <c:v>16218.100973589309</c:v>
                </c:pt>
                <c:pt idx="321">
                  <c:v>16595.869074375616</c:v>
                </c:pt>
                <c:pt idx="322">
                  <c:v>16982.436524617482</c:v>
                </c:pt>
                <c:pt idx="323">
                  <c:v>17378.008287493791</c:v>
                </c:pt>
                <c:pt idx="324">
                  <c:v>17782.794100389234</c:v>
                </c:pt>
                <c:pt idx="325">
                  <c:v>18197.008586099837</c:v>
                </c:pt>
                <c:pt idx="326">
                  <c:v>18620.871366628675</c:v>
                </c:pt>
                <c:pt idx="327">
                  <c:v>19054.607179632505</c:v>
                </c:pt>
                <c:pt idx="328">
                  <c:v>19498.445997580486</c:v>
                </c:pt>
                <c:pt idx="329">
                  <c:v>19952.623149688792</c:v>
                </c:pt>
                <c:pt idx="330">
                  <c:v>20417.379446695286</c:v>
                </c:pt>
                <c:pt idx="331">
                  <c:v>20892.961308540423</c:v>
                </c:pt>
                <c:pt idx="332">
                  <c:v>21379.620895022348</c:v>
                </c:pt>
                <c:pt idx="333">
                  <c:v>21877.61623949555</c:v>
                </c:pt>
                <c:pt idx="334">
                  <c:v>22387.211385683382</c:v>
                </c:pt>
                <c:pt idx="335">
                  <c:v>22908.676527677751</c:v>
                </c:pt>
                <c:pt idx="336">
                  <c:v>23442.288153199243</c:v>
                </c:pt>
                <c:pt idx="337">
                  <c:v>23988.329190194923</c:v>
                </c:pt>
                <c:pt idx="338">
                  <c:v>24547.089156850321</c:v>
                </c:pt>
                <c:pt idx="339">
                  <c:v>25118.86431509586</c:v>
                </c:pt>
                <c:pt idx="340">
                  <c:v>25703.95782768865</c:v>
                </c:pt>
                <c:pt idx="341">
                  <c:v>26302.679918953829</c:v>
                </c:pt>
                <c:pt idx="342">
                  <c:v>26915.348039269167</c:v>
                </c:pt>
                <c:pt idx="343">
                  <c:v>27542.287033381719</c:v>
                </c:pt>
                <c:pt idx="344">
                  <c:v>28183.829312644593</c:v>
                </c:pt>
                <c:pt idx="345">
                  <c:v>28840.315031266062</c:v>
                </c:pt>
                <c:pt idx="346">
                  <c:v>29512.092266663854</c:v>
                </c:pt>
                <c:pt idx="347">
                  <c:v>30199.517204020212</c:v>
                </c:pt>
                <c:pt idx="348">
                  <c:v>30902.954325135954</c:v>
                </c:pt>
                <c:pt idx="349">
                  <c:v>31622.77660168384</c:v>
                </c:pt>
                <c:pt idx="350">
                  <c:v>32359.365692962871</c:v>
                </c:pt>
                <c:pt idx="351">
                  <c:v>33113.11214825909</c:v>
                </c:pt>
                <c:pt idx="352">
                  <c:v>33884.41561392029</c:v>
                </c:pt>
                <c:pt idx="353">
                  <c:v>34673.685045253202</c:v>
                </c:pt>
                <c:pt idx="354">
                  <c:v>35481.33892335758</c:v>
                </c:pt>
                <c:pt idx="355">
                  <c:v>36307.805477010232</c:v>
                </c:pt>
                <c:pt idx="356">
                  <c:v>37153.522909717351</c:v>
                </c:pt>
                <c:pt idx="357">
                  <c:v>38018.939632056143</c:v>
                </c:pt>
                <c:pt idx="358">
                  <c:v>38904.514499428085</c:v>
                </c:pt>
                <c:pt idx="359">
                  <c:v>39810.717055349742</c:v>
                </c:pt>
                <c:pt idx="360">
                  <c:v>40738.027780411358</c:v>
                </c:pt>
                <c:pt idx="361">
                  <c:v>41686.938347033625</c:v>
                </c:pt>
                <c:pt idx="362">
                  <c:v>42657.951880159271</c:v>
                </c:pt>
                <c:pt idx="363">
                  <c:v>43651.583224016598</c:v>
                </c:pt>
                <c:pt idx="364">
                  <c:v>44668.359215096389</c:v>
                </c:pt>
                <c:pt idx="365">
                  <c:v>45708.818961487581</c:v>
                </c:pt>
                <c:pt idx="366">
                  <c:v>46773.514128719893</c:v>
                </c:pt>
                <c:pt idx="367">
                  <c:v>47863.009232263823</c:v>
                </c:pt>
                <c:pt idx="368">
                  <c:v>48977.881936844598</c:v>
                </c:pt>
                <c:pt idx="369">
                  <c:v>50118.723362727294</c:v>
                </c:pt>
                <c:pt idx="370">
                  <c:v>51286.138399136544</c:v>
                </c:pt>
                <c:pt idx="371">
                  <c:v>52480.746024977314</c:v>
                </c:pt>
                <c:pt idx="372">
                  <c:v>53703.179637025423</c:v>
                </c:pt>
                <c:pt idx="373">
                  <c:v>54954.087385762505</c:v>
                </c:pt>
                <c:pt idx="374">
                  <c:v>56234.132519034953</c:v>
                </c:pt>
                <c:pt idx="375">
                  <c:v>57543.993733715732</c:v>
                </c:pt>
                <c:pt idx="376">
                  <c:v>58884.365535558936</c:v>
                </c:pt>
                <c:pt idx="377">
                  <c:v>60255.95860743591</c:v>
                </c:pt>
                <c:pt idx="378">
                  <c:v>61659.500186148245</c:v>
                </c:pt>
                <c:pt idx="379">
                  <c:v>63095.734448019342</c:v>
                </c:pt>
                <c:pt idx="380">
                  <c:v>64565.422903465682</c:v>
                </c:pt>
                <c:pt idx="381">
                  <c:v>66069.344800759733</c:v>
                </c:pt>
                <c:pt idx="382">
                  <c:v>67608.297539198305</c:v>
                </c:pt>
                <c:pt idx="383">
                  <c:v>69183.097091893651</c:v>
                </c:pt>
                <c:pt idx="384">
                  <c:v>70794.578438413781</c:v>
                </c:pt>
                <c:pt idx="385">
                  <c:v>72443.596007499116</c:v>
                </c:pt>
                <c:pt idx="386">
                  <c:v>74131.024130091857</c:v>
                </c:pt>
                <c:pt idx="387">
                  <c:v>75857.757502918481</c:v>
                </c:pt>
                <c:pt idx="388">
                  <c:v>77624.711662869129</c:v>
                </c:pt>
                <c:pt idx="389">
                  <c:v>79432.823472428237</c:v>
                </c:pt>
                <c:pt idx="390">
                  <c:v>81283.051616410012</c:v>
                </c:pt>
                <c:pt idx="391">
                  <c:v>83176.377110267174</c:v>
                </c:pt>
                <c:pt idx="392">
                  <c:v>85113.803820237721</c:v>
                </c:pt>
                <c:pt idx="393">
                  <c:v>87096.358995608127</c:v>
                </c:pt>
                <c:pt idx="394">
                  <c:v>89125.093813374609</c:v>
                </c:pt>
                <c:pt idx="395">
                  <c:v>91201.083935591028</c:v>
                </c:pt>
                <c:pt idx="396">
                  <c:v>93325.430079699145</c:v>
                </c:pt>
                <c:pt idx="397">
                  <c:v>95499.258602143804</c:v>
                </c:pt>
                <c:pt idx="398">
                  <c:v>97723.722095581266</c:v>
                </c:pt>
                <c:pt idx="399">
                  <c:v>100000</c:v>
                </c:pt>
                <c:pt idx="400">
                  <c:v>102329.29922807543</c:v>
                </c:pt>
                <c:pt idx="401">
                  <c:v>104712.85480508996</c:v>
                </c:pt>
                <c:pt idx="402">
                  <c:v>107151.93052376082</c:v>
                </c:pt>
                <c:pt idx="403">
                  <c:v>109647.81961431868</c:v>
                </c:pt>
                <c:pt idx="404">
                  <c:v>112201.84543019651</c:v>
                </c:pt>
                <c:pt idx="405">
                  <c:v>114815.36214968823</c:v>
                </c:pt>
                <c:pt idx="406">
                  <c:v>117489.75549395311</c:v>
                </c:pt>
                <c:pt idx="407">
                  <c:v>120226.44346174144</c:v>
                </c:pt>
                <c:pt idx="408">
                  <c:v>123026.87708123829</c:v>
                </c:pt>
                <c:pt idx="409">
                  <c:v>125892.54117941685</c:v>
                </c:pt>
                <c:pt idx="410">
                  <c:v>128824.95516931375</c:v>
                </c:pt>
                <c:pt idx="411">
                  <c:v>131825.67385564081</c:v>
                </c:pt>
                <c:pt idx="412">
                  <c:v>134896.28825916545</c:v>
                </c:pt>
                <c:pt idx="413">
                  <c:v>138038.42646028858</c:v>
                </c:pt>
                <c:pt idx="414">
                  <c:v>141253.75446227577</c:v>
                </c:pt>
                <c:pt idx="415">
                  <c:v>144543.97707459307</c:v>
                </c:pt>
                <c:pt idx="416">
                  <c:v>147910.83881682079</c:v>
                </c:pt>
                <c:pt idx="417">
                  <c:v>151356.12484362084</c:v>
                </c:pt>
                <c:pt idx="418">
                  <c:v>154881.66189124843</c:v>
                </c:pt>
                <c:pt idx="419">
                  <c:v>158489.31924611164</c:v>
                </c:pt>
                <c:pt idx="420">
                  <c:v>162181.00973589328</c:v>
                </c:pt>
                <c:pt idx="421">
                  <c:v>165958.69074375604</c:v>
                </c:pt>
                <c:pt idx="422">
                  <c:v>169824.36524617471</c:v>
                </c:pt>
                <c:pt idx="423">
                  <c:v>173780.0828749378</c:v>
                </c:pt>
                <c:pt idx="424">
                  <c:v>177827.94100389251</c:v>
                </c:pt>
                <c:pt idx="425">
                  <c:v>181970.08586099857</c:v>
                </c:pt>
                <c:pt idx="426">
                  <c:v>186208.71366628664</c:v>
                </c:pt>
                <c:pt idx="427">
                  <c:v>190546.07179632492</c:v>
                </c:pt>
                <c:pt idx="428">
                  <c:v>194984.45997580473</c:v>
                </c:pt>
                <c:pt idx="429">
                  <c:v>199526.23149688813</c:v>
                </c:pt>
                <c:pt idx="430">
                  <c:v>204173.79446695308</c:v>
                </c:pt>
                <c:pt idx="431">
                  <c:v>208929.61308540447</c:v>
                </c:pt>
                <c:pt idx="432">
                  <c:v>213796.20895022334</c:v>
                </c:pt>
                <c:pt idx="433">
                  <c:v>218776.16239495538</c:v>
                </c:pt>
                <c:pt idx="434">
                  <c:v>223872.11385683404</c:v>
                </c:pt>
                <c:pt idx="435">
                  <c:v>229086.76527677779</c:v>
                </c:pt>
                <c:pt idx="436">
                  <c:v>234422.88153199267</c:v>
                </c:pt>
                <c:pt idx="437">
                  <c:v>239883.29190194907</c:v>
                </c:pt>
                <c:pt idx="438">
                  <c:v>245470.89156850305</c:v>
                </c:pt>
                <c:pt idx="439">
                  <c:v>251188.64315095844</c:v>
                </c:pt>
                <c:pt idx="440">
                  <c:v>257039.57827688678</c:v>
                </c:pt>
                <c:pt idx="441">
                  <c:v>263026.79918953858</c:v>
                </c:pt>
                <c:pt idx="442">
                  <c:v>269153.48039269145</c:v>
                </c:pt>
                <c:pt idx="443">
                  <c:v>275422.87033381703</c:v>
                </c:pt>
                <c:pt idx="444">
                  <c:v>281838.29312644573</c:v>
                </c:pt>
                <c:pt idx="445">
                  <c:v>288403.1503126609</c:v>
                </c:pt>
                <c:pt idx="446">
                  <c:v>295120.92266663886</c:v>
                </c:pt>
                <c:pt idx="447">
                  <c:v>301995.17204020242</c:v>
                </c:pt>
                <c:pt idx="448">
                  <c:v>309029.54325135931</c:v>
                </c:pt>
                <c:pt idx="449">
                  <c:v>316227.7660168382</c:v>
                </c:pt>
                <c:pt idx="450">
                  <c:v>323593.65692962846</c:v>
                </c:pt>
                <c:pt idx="451">
                  <c:v>331131.12148259126</c:v>
                </c:pt>
                <c:pt idx="452">
                  <c:v>338844.15613920329</c:v>
                </c:pt>
                <c:pt idx="453">
                  <c:v>346736.85045253241</c:v>
                </c:pt>
                <c:pt idx="454">
                  <c:v>354813.38923357555</c:v>
                </c:pt>
                <c:pt idx="455">
                  <c:v>363078.05477010203</c:v>
                </c:pt>
                <c:pt idx="456">
                  <c:v>371535.2290971732</c:v>
                </c:pt>
                <c:pt idx="457">
                  <c:v>380189.39632056188</c:v>
                </c:pt>
                <c:pt idx="458">
                  <c:v>389045.14499428123</c:v>
                </c:pt>
                <c:pt idx="459">
                  <c:v>398107.17055349716</c:v>
                </c:pt>
                <c:pt idx="460">
                  <c:v>407380.27780411334</c:v>
                </c:pt>
                <c:pt idx="461">
                  <c:v>416869.38347033598</c:v>
                </c:pt>
                <c:pt idx="462">
                  <c:v>426579.51880159322</c:v>
                </c:pt>
                <c:pt idx="463">
                  <c:v>436515.83224016649</c:v>
                </c:pt>
                <c:pt idx="464">
                  <c:v>446683.59215096442</c:v>
                </c:pt>
                <c:pt idx="465">
                  <c:v>457088.18961487547</c:v>
                </c:pt>
                <c:pt idx="466">
                  <c:v>467735.14128719864</c:v>
                </c:pt>
                <c:pt idx="467">
                  <c:v>478630.09232263872</c:v>
                </c:pt>
                <c:pt idx="468">
                  <c:v>489778.81936844654</c:v>
                </c:pt>
                <c:pt idx="469">
                  <c:v>501187.23362727347</c:v>
                </c:pt>
                <c:pt idx="470">
                  <c:v>512861.38399136515</c:v>
                </c:pt>
                <c:pt idx="471">
                  <c:v>524807.46024977288</c:v>
                </c:pt>
                <c:pt idx="472">
                  <c:v>537031.7963702539</c:v>
                </c:pt>
                <c:pt idx="473">
                  <c:v>549540.87385762564</c:v>
                </c:pt>
                <c:pt idx="474">
                  <c:v>562341.32519035018</c:v>
                </c:pt>
                <c:pt idx="475">
                  <c:v>575439.93733715697</c:v>
                </c:pt>
                <c:pt idx="476">
                  <c:v>588843.65535558888</c:v>
                </c:pt>
                <c:pt idx="477">
                  <c:v>602559.58607435878</c:v>
                </c:pt>
                <c:pt idx="478">
                  <c:v>616595.00186148309</c:v>
                </c:pt>
                <c:pt idx="479">
                  <c:v>630957.34448019415</c:v>
                </c:pt>
                <c:pt idx="480">
                  <c:v>645654.22903465747</c:v>
                </c:pt>
                <c:pt idx="481">
                  <c:v>660693.44800759677</c:v>
                </c:pt>
                <c:pt idx="482">
                  <c:v>676082.97539198259</c:v>
                </c:pt>
                <c:pt idx="483">
                  <c:v>691830.97091893724</c:v>
                </c:pt>
                <c:pt idx="484">
                  <c:v>707945.78438413853</c:v>
                </c:pt>
                <c:pt idx="485">
                  <c:v>724435.96007499192</c:v>
                </c:pt>
                <c:pt idx="486">
                  <c:v>741310.24130091805</c:v>
                </c:pt>
                <c:pt idx="487">
                  <c:v>758577.57502918423</c:v>
                </c:pt>
                <c:pt idx="488">
                  <c:v>776247.11662869214</c:v>
                </c:pt>
                <c:pt idx="489">
                  <c:v>794328.23472428333</c:v>
                </c:pt>
                <c:pt idx="490">
                  <c:v>812830.51616410096</c:v>
                </c:pt>
                <c:pt idx="491">
                  <c:v>831763.77110267128</c:v>
                </c:pt>
                <c:pt idx="492">
                  <c:v>851138.03820237669</c:v>
                </c:pt>
                <c:pt idx="493">
                  <c:v>870963.58995608077</c:v>
                </c:pt>
                <c:pt idx="494">
                  <c:v>891250.93813374708</c:v>
                </c:pt>
                <c:pt idx="495">
                  <c:v>912010.83935591124</c:v>
                </c:pt>
                <c:pt idx="496">
                  <c:v>933254.30079699249</c:v>
                </c:pt>
                <c:pt idx="497">
                  <c:v>954992.58602143743</c:v>
                </c:pt>
                <c:pt idx="498">
                  <c:v>977237.22095581202</c:v>
                </c:pt>
                <c:pt idx="499">
                  <c:v>1000000</c:v>
                </c:pt>
                <c:pt idx="500">
                  <c:v>1023292.9922807553</c:v>
                </c:pt>
                <c:pt idx="501">
                  <c:v>1047128.5480509007</c:v>
                </c:pt>
                <c:pt idx="502">
                  <c:v>1071519.3052376076</c:v>
                </c:pt>
                <c:pt idx="503">
                  <c:v>1096478.196143186</c:v>
                </c:pt>
                <c:pt idx="504">
                  <c:v>1122018.4543019643</c:v>
                </c:pt>
                <c:pt idx="505">
                  <c:v>1148153.6214968837</c:v>
                </c:pt>
                <c:pt idx="506">
                  <c:v>1174897.5549395324</c:v>
                </c:pt>
                <c:pt idx="507">
                  <c:v>1202264.4346174158</c:v>
                </c:pt>
                <c:pt idx="508">
                  <c:v>1230268.770812382</c:v>
                </c:pt>
                <c:pt idx="509">
                  <c:v>1258925.4117941677</c:v>
                </c:pt>
                <c:pt idx="510">
                  <c:v>1288249.5516931366</c:v>
                </c:pt>
                <c:pt idx="511">
                  <c:v>1318256.7385564097</c:v>
                </c:pt>
                <c:pt idx="512">
                  <c:v>1348962.8825916562</c:v>
                </c:pt>
                <c:pt idx="513">
                  <c:v>1380384.2646028849</c:v>
                </c:pt>
                <c:pt idx="514">
                  <c:v>1412537.5446227565</c:v>
                </c:pt>
                <c:pt idx="515">
                  <c:v>1445439.7707459298</c:v>
                </c:pt>
                <c:pt idx="516">
                  <c:v>1479108.3881682095</c:v>
                </c:pt>
                <c:pt idx="517">
                  <c:v>1513561.2484362102</c:v>
                </c:pt>
                <c:pt idx="518">
                  <c:v>1548816.6189124861</c:v>
                </c:pt>
                <c:pt idx="519">
                  <c:v>1584893.1924611153</c:v>
                </c:pt>
                <c:pt idx="520">
                  <c:v>1621810.0973589318</c:v>
                </c:pt>
                <c:pt idx="521">
                  <c:v>1659586.9074375622</c:v>
                </c:pt>
                <c:pt idx="522">
                  <c:v>1698243.6524617488</c:v>
                </c:pt>
                <c:pt idx="523">
                  <c:v>1737800.8287493798</c:v>
                </c:pt>
                <c:pt idx="524">
                  <c:v>1778279.4100389241</c:v>
                </c:pt>
                <c:pt idx="525">
                  <c:v>1819700.8586099846</c:v>
                </c:pt>
                <c:pt idx="526">
                  <c:v>1862087.1366628683</c:v>
                </c:pt>
                <c:pt idx="527">
                  <c:v>1905460.7179632513</c:v>
                </c:pt>
                <c:pt idx="528">
                  <c:v>1949844.5997580495</c:v>
                </c:pt>
                <c:pt idx="529">
                  <c:v>1995262.31496888</c:v>
                </c:pt>
                <c:pt idx="530">
                  <c:v>2041737.9446695296</c:v>
                </c:pt>
                <c:pt idx="531">
                  <c:v>2089296.1308540432</c:v>
                </c:pt>
                <c:pt idx="532">
                  <c:v>2137962.0895022359</c:v>
                </c:pt>
                <c:pt idx="533">
                  <c:v>2187761.6239495561</c:v>
                </c:pt>
                <c:pt idx="534">
                  <c:v>2238721.1385683389</c:v>
                </c:pt>
                <c:pt idx="535">
                  <c:v>2290867.6527677765</c:v>
                </c:pt>
                <c:pt idx="536">
                  <c:v>2344228.8153199251</c:v>
                </c:pt>
                <c:pt idx="537">
                  <c:v>2398832.9190194933</c:v>
                </c:pt>
                <c:pt idx="538">
                  <c:v>2454708.915685033</c:v>
                </c:pt>
                <c:pt idx="539">
                  <c:v>2511886.431509587</c:v>
                </c:pt>
                <c:pt idx="540">
                  <c:v>2570395.782768866</c:v>
                </c:pt>
                <c:pt idx="541">
                  <c:v>2630267.9918953842</c:v>
                </c:pt>
              </c:numCache>
            </c:numRef>
          </c:xVal>
          <c:yVal>
            <c:numRef>
              <c:f>Loop_Modeling!$BM$19:$BM$560</c:f>
              <c:numCache>
                <c:formatCode>General</c:formatCode>
                <c:ptCount val="542"/>
                <c:pt idx="0">
                  <c:v>89.593722045699238</c:v>
                </c:pt>
                <c:pt idx="1">
                  <c:v>89.584260986976659</c:v>
                </c:pt>
                <c:pt idx="2">
                  <c:v>89.574579721390677</c:v>
                </c:pt>
                <c:pt idx="3">
                  <c:v>89.564673131783138</c:v>
                </c:pt>
                <c:pt idx="4">
                  <c:v>89.554535982668241</c:v>
                </c:pt>
                <c:pt idx="5">
                  <c:v>89.54416291753806</c:v>
                </c:pt>
                <c:pt idx="6">
                  <c:v>89.533548456110083</c:v>
                </c:pt>
                <c:pt idx="7">
                  <c:v>89.522686991514945</c:v>
                </c:pt>
                <c:pt idx="8">
                  <c:v>89.511572787424143</c:v>
                </c:pt>
                <c:pt idx="9">
                  <c:v>89.50019997511599</c:v>
                </c:pt>
                <c:pt idx="10">
                  <c:v>89.488562550479173</c:v>
                </c:pt>
                <c:pt idx="11">
                  <c:v>89.476654370952758</c:v>
                </c:pt>
                <c:pt idx="12">
                  <c:v>89.464469152401463</c:v>
                </c:pt>
                <c:pt idx="13">
                  <c:v>89.452000465925494</c:v>
                </c:pt>
                <c:pt idx="14">
                  <c:v>89.439241734603627</c:v>
                </c:pt>
                <c:pt idx="15">
                  <c:v>89.426186230168611</c:v>
                </c:pt>
                <c:pt idx="16">
                  <c:v>89.412827069614025</c:v>
                </c:pt>
                <c:pt idx="17">
                  <c:v>89.399157211731406</c:v>
                </c:pt>
                <c:pt idx="18">
                  <c:v>89.385169453576935</c:v>
                </c:pt>
                <c:pt idx="19">
                  <c:v>89.370856426866453</c:v>
                </c:pt>
                <c:pt idx="20">
                  <c:v>89.356210594298318</c:v>
                </c:pt>
                <c:pt idx="21">
                  <c:v>89.341224245802835</c:v>
                </c:pt>
                <c:pt idx="22">
                  <c:v>89.325889494717572</c:v>
                </c:pt>
                <c:pt idx="23">
                  <c:v>89.310198273888076</c:v>
                </c:pt>
                <c:pt idx="24">
                  <c:v>89.294142331692697</c:v>
                </c:pt>
                <c:pt idx="25">
                  <c:v>89.277713227991299</c:v>
                </c:pt>
                <c:pt idx="26">
                  <c:v>89.260902329997108</c:v>
                </c:pt>
                <c:pt idx="27">
                  <c:v>89.243700808070983</c:v>
                </c:pt>
                <c:pt idx="28">
                  <c:v>89.226099631437947</c:v>
                </c:pt>
                <c:pt idx="29">
                  <c:v>89.208089563825297</c:v>
                </c:pt>
                <c:pt idx="30">
                  <c:v>89.189661159022194</c:v>
                </c:pt>
                <c:pt idx="31">
                  <c:v>89.170804756360283</c:v>
                </c:pt>
                <c:pt idx="32">
                  <c:v>89.151510476115604</c:v>
                </c:pt>
                <c:pt idx="33">
                  <c:v>89.131768214831638</c:v>
                </c:pt>
                <c:pt idx="34">
                  <c:v>89.111567640563365</c:v>
                </c:pt>
                <c:pt idx="35">
                  <c:v>89.090898188043369</c:v>
                </c:pt>
                <c:pt idx="36">
                  <c:v>89.069749053769542</c:v>
                </c:pt>
                <c:pt idx="37">
                  <c:v>89.048109191015897</c:v>
                </c:pt>
                <c:pt idx="38">
                  <c:v>89.02596730476661</c:v>
                </c:pt>
                <c:pt idx="39">
                  <c:v>89.003311846574704</c:v>
                </c:pt>
                <c:pt idx="40">
                  <c:v>88.980131009346593</c:v>
                </c:pt>
                <c:pt idx="41">
                  <c:v>88.956412722053798</c:v>
                </c:pt>
                <c:pt idx="42">
                  <c:v>88.932144644373693</c:v>
                </c:pt>
                <c:pt idx="43">
                  <c:v>88.907314161261354</c:v>
                </c:pt>
                <c:pt idx="44">
                  <c:v>88.881908377454693</c:v>
                </c:pt>
                <c:pt idx="45">
                  <c:v>88.855914111915538</c:v>
                </c:pt>
                <c:pt idx="46">
                  <c:v>88.82931789221</c:v>
                </c:pt>
                <c:pt idx="47">
                  <c:v>88.802105948830842</c:v>
                </c:pt>
                <c:pt idx="48">
                  <c:v>88.77426420946648</c:v>
                </c:pt>
                <c:pt idx="49">
                  <c:v>88.745778293220056</c:v>
                </c:pt>
                <c:pt idx="50">
                  <c:v>88.716633504783914</c:v>
                </c:pt>
                <c:pt idx="51">
                  <c:v>88.686814828574313</c:v>
                </c:pt>
                <c:pt idx="52">
                  <c:v>88.656306922832613</c:v>
                </c:pt>
                <c:pt idx="53">
                  <c:v>88.625094113698552</c:v>
                </c:pt>
                <c:pt idx="54">
                  <c:v>88.593160389263645</c:v>
                </c:pt>
                <c:pt idx="55">
                  <c:v>88.560489393611533</c:v>
                </c:pt>
                <c:pt idx="56">
                  <c:v>88.527064420854217</c:v>
                </c:pt>
                <c:pt idx="57">
                  <c:v>88.492868409173326</c:v>
                </c:pt>
                <c:pt idx="58">
                  <c:v>88.457883934876378</c:v>
                </c:pt>
                <c:pt idx="59">
                  <c:v>88.422093206479175</c:v>
                </c:pt>
                <c:pt idx="60">
                  <c:v>88.385478058826337</c:v>
                </c:pt>
                <c:pt idx="61">
                  <c:v>88.348019947262685</c:v>
                </c:pt>
                <c:pt idx="62">
                  <c:v>88.309699941870207</c:v>
                </c:pt>
                <c:pt idx="63">
                  <c:v>88.27049872178506</c:v>
                </c:pt>
                <c:pt idx="64">
                  <c:v>88.230396569612225</c:v>
                </c:pt>
                <c:pt idx="65">
                  <c:v>88.189373365954964</c:v>
                </c:pt>
                <c:pt idx="66">
                  <c:v>88.147408584078804</c:v>
                </c:pt>
                <c:pt idx="67">
                  <c:v>88.104481284731293</c:v>
                </c:pt>
                <c:pt idx="68">
                  <c:v>88.060570111139739</c:v>
                </c:pt>
                <c:pt idx="69">
                  <c:v>88.015653284211425</c:v>
                </c:pt>
                <c:pt idx="70">
                  <c:v>87.969708597962892</c:v>
                </c:pt>
                <c:pt idx="71">
                  <c:v>87.922713415206374</c:v>
                </c:pt>
                <c:pt idx="72">
                  <c:v>87.874644663523654</c:v>
                </c:pt>
                <c:pt idx="73">
                  <c:v>87.825478831560545</c:v>
                </c:pt>
                <c:pt idx="74">
                  <c:v>87.77519196567637</c:v>
                </c:pt>
                <c:pt idx="75">
                  <c:v>87.723759666987263</c:v>
                </c:pt>
                <c:pt idx="76">
                  <c:v>87.671157088842179</c:v>
                </c:pt>
                <c:pt idx="77">
                  <c:v>87.617358934776547</c:v>
                </c:pt>
                <c:pt idx="78">
                  <c:v>87.562339456988497</c:v>
                </c:pt>
                <c:pt idx="79">
                  <c:v>87.506072455388349</c:v>
                </c:pt>
                <c:pt idx="80">
                  <c:v>87.448531277273887</c:v>
                </c:pt>
                <c:pt idx="81">
                  <c:v>87.389688817687784</c:v>
                </c:pt>
                <c:pt idx="82">
                  <c:v>87.329517520518522</c:v>
                </c:pt>
                <c:pt idx="83">
                  <c:v>87.267989380408622</c:v>
                </c:pt>
                <c:pt idx="84">
                  <c:v>87.205075945539022</c:v>
                </c:pt>
                <c:pt idx="85">
                  <c:v>87.14074832136329</c:v>
                </c:pt>
                <c:pt idx="86">
                  <c:v>87.07497717536944</c:v>
                </c:pt>
                <c:pt idx="87">
                  <c:v>87.007732742951987</c:v>
                </c:pt>
                <c:pt idx="88">
                  <c:v>86.938984834482611</c:v>
                </c:pt>
                <c:pt idx="89">
                  <c:v>86.868702843673518</c:v>
                </c:pt>
                <c:pt idx="90">
                  <c:v>86.796855757331826</c:v>
                </c:pt>
                <c:pt idx="91">
                  <c:v>86.723412166610544</c:v>
                </c:pt>
                <c:pt idx="92">
                  <c:v>86.648340279867909</c:v>
                </c:pt>
                <c:pt idx="93">
                  <c:v>86.57160793725221</c:v>
                </c:pt>
                <c:pt idx="94">
                  <c:v>86.493182627137429</c:v>
                </c:pt>
                <c:pt idx="95">
                  <c:v>86.413031504540271</c:v>
                </c:pt>
                <c:pt idx="96">
                  <c:v>86.331121411657648</c:v>
                </c:pt>
                <c:pt idx="97">
                  <c:v>86.247418900670496</c:v>
                </c:pt>
                <c:pt idx="98">
                  <c:v>86.161890258967603</c:v>
                </c:pt>
                <c:pt idx="99">
                  <c:v>86.074501536950038</c:v>
                </c:pt>
                <c:pt idx="100">
                  <c:v>85.985218578585787</c:v>
                </c:pt>
                <c:pt idx="101">
                  <c:v>85.894007054892697</c:v>
                </c:pt>
                <c:pt idx="102">
                  <c:v>85.800832500532223</c:v>
                </c:pt>
                <c:pt idx="103">
                  <c:v>85.705660353711167</c:v>
                </c:pt>
                <c:pt idx="104">
                  <c:v>85.608455999590134</c:v>
                </c:pt>
                <c:pt idx="105">
                  <c:v>85.509184817408823</c:v>
                </c:pt>
                <c:pt idx="106">
                  <c:v>85.407812231547354</c:v>
                </c:pt>
                <c:pt idx="107">
                  <c:v>85.304303766747097</c:v>
                </c:pt>
                <c:pt idx="108">
                  <c:v>85.19862510772515</c:v>
                </c:pt>
                <c:pt idx="109">
                  <c:v>85.090742163421581</c:v>
                </c:pt>
                <c:pt idx="110">
                  <c:v>84.980621136125919</c:v>
                </c:pt>
                <c:pt idx="111">
                  <c:v>84.868228595736255</c:v>
                </c:pt>
                <c:pt idx="112">
                  <c:v>84.753531559407193</c:v>
                </c:pt>
                <c:pt idx="113">
                  <c:v>84.636497576849038</c:v>
                </c:pt>
                <c:pt idx="114">
                  <c:v>84.517094821543253</c:v>
                </c:pt>
                <c:pt idx="115">
                  <c:v>84.395292188140516</c:v>
                </c:pt>
                <c:pt idx="116">
                  <c:v>84.271059396309582</c:v>
                </c:pt>
                <c:pt idx="117">
                  <c:v>84.144367101300773</c:v>
                </c:pt>
                <c:pt idx="118">
                  <c:v>84.015187011489004</c:v>
                </c:pt>
                <c:pt idx="119">
                  <c:v>83.883492013151411</c:v>
                </c:pt>
                <c:pt idx="120">
                  <c:v>83.749256302729393</c:v>
                </c:pt>
                <c:pt idx="121">
                  <c:v>83.61245552681352</c:v>
                </c:pt>
                <c:pt idx="122">
                  <c:v>83.473066930074154</c:v>
                </c:pt>
                <c:pt idx="123">
                  <c:v>83.331069511345618</c:v>
                </c:pt>
                <c:pt idx="124">
                  <c:v>83.186444188048952</c:v>
                </c:pt>
                <c:pt idx="125">
                  <c:v>83.039173969112383</c:v>
                </c:pt>
                <c:pt idx="126">
                  <c:v>82.889244136519821</c:v>
                </c:pt>
                <c:pt idx="127">
                  <c:v>82.736642435581828</c:v>
                </c:pt>
                <c:pt idx="128">
                  <c:v>82.581359273982201</c:v>
                </c:pt>
                <c:pt idx="129">
                  <c:v>82.423387929607856</c:v>
                </c:pt>
                <c:pt idx="130">
                  <c:v>82.262724767117717</c:v>
                </c:pt>
                <c:pt idx="131">
                  <c:v>82.099369463144171</c:v>
                </c:pt>
                <c:pt idx="132">
                  <c:v>81.933325239956957</c:v>
                </c:pt>
                <c:pt idx="133">
                  <c:v>81.764599107345433</c:v>
                </c:pt>
                <c:pt idx="134">
                  <c:v>81.593202112391779</c:v>
                </c:pt>
                <c:pt idx="135">
                  <c:v>81.419149596720018</c:v>
                </c:pt>
                <c:pt idx="136">
                  <c:v>81.242461460708171</c:v>
                </c:pt>
                <c:pt idx="137">
                  <c:v>81.063162434042624</c:v>
                </c:pt>
                <c:pt idx="138">
                  <c:v>80.881282351885275</c:v>
                </c:pt>
                <c:pt idx="139">
                  <c:v>80.696856435792029</c:v>
                </c:pt>
                <c:pt idx="140">
                  <c:v>80.509925578401479</c:v>
                </c:pt>
                <c:pt idx="141">
                  <c:v>80.320536630765389</c:v>
                </c:pt>
                <c:pt idx="142">
                  <c:v>80.128742691052665</c:v>
                </c:pt>
                <c:pt idx="143">
                  <c:v>79.934603393202906</c:v>
                </c:pt>
                <c:pt idx="144">
                  <c:v>79.738185193948965</c:v>
                </c:pt>
                <c:pt idx="145">
                  <c:v>79.539561656466802</c:v>
                </c:pt>
                <c:pt idx="146">
                  <c:v>79.338813728741201</c:v>
                </c:pt>
                <c:pt idx="147">
                  <c:v>79.136030014573095</c:v>
                </c:pt>
                <c:pt idx="148">
                  <c:v>78.931307034981913</c:v>
                </c:pt>
                <c:pt idx="149">
                  <c:v>78.724749477595282</c:v>
                </c:pt>
                <c:pt idx="150">
                  <c:v>78.51647043145536</c:v>
                </c:pt>
                <c:pt idx="151">
                  <c:v>78.306591604514935</c:v>
                </c:pt>
                <c:pt idx="152">
                  <c:v>78.095243520960679</c:v>
                </c:pt>
                <c:pt idx="153">
                  <c:v>77.882565695357457</c:v>
                </c:pt>
                <c:pt idx="154">
                  <c:v>77.668706780510675</c:v>
                </c:pt>
                <c:pt idx="155">
                  <c:v>77.453824685829233</c:v>
                </c:pt>
                <c:pt idx="156">
                  <c:v>77.238086662922569</c:v>
                </c:pt>
                <c:pt idx="157">
                  <c:v>77.021669355101068</c:v>
                </c:pt>
                <c:pt idx="158">
                  <c:v>76.804758807456224</c:v>
                </c:pt>
                <c:pt idx="159">
                  <c:v>76.587550434205937</c:v>
                </c:pt>
                <c:pt idx="160">
                  <c:v>76.370248940058275</c:v>
                </c:pt>
                <c:pt idx="161">
                  <c:v>76.153068192449297</c:v>
                </c:pt>
                <c:pt idx="162">
                  <c:v>75.936231041657294</c:v>
                </c:pt>
                <c:pt idx="163">
                  <c:v>75.719969085992616</c:v>
                </c:pt>
                <c:pt idx="164">
                  <c:v>75.50452237950698</c:v>
                </c:pt>
                <c:pt idx="165">
                  <c:v>75.290139079964092</c:v>
                </c:pt>
                <c:pt idx="166">
                  <c:v>75.077075035156597</c:v>
                </c:pt>
                <c:pt idx="167">
                  <c:v>74.865593306064895</c:v>
                </c:pt>
                <c:pt idx="168">
                  <c:v>74.655963625791529</c:v>
                </c:pt>
                <c:pt idx="169">
                  <c:v>74.44846179371811</c:v>
                </c:pt>
                <c:pt idx="170">
                  <c:v>74.243369004864903</c:v>
                </c:pt>
                <c:pt idx="171">
                  <c:v>74.040971115038076</c:v>
                </c:pt>
                <c:pt idx="172">
                  <c:v>73.841557842954288</c:v>
                </c:pt>
                <c:pt idx="173">
                  <c:v>73.645421911208913</c:v>
                </c:pt>
                <c:pt idx="174">
                  <c:v>73.452858128616327</c:v>
                </c:pt>
                <c:pt idx="175">
                  <c:v>73.26416241716143</c:v>
                </c:pt>
                <c:pt idx="176">
                  <c:v>73.07963078748476</c:v>
                </c:pt>
                <c:pt idx="177">
                  <c:v>72.899558267541423</c:v>
                </c:pt>
                <c:pt idx="178">
                  <c:v>72.724237789740258</c:v>
                </c:pt>
                <c:pt idx="179">
                  <c:v>72.553959042540953</c:v>
                </c:pt>
                <c:pt idx="180">
                  <c:v>72.389007293107596</c:v>
                </c:pt>
                <c:pt idx="181">
                  <c:v>72.22966218819559</c:v>
                </c:pt>
                <c:pt idx="182">
                  <c:v>72.076196540970713</c:v>
                </c:pt>
                <c:pt idx="183">
                  <c:v>71.928875111915914</c:v>
                </c:pt>
                <c:pt idx="184">
                  <c:v>71.787953392358872</c:v>
                </c:pt>
                <c:pt idx="185">
                  <c:v>71.653676399449566</c:v>
                </c:pt>
                <c:pt idx="186">
                  <c:v>71.526277491617662</c:v>
                </c:pt>
                <c:pt idx="187">
                  <c:v>71.405977213645784</c:v>
                </c:pt>
                <c:pt idx="188">
                  <c:v>71.292982180493709</c:v>
                </c:pt>
                <c:pt idx="189">
                  <c:v>71.187484008911852</c:v>
                </c:pt>
                <c:pt idx="190">
                  <c:v>71.08965830565586</c:v>
                </c:pt>
                <c:pt idx="191">
                  <c:v>70.999663720816059</c:v>
                </c:pt>
                <c:pt idx="192">
                  <c:v>70.917641074330362</c:v>
                </c:pt>
                <c:pt idx="193">
                  <c:v>70.84371256324421</c:v>
                </c:pt>
                <c:pt idx="194">
                  <c:v>70.777981056642389</c:v>
                </c:pt>
                <c:pt idx="195">
                  <c:v>70.720529484485795</c:v>
                </c:pt>
                <c:pt idx="196">
                  <c:v>70.671420325772672</c:v>
                </c:pt>
                <c:pt idx="197">
                  <c:v>70.630695200610063</c:v>
                </c:pt>
                <c:pt idx="198">
                  <c:v>70.598374569833325</c:v>
                </c:pt>
                <c:pt idx="199">
                  <c:v>70.574457544856458</c:v>
                </c:pt>
                <c:pt idx="200">
                  <c:v>70.558921809431013</c:v>
                </c:pt>
                <c:pt idx="201">
                  <c:v>70.551723653956401</c:v>
                </c:pt>
                <c:pt idx="202">
                  <c:v>70.552798121948939</c:v>
                </c:pt>
                <c:pt idx="203">
                  <c:v>70.562059267255748</c:v>
                </c:pt>
                <c:pt idx="204">
                  <c:v>70.579400519575543</c:v>
                </c:pt>
                <c:pt idx="205">
                  <c:v>70.604695154871493</c:v>
                </c:pt>
                <c:pt idx="206">
                  <c:v>70.637796866331698</c:v>
                </c:pt>
                <c:pt idx="207">
                  <c:v>70.678540430647047</c:v>
                </c:pt>
                <c:pt idx="208">
                  <c:v>70.726742463571156</c:v>
                </c:pt>
                <c:pt idx="209">
                  <c:v>70.782202257995024</c:v>
                </c:pt>
                <c:pt idx="210">
                  <c:v>70.844702697120724</c:v>
                </c:pt>
                <c:pt idx="211">
                  <c:v>70.914011234775288</c:v>
                </c:pt>
                <c:pt idx="212">
                  <c:v>70.989880934450753</c:v>
                </c:pt>
                <c:pt idx="213">
                  <c:v>71.072051558309468</c:v>
                </c:pt>
                <c:pt idx="214">
                  <c:v>71.160250697162553</c:v>
                </c:pt>
                <c:pt idx="215">
                  <c:v>71.254194932288101</c:v>
                </c:pt>
                <c:pt idx="216">
                  <c:v>71.353591019936957</c:v>
                </c:pt>
                <c:pt idx="217">
                  <c:v>71.45813708945137</c:v>
                </c:pt>
                <c:pt idx="218">
                  <c:v>71.567523846096663</c:v>
                </c:pt>
                <c:pt idx="219">
                  <c:v>71.681435769982798</c:v>
                </c:pt>
                <c:pt idx="220">
                  <c:v>71.799552302804017</c:v>
                </c:pt>
                <c:pt idx="221">
                  <c:v>71.921549014572378</c:v>
                </c:pt>
                <c:pt idx="222">
                  <c:v>72.047098743008632</c:v>
                </c:pt>
                <c:pt idx="223">
                  <c:v>72.175872698844515</c:v>
                </c:pt>
                <c:pt idx="224">
                  <c:v>72.30754153087625</c:v>
                </c:pt>
                <c:pt idx="225">
                  <c:v>72.441776345285191</c:v>
                </c:pt>
                <c:pt idx="226">
                  <c:v>72.578249674402642</c:v>
                </c:pt>
                <c:pt idx="227">
                  <c:v>72.716636390803245</c:v>
                </c:pt>
                <c:pt idx="228">
                  <c:v>72.856614563305428</c:v>
                </c:pt>
                <c:pt idx="229">
                  <c:v>72.997866252154665</c:v>
                </c:pt>
                <c:pt idx="230">
                  <c:v>73.140078241359049</c:v>
                </c:pt>
                <c:pt idx="231">
                  <c:v>73.282942706792653</c:v>
                </c:pt>
                <c:pt idx="232">
                  <c:v>73.426157819330328</c:v>
                </c:pt>
                <c:pt idx="233">
                  <c:v>73.569428282872906</c:v>
                </c:pt>
                <c:pt idx="234">
                  <c:v>73.712465807668124</c:v>
                </c:pt>
                <c:pt idx="235">
                  <c:v>73.854989519862471</c:v>
                </c:pt>
                <c:pt idx="236">
                  <c:v>73.996726308669466</c:v>
                </c:pt>
                <c:pt idx="237">
                  <c:v>74.13741111295748</c:v>
                </c:pt>
                <c:pt idx="238">
                  <c:v>74.276787149425644</c:v>
                </c:pt>
                <c:pt idx="239">
                  <c:v>74.414606084837317</c:v>
                </c:pt>
                <c:pt idx="240">
                  <c:v>74.550628155048543</c:v>
                </c:pt>
                <c:pt idx="241">
                  <c:v>74.684622233769389</c:v>
                </c:pt>
                <c:pt idx="242">
                  <c:v>74.816365854160878</c:v>
                </c:pt>
                <c:pt idx="243">
                  <c:v>74.945645186479595</c:v>
                </c:pt>
                <c:pt idx="244">
                  <c:v>75.072254975059863</c:v>
                </c:pt>
                <c:pt idx="245">
                  <c:v>75.195998437949754</c:v>
                </c:pt>
                <c:pt idx="246">
                  <c:v>75.316687132517558</c:v>
                </c:pt>
                <c:pt idx="247">
                  <c:v>75.434140790307552</c:v>
                </c:pt>
                <c:pt idx="248">
                  <c:v>75.548187124363622</c:v>
                </c:pt>
                <c:pt idx="249">
                  <c:v>75.658661612142126</c:v>
                </c:pt>
                <c:pt idx="250">
                  <c:v>75.765407257038532</c:v>
                </c:pt>
                <c:pt idx="251">
                  <c:v>75.868274331415734</c:v>
                </c:pt>
                <c:pt idx="252">
                  <c:v>75.967120103883758</c:v>
                </c:pt>
                <c:pt idx="253">
                  <c:v>76.061808553431845</c:v>
                </c:pt>
                <c:pt idx="254">
                  <c:v>76.152210072852668</c:v>
                </c:pt>
                <c:pt idx="255">
                  <c:v>76.238201163730324</c:v>
                </c:pt>
                <c:pt idx="256">
                  <c:v>76.319664125107479</c:v>
                </c:pt>
                <c:pt idx="257">
                  <c:v>76.396486737764718</c:v>
                </c:pt>
                <c:pt idx="258">
                  <c:v>76.468561945889633</c:v>
                </c:pt>
                <c:pt idx="259">
                  <c:v>76.535787537748419</c:v>
                </c:pt>
                <c:pt idx="260">
                  <c:v>76.598065826807797</c:v>
                </c:pt>
                <c:pt idx="261">
                  <c:v>76.655303334607069</c:v>
                </c:pt>
                <c:pt idx="262">
                  <c:v>76.707410476534207</c:v>
                </c:pt>
                <c:pt idx="263">
                  <c:v>76.754301251512175</c:v>
                </c:pt>
                <c:pt idx="264">
                  <c:v>76.79589293647912</c:v>
                </c:pt>
                <c:pt idx="265">
                  <c:v>76.832105786415823</c:v>
                </c:pt>
                <c:pt idx="266">
                  <c:v>76.862862740559919</c:v>
                </c:pt>
                <c:pt idx="267">
                  <c:v>76.888089135337694</c:v>
                </c:pt>
                <c:pt idx="268">
                  <c:v>76.907712424450978</c:v>
                </c:pt>
                <c:pt idx="269">
                  <c:v>76.921661906456464</c:v>
                </c:pt>
                <c:pt idx="270">
                  <c:v>76.929868460101346</c:v>
                </c:pt>
                <c:pt idx="271">
                  <c:v>76.932264287600745</c:v>
                </c:pt>
                <c:pt idx="272">
                  <c:v>76.928782665976343</c:v>
                </c:pt>
                <c:pt idx="273">
                  <c:v>76.919357706513338</c:v>
                </c:pt>
                <c:pt idx="274">
                  <c:v>76.903924122347803</c:v>
                </c:pt>
                <c:pt idx="275">
                  <c:v>76.882417004141246</c:v>
                </c:pt>
                <c:pt idx="276">
                  <c:v>76.854771603766423</c:v>
                </c:pt>
                <c:pt idx="277">
                  <c:v>76.820923125891085</c:v>
                </c:pt>
                <c:pt idx="278">
                  <c:v>76.780806527319129</c:v>
                </c:pt>
                <c:pt idx="279">
                  <c:v>76.7343563239247</c:v>
                </c:pt>
                <c:pt idx="280">
                  <c:v>76.681506404995545</c:v>
                </c:pt>
                <c:pt idx="281">
                  <c:v>76.622189854790577</c:v>
                </c:pt>
                <c:pt idx="282">
                  <c:v>76.556338781099228</c:v>
                </c:pt>
                <c:pt idx="283">
                  <c:v>76.483884150593425</c:v>
                </c:pt>
                <c:pt idx="284">
                  <c:v>76.404755630750287</c:v>
                </c:pt>
                <c:pt idx="285">
                  <c:v>76.318881438130816</c:v>
                </c:pt>
                <c:pt idx="286">
                  <c:v>76.226188192796215</c:v>
                </c:pt>
                <c:pt idx="287">
                  <c:v>76.126600778657846</c:v>
                </c:pt>
                <c:pt idx="288">
                  <c:v>76.020042209553495</c:v>
                </c:pt>
                <c:pt idx="289">
                  <c:v>75.906433500864537</c:v>
                </c:pt>
                <c:pt idx="290">
                  <c:v>75.785693546494556</c:v>
                </c:pt>
                <c:pt idx="291">
                  <c:v>75.657739001044547</c:v>
                </c:pt>
                <c:pt idx="292">
                  <c:v>75.522484167041554</c:v>
                </c:pt>
                <c:pt idx="293">
                  <c:v>75.379840887092996</c:v>
                </c:pt>
                <c:pt idx="294">
                  <c:v>75.22971844085825</c:v>
                </c:pt>
                <c:pt idx="295">
                  <c:v>75.072023446754955</c:v>
                </c:pt>
                <c:pt idx="296">
                  <c:v>74.906659768340987</c:v>
                </c:pt>
                <c:pt idx="297">
                  <c:v>74.733528425337255</c:v>
                </c:pt>
                <c:pt idx="298">
                  <c:v>74.552527509283962</c:v>
                </c:pt>
                <c:pt idx="299">
                  <c:v>74.363552103859931</c:v>
                </c:pt>
                <c:pt idx="300">
                  <c:v>74.166494209912642</c:v>
                </c:pt>
                <c:pt idx="301">
                  <c:v>73.961242675293391</c:v>
                </c:pt>
                <c:pt idx="302">
                  <c:v>73.747683129619006</c:v>
                </c:pt>
                <c:pt idx="303">
                  <c:v>73.525697924121246</c:v>
                </c:pt>
                <c:pt idx="304">
                  <c:v>73.295166076783119</c:v>
                </c:pt>
                <c:pt idx="305">
                  <c:v>73.055963223003388</c:v>
                </c:pt>
                <c:pt idx="306">
                  <c:v>72.807961572072713</c:v>
                </c:pt>
                <c:pt idx="307">
                  <c:v>72.551029869786802</c:v>
                </c:pt>
                <c:pt idx="308">
                  <c:v>72.285033367574997</c:v>
                </c:pt>
                <c:pt idx="309">
                  <c:v>72.009833798563207</c:v>
                </c:pt>
                <c:pt idx="310">
                  <c:v>71.725289361045455</c:v>
                </c:pt>
                <c:pt idx="311">
                  <c:v>71.431254709887483</c:v>
                </c:pt>
                <c:pt idx="312">
                  <c:v>71.127580956440909</c:v>
                </c:pt>
                <c:pt idx="313">
                  <c:v>70.814115677597698</c:v>
                </c:pt>
                <c:pt idx="314">
                  <c:v>70.490702934672143</c:v>
                </c:pt>
                <c:pt idx="315">
                  <c:v>70.157183302852474</c:v>
                </c:pt>
                <c:pt idx="316">
                  <c:v>69.813393912021183</c:v>
                </c:pt>
                <c:pt idx="317">
                  <c:v>69.459168499796576</c:v>
                </c:pt>
                <c:pt idx="318">
                  <c:v>69.094337477705949</c:v>
                </c:pt>
                <c:pt idx="319">
                  <c:v>68.718728011453322</c:v>
                </c:pt>
                <c:pt idx="320">
                  <c:v>68.332164116291935</c:v>
                </c:pt>
                <c:pt idx="321">
                  <c:v>67.934466768571852</c:v>
                </c:pt>
                <c:pt idx="322">
                  <c:v>67.5254540345599</c:v>
                </c:pt>
                <c:pt idx="323">
                  <c:v>67.104941217687909</c:v>
                </c:pt>
                <c:pt idx="324">
                  <c:v>66.672741025404221</c:v>
                </c:pt>
                <c:pt idx="325">
                  <c:v>66.228663756841371</c:v>
                </c:pt>
                <c:pt idx="326">
                  <c:v>65.772517512520523</c:v>
                </c:pt>
                <c:pt idx="327">
                  <c:v>65.304108427334086</c:v>
                </c:pt>
                <c:pt idx="328">
                  <c:v>64.823240928037663</c:v>
                </c:pt>
                <c:pt idx="329">
                  <c:v>64.329718016467055</c:v>
                </c:pt>
                <c:pt idx="330">
                  <c:v>63.823341579677049</c:v>
                </c:pt>
                <c:pt idx="331">
                  <c:v>63.303912728143608</c:v>
                </c:pt>
                <c:pt idx="332">
                  <c:v>62.77123216312134</c:v>
                </c:pt>
                <c:pt idx="333">
                  <c:v>62.225100574155832</c:v>
                </c:pt>
                <c:pt idx="334">
                  <c:v>61.665319067673003</c:v>
                </c:pt>
                <c:pt idx="335">
                  <c:v>61.091689627427556</c:v>
                </c:pt>
                <c:pt idx="336">
                  <c:v>60.504015607471381</c:v>
                </c:pt>
                <c:pt idx="337">
                  <c:v>59.902102258125964</c:v>
                </c:pt>
                <c:pt idx="338">
                  <c:v>59.285757285275253</c:v>
                </c:pt>
                <c:pt idx="339">
                  <c:v>58.654791443072035</c:v>
                </c:pt>
                <c:pt idx="340">
                  <c:v>58.009019159937573</c:v>
                </c:pt>
                <c:pt idx="341">
                  <c:v>57.348259197468792</c:v>
                </c:pt>
                <c:pt idx="342">
                  <c:v>56.672335341608836</c:v>
                </c:pt>
                <c:pt idx="343">
                  <c:v>55.981077125133965</c:v>
                </c:pt>
                <c:pt idx="344">
                  <c:v>55.27432058021067</c:v>
                </c:pt>
                <c:pt idx="345">
                  <c:v>54.551909019443727</c:v>
                </c:pt>
                <c:pt idx="346">
                  <c:v>53.813693843501191</c:v>
                </c:pt>
                <c:pt idx="347">
                  <c:v>53.059535373063618</c:v>
                </c:pt>
                <c:pt idx="348">
                  <c:v>52.289303702473688</c:v>
                </c:pt>
                <c:pt idx="349">
                  <c:v>51.502879572126538</c:v>
                </c:pt>
                <c:pt idx="350">
                  <c:v>50.700155256271579</c:v>
                </c:pt>
                <c:pt idx="351">
                  <c:v>49.881035462562359</c:v>
                </c:pt>
                <c:pt idx="352">
                  <c:v>49.045438239342275</c:v>
                </c:pt>
                <c:pt idx="353">
                  <c:v>48.193295886344927</c:v>
                </c:pt>
                <c:pt idx="354">
                  <c:v>47.324555864174414</c:v>
                </c:pt>
                <c:pt idx="355">
                  <c:v>46.439181697669824</c:v>
                </c:pt>
                <c:pt idx="356">
                  <c:v>45.537153867993695</c:v>
                </c:pt>
                <c:pt idx="357">
                  <c:v>44.618470688085971</c:v>
                </c:pt>
                <c:pt idx="358">
                  <c:v>43.683149155936903</c:v>
                </c:pt>
                <c:pt idx="359">
                  <c:v>42.731225780002774</c:v>
                </c:pt>
                <c:pt idx="360">
                  <c:v>41.762757370983728</c:v>
                </c:pt>
                <c:pt idx="361">
                  <c:v>40.777821794155528</c:v>
                </c:pt>
                <c:pt idx="362">
                  <c:v>39.776518676416316</c:v>
                </c:pt>
                <c:pt idx="363">
                  <c:v>38.758970062286799</c:v>
                </c:pt>
                <c:pt idx="364">
                  <c:v>37.725321013181279</c:v>
                </c:pt>
                <c:pt idx="365">
                  <c:v>36.675740144418441</c:v>
                </c:pt>
                <c:pt idx="366">
                  <c:v>35.610420094642464</c:v>
                </c:pt>
                <c:pt idx="367">
                  <c:v>34.529577922562979</c:v>
                </c:pt>
                <c:pt idx="368">
                  <c:v>33.433455426220164</c:v>
                </c:pt>
                <c:pt idx="369">
                  <c:v>32.322319380324878</c:v>
                </c:pt>
                <c:pt idx="370">
                  <c:v>31.196461687590261</c:v>
                </c:pt>
                <c:pt idx="371">
                  <c:v>30.056199440422052</c:v>
                </c:pt>
                <c:pt idx="372">
                  <c:v>28.90187488977574</c:v>
                </c:pt>
                <c:pt idx="373">
                  <c:v>27.733855318504492</c:v>
                </c:pt>
                <c:pt idx="374">
                  <c:v>26.552532817049737</c:v>
                </c:pt>
                <c:pt idx="375">
                  <c:v>25.358323959899092</c:v>
                </c:pt>
                <c:pt idx="376">
                  <c:v>24.151669381812962</c:v>
                </c:pt>
                <c:pt idx="377">
                  <c:v>22.933033253454244</c:v>
                </c:pt>
                <c:pt idx="378">
                  <c:v>21.702902656670329</c:v>
                </c:pt>
                <c:pt idx="379">
                  <c:v>20.461786860342318</c:v>
                </c:pt>
                <c:pt idx="380">
                  <c:v>19.210216498349691</c:v>
                </c:pt>
                <c:pt idx="381">
                  <c:v>17.948742651887432</c:v>
                </c:pt>
                <c:pt idx="382">
                  <c:v>16.677935839007421</c:v>
                </c:pt>
                <c:pt idx="383">
                  <c:v>15.398384914927348</c:v>
                </c:pt>
                <c:pt idx="384">
                  <c:v>14.110695887287228</c:v>
                </c:pt>
                <c:pt idx="385">
                  <c:v>12.815490651160006</c:v>
                </c:pt>
                <c:pt idx="386">
                  <c:v>11.513405649216645</c:v>
                </c:pt>
                <c:pt idx="387">
                  <c:v>10.205090463031134</c:v>
                </c:pt>
                <c:pt idx="388">
                  <c:v>8.8912063420286138</c:v>
                </c:pt>
                <c:pt idx="389">
                  <c:v>7.5724246770868264</c:v>
                </c:pt>
                <c:pt idx="390">
                  <c:v>6.2494254262384876</c:v>
                </c:pt>
                <c:pt idx="391">
                  <c:v>4.9228955003041532</c:v>
                </c:pt>
                <c:pt idx="392">
                  <c:v>3.5935271166377798</c:v>
                </c:pt>
                <c:pt idx="393">
                  <c:v>2.2620161294102825</c:v>
                </c:pt>
                <c:pt idx="394">
                  <c:v>0.92906034507443258</c:v>
                </c:pt>
                <c:pt idx="395">
                  <c:v>-0.40464216822787114</c:v>
                </c:pt>
                <c:pt idx="396">
                  <c:v>-1.7383947684950221</c:v>
                </c:pt>
                <c:pt idx="397">
                  <c:v>-3.0715039161313533</c:v>
                </c:pt>
                <c:pt idx="398">
                  <c:v>-4.4032808299525499</c:v>
                </c:pt>
                <c:pt idx="399">
                  <c:v>-5.7330431143949721</c:v>
                </c:pt>
                <c:pt idx="400">
                  <c:v>-7.0601163496496584</c:v>
                </c:pt>
                <c:pt idx="401">
                  <c:v>-8.3838356367608959</c:v>
                </c:pt>
                <c:pt idx="402">
                  <c:v>-9.703547090115423</c:v>
                </c:pt>
                <c:pt idx="403">
                  <c:v>-11.018609270194688</c:v>
                </c:pt>
                <c:pt idx="404">
                  <c:v>-12.328394550000672</c:v>
                </c:pt>
                <c:pt idx="405">
                  <c:v>-13.632290409098754</c:v>
                </c:pt>
                <c:pt idx="406">
                  <c:v>-14.929700649859345</c:v>
                </c:pt>
                <c:pt idx="407">
                  <c:v>-16.220046531127135</c:v>
                </c:pt>
                <c:pt idx="408">
                  <c:v>-17.502767815223592</c:v>
                </c:pt>
                <c:pt idx="409">
                  <c:v>-18.777323724903859</c:v>
                </c:pt>
                <c:pt idx="410">
                  <c:v>-20.043193807608937</c:v>
                </c:pt>
                <c:pt idx="411">
                  <c:v>-21.299878705077962</c:v>
                </c:pt>
                <c:pt idx="412">
                  <c:v>-22.546900827116549</c:v>
                </c:pt>
                <c:pt idx="413">
                  <c:v>-23.783804929020611</c:v>
                </c:pt>
                <c:pt idx="414">
                  <c:v>-25.010158592865835</c:v>
                </c:pt>
                <c:pt idx="415">
                  <c:v>-26.225552613522414</c:v>
                </c:pt>
                <c:pt idx="416">
                  <c:v>-27.429601290905296</c:v>
                </c:pt>
                <c:pt idx="417">
                  <c:v>-28.621942630555239</c:v>
                </c:pt>
                <c:pt idx="418">
                  <c:v>-29.802238455203803</c:v>
                </c:pt>
                <c:pt idx="419">
                  <c:v>-30.970174430470426</c:v>
                </c:pt>
                <c:pt idx="420">
                  <c:v>-32.125460008298582</c:v>
                </c:pt>
                <c:pt idx="421">
                  <c:v>-33.26782829212155</c:v>
                </c:pt>
                <c:pt idx="422">
                  <c:v>-34.397035828087716</c:v>
                </c:pt>
                <c:pt idx="423">
                  <c:v>-35.512862326971067</c:v>
                </c:pt>
                <c:pt idx="424">
                  <c:v>-36.615110321584275</c:v>
                </c:pt>
                <c:pt idx="425">
                  <c:v>-37.70360476471101</c:v>
                </c:pt>
                <c:pt idx="426">
                  <c:v>-38.778192572664643</c:v>
                </c:pt>
                <c:pt idx="427">
                  <c:v>-39.838742119646632</c:v>
                </c:pt>
                <c:pt idx="428">
                  <c:v>-40.885142688088145</c:v>
                </c:pt>
                <c:pt idx="429">
                  <c:v>-41.91730388012968</c:v>
                </c:pt>
                <c:pt idx="430">
                  <c:v>-42.935154995299449</c:v>
                </c:pt>
                <c:pt idx="431">
                  <c:v>-43.938644379354457</c:v>
                </c:pt>
                <c:pt idx="432">
                  <c:v>-44.927738749085513</c:v>
                </c:pt>
                <c:pt idx="433">
                  <c:v>-45.902422497720792</c:v>
                </c:pt>
                <c:pt idx="434">
                  <c:v>-46.862696985343909</c:v>
                </c:pt>
                <c:pt idx="435">
                  <c:v>-47.80857981853417</c:v>
                </c:pt>
                <c:pt idx="436">
                  <c:v>-48.740104123186725</c:v>
                </c:pt>
                <c:pt idx="437">
                  <c:v>-49.657317814218956</c:v>
                </c:pt>
                <c:pt idx="438">
                  <c:v>-50.560282865607498</c:v>
                </c:pt>
                <c:pt idx="439">
                  <c:v>-51.449074583939357</c:v>
                </c:pt>
                <c:pt idx="440">
                  <c:v>-52.323780888376255</c:v>
                </c:pt>
                <c:pt idx="441">
                  <c:v>-53.184501599686023</c:v>
                </c:pt>
                <c:pt idx="442">
                  <c:v>-54.031347740706572</c:v>
                </c:pt>
                <c:pt idx="443">
                  <c:v>-54.86444085036603</c:v>
                </c:pt>
                <c:pt idx="444">
                  <c:v>-55.68391231312512</c:v>
                </c:pt>
                <c:pt idx="445">
                  <c:v>-56.489902705467529</c:v>
                </c:pt>
                <c:pt idx="446">
                  <c:v>-57.28256116082968</c:v>
                </c:pt>
                <c:pt idx="447">
                  <c:v>-58.062044754149696</c:v>
                </c:pt>
                <c:pt idx="448">
                  <c:v>-58.828517906999281</c:v>
                </c:pt>
                <c:pt idx="449">
                  <c:v>-59.582151814078763</c:v>
                </c:pt>
                <c:pt idx="450">
                  <c:v>-60.323123891667251</c:v>
                </c:pt>
                <c:pt idx="451">
                  <c:v>-61.051617248457454</c:v>
                </c:pt>
                <c:pt idx="452">
                  <c:v>-61.767820179053452</c:v>
                </c:pt>
                <c:pt idx="453">
                  <c:v>-62.471925680267489</c:v>
                </c:pt>
                <c:pt idx="454">
                  <c:v>-63.164130990224514</c:v>
                </c:pt>
                <c:pt idx="455">
                  <c:v>-63.844637150177626</c:v>
                </c:pt>
                <c:pt idx="456">
                  <c:v>-64.513648588824779</c:v>
                </c:pt>
                <c:pt idx="457">
                  <c:v>-65.1713727288397</c:v>
                </c:pt>
                <c:pt idx="458">
                  <c:v>-65.818019615240289</c:v>
                </c:pt>
                <c:pt idx="459">
                  <c:v>-66.453801565160759</c:v>
                </c:pt>
                <c:pt idx="460">
                  <c:v>-67.078932838525105</c:v>
                </c:pt>
                <c:pt idx="461">
                  <c:v>-67.693629329079158</c:v>
                </c:pt>
                <c:pt idx="462">
                  <c:v>-68.298108275193698</c:v>
                </c:pt>
                <c:pt idx="463">
                  <c:v>-68.892587989814999</c:v>
                </c:pt>
                <c:pt idx="464">
                  <c:v>-69.477287608923433</c:v>
                </c:pt>
                <c:pt idx="465">
                  <c:v>-70.052426857825935</c:v>
                </c:pt>
                <c:pt idx="466">
                  <c:v>-70.618225834611678</c:v>
                </c:pt>
                <c:pt idx="467">
                  <c:v>-71.174904810076953</c:v>
                </c:pt>
                <c:pt idx="468">
                  <c:v>-71.722684043428771</c:v>
                </c:pt>
                <c:pt idx="469">
                  <c:v>-72.261783613076943</c:v>
                </c:pt>
                <c:pt idx="470">
                  <c:v>-72.792423261824794</c:v>
                </c:pt>
                <c:pt idx="471">
                  <c:v>-73.314822255778296</c:v>
                </c:pt>
                <c:pt idx="472">
                  <c:v>-73.829199256298423</c:v>
                </c:pt>
                <c:pt idx="473">
                  <c:v>-74.335772204341453</c:v>
                </c:pt>
                <c:pt idx="474">
                  <c:v>-74.834758216537011</c:v>
                </c:pt>
                <c:pt idx="475">
                  <c:v>-75.326373492371417</c:v>
                </c:pt>
                <c:pt idx="476">
                  <c:v>-75.810833231865431</c:v>
                </c:pt>
                <c:pt idx="477">
                  <c:v>-76.28835156314365</c:v>
                </c:pt>
                <c:pt idx="478">
                  <c:v>-76.759141479319098</c:v>
                </c:pt>
                <c:pt idx="479">
                  <c:v>-77.223414784131279</c:v>
                </c:pt>
                <c:pt idx="480">
                  <c:v>-77.681382045794265</c:v>
                </c:pt>
                <c:pt idx="481">
                  <c:v>-78.133252558532604</c:v>
                </c:pt>
                <c:pt idx="482">
                  <c:v>-78.579234311301462</c:v>
                </c:pt>
                <c:pt idx="483">
                  <c:v>-79.019533963204012</c:v>
                </c:pt>
                <c:pt idx="484">
                  <c:v>-79.454356825139868</c:v>
                </c:pt>
                <c:pt idx="485">
                  <c:v>-79.883906847235821</c:v>
                </c:pt>
                <c:pt idx="486">
                  <c:v>-80.308386611626929</c:v>
                </c:pt>
                <c:pt idx="487">
                  <c:v>-80.727997330175199</c:v>
                </c:pt>
                <c:pt idx="488">
                  <c:v>-81.142938846723993</c:v>
                </c:pt>
                <c:pt idx="489">
                  <c:v>-81.553409643510818</c:v>
                </c:pt>
                <c:pt idx="490">
                  <c:v>-81.959606851366843</c:v>
                </c:pt>
                <c:pt idx="491">
                  <c:v>-82.361726263350732</c:v>
                </c:pt>
                <c:pt idx="492">
                  <c:v>-82.759962351478052</c:v>
                </c:pt>
                <c:pt idx="493">
                  <c:v>-83.15450828621519</c:v>
                </c:pt>
                <c:pt idx="494">
                  <c:v>-83.545555958424444</c:v>
                </c:pt>
                <c:pt idx="495">
                  <c:v>-83.933296003452142</c:v>
                </c:pt>
                <c:pt idx="496">
                  <c:v>-84.317917827064647</c:v>
                </c:pt>
                <c:pt idx="497">
                  <c:v>-84.699609632944387</c:v>
                </c:pt>
                <c:pt idx="498">
                  <c:v>-85.078558451467501</c:v>
                </c:pt>
                <c:pt idx="499">
                  <c:v>-85.454950169488498</c:v>
                </c:pt>
                <c:pt idx="500">
                  <c:v>-85.828969560867733</c:v>
                </c:pt>
                <c:pt idx="501">
                  <c:v>-86.200800317478823</c:v>
                </c:pt>
                <c:pt idx="502">
                  <c:v>-86.570625080439896</c:v>
                </c:pt>
                <c:pt idx="503">
                  <c:v>-86.938625471314623</c:v>
                </c:pt>
                <c:pt idx="504">
                  <c:v>-87.304982123031863</c:v>
                </c:pt>
                <c:pt idx="505">
                  <c:v>-87.669874710274769</c:v>
                </c:pt>
                <c:pt idx="506">
                  <c:v>-88.033481979090496</c:v>
                </c:pt>
                <c:pt idx="507">
                  <c:v>-88.395981775471697</c:v>
                </c:pt>
                <c:pt idx="508">
                  <c:v>-88.757551072660547</c:v>
                </c:pt>
                <c:pt idx="509">
                  <c:v>-89.1183659969237</c:v>
                </c:pt>
                <c:pt idx="510">
                  <c:v>-89.478601851544852</c:v>
                </c:pt>
                <c:pt idx="511">
                  <c:v>-89.838433138777972</c:v>
                </c:pt>
                <c:pt idx="512">
                  <c:v>-90.19803357950083</c:v>
                </c:pt>
                <c:pt idx="513">
                  <c:v>-90.557576130303246</c:v>
                </c:pt>
                <c:pt idx="514">
                  <c:v>-90.91723299774003</c:v>
                </c:pt>
                <c:pt idx="515">
                  <c:v>-91.277175649472142</c:v>
                </c:pt>
                <c:pt idx="516">
                  <c:v>-91.63757482201396</c:v>
                </c:pt>
                <c:pt idx="517">
                  <c:v>-91.998600524797382</c:v>
                </c:pt>
                <c:pt idx="518">
                  <c:v>-92.360422040255216</c:v>
                </c:pt>
                <c:pt idx="519">
                  <c:v>-92.723207919621444</c:v>
                </c:pt>
                <c:pt idx="520">
                  <c:v>-93.087125974134622</c:v>
                </c:pt>
                <c:pt idx="521">
                  <c:v>-93.452343261325012</c:v>
                </c:pt>
                <c:pt idx="522">
                  <c:v>-93.819026066056878</c:v>
                </c:pt>
                <c:pt idx="523">
                  <c:v>-94.187339875989153</c:v>
                </c:pt>
                <c:pt idx="524">
                  <c:v>-94.55744935111062</c:v>
                </c:pt>
                <c:pt idx="525">
                  <c:v>-94.929518286995858</c:v>
                </c:pt>
                <c:pt idx="526">
                  <c:v>-95.30370957142253</c:v>
                </c:pt>
                <c:pt idx="527">
                  <c:v>-95.680185133984338</c:v>
                </c:pt>
                <c:pt idx="528">
                  <c:v>-96.059105888324453</c:v>
                </c:pt>
                <c:pt idx="529">
                  <c:v>-96.4406316666159</c:v>
                </c:pt>
                <c:pt idx="530">
                  <c:v>-96.824921145901229</c:v>
                </c:pt>
                <c:pt idx="531">
                  <c:v>-97.212131765912872</c:v>
                </c:pt>
                <c:pt idx="532">
                  <c:v>-97.602419637985221</c:v>
                </c:pt>
                <c:pt idx="533">
                  <c:v>-97.995939444677731</c:v>
                </c:pt>
                <c:pt idx="534">
                  <c:v>-98.392844329725634</c:v>
                </c:pt>
                <c:pt idx="535">
                  <c:v>-98.793285777945968</c:v>
                </c:pt>
                <c:pt idx="536">
                  <c:v>-99.197413484731825</c:v>
                </c:pt>
                <c:pt idx="537">
                  <c:v>-99.605375214784033</c:v>
                </c:pt>
                <c:pt idx="538">
                  <c:v>-100.0173166497399</c:v>
                </c:pt>
                <c:pt idx="539">
                  <c:v>-100.43338122438344</c:v>
                </c:pt>
                <c:pt idx="540">
                  <c:v>-100.85370995114314</c:v>
                </c:pt>
                <c:pt idx="541">
                  <c:v>-101.27844123261593</c:v>
                </c:pt>
              </c:numCache>
            </c:numRef>
          </c:yVal>
          <c:smooth val="1"/>
          <c:extLst>
            <c:ext xmlns:c16="http://schemas.microsoft.com/office/drawing/2014/chart" uri="{C3380CC4-5D6E-409C-BE32-E72D297353CC}">
              <c16:uniqueId val="{0000000B-ECAC-4E20-B866-0DB1B3DE6FE8}"/>
            </c:ext>
          </c:extLst>
        </c:ser>
        <c:dLbls>
          <c:showLegendKey val="0"/>
          <c:showVal val="0"/>
          <c:showCatName val="0"/>
          <c:showSerName val="0"/>
          <c:showPercent val="0"/>
          <c:showBubbleSize val="0"/>
        </c:dLbls>
        <c:axId val="387647744"/>
        <c:axId val="364517248"/>
      </c:scatterChart>
      <c:valAx>
        <c:axId val="357835904"/>
        <c:scaling>
          <c:logBase val="10"/>
          <c:orientation val="minMax"/>
          <c:max val="2000000"/>
          <c:min val="10"/>
        </c:scaling>
        <c:delete val="0"/>
        <c:axPos val="b"/>
        <c:minorGridlines/>
        <c:title>
          <c:tx>
            <c:rich>
              <a:bodyPr/>
              <a:lstStyle/>
              <a:p>
                <a:pPr>
                  <a:defRPr/>
                </a:pPr>
                <a:r>
                  <a:rPr lang="en-US"/>
                  <a:t>Frequency</a:t>
                </a:r>
                <a:r>
                  <a:rPr lang="en-US" baseline="0"/>
                  <a:t> (Hz)</a:t>
                </a:r>
                <a:endParaRPr lang="en-US"/>
              </a:p>
            </c:rich>
          </c:tx>
          <c:overlay val="0"/>
        </c:title>
        <c:numFmt formatCode="0" sourceLinked="0"/>
        <c:majorTickMark val="out"/>
        <c:minorTickMark val="none"/>
        <c:tickLblPos val="low"/>
        <c:txPr>
          <a:bodyPr/>
          <a:lstStyle/>
          <a:p>
            <a:pPr>
              <a:defRPr b="1"/>
            </a:pPr>
            <a:endParaRPr lang="en-US"/>
          </a:p>
        </c:txPr>
        <c:crossAx val="364477056"/>
        <c:crosses val="autoZero"/>
        <c:crossBetween val="midCat"/>
      </c:valAx>
      <c:valAx>
        <c:axId val="364477056"/>
        <c:scaling>
          <c:orientation val="minMax"/>
          <c:max val="40"/>
          <c:min val="-40"/>
        </c:scaling>
        <c:delete val="0"/>
        <c:axPos val="l"/>
        <c:majorGridlines/>
        <c:minorGridlines/>
        <c:title>
          <c:tx>
            <c:rich>
              <a:bodyPr rot="-5400000" vert="horz"/>
              <a:lstStyle/>
              <a:p>
                <a:pPr>
                  <a:defRPr/>
                </a:pPr>
                <a:r>
                  <a:rPr lang="en-US">
                    <a:solidFill>
                      <a:srgbClr val="FF0000"/>
                    </a:solidFill>
                  </a:rPr>
                  <a:t>Gain</a:t>
                </a:r>
                <a:r>
                  <a:rPr lang="en-US" baseline="0">
                    <a:solidFill>
                      <a:srgbClr val="FF0000"/>
                    </a:solidFill>
                  </a:rPr>
                  <a:t> (dB)</a:t>
                </a:r>
                <a:endParaRPr lang="en-US">
                  <a:solidFill>
                    <a:srgbClr val="FF0000"/>
                  </a:solidFill>
                </a:endParaRPr>
              </a:p>
            </c:rich>
          </c:tx>
          <c:overlay val="0"/>
        </c:title>
        <c:numFmt formatCode="General" sourceLinked="0"/>
        <c:majorTickMark val="out"/>
        <c:minorTickMark val="none"/>
        <c:tickLblPos val="nextTo"/>
        <c:txPr>
          <a:bodyPr/>
          <a:lstStyle/>
          <a:p>
            <a:pPr>
              <a:defRPr b="1">
                <a:solidFill>
                  <a:srgbClr val="FF0000"/>
                </a:solidFill>
              </a:defRPr>
            </a:pPr>
            <a:endParaRPr lang="en-US"/>
          </a:p>
        </c:txPr>
        <c:crossAx val="357835904"/>
        <c:crosses val="autoZero"/>
        <c:crossBetween val="midCat"/>
        <c:majorUnit val="20"/>
        <c:minorUnit val="10"/>
      </c:valAx>
      <c:valAx>
        <c:axId val="364517248"/>
        <c:scaling>
          <c:orientation val="minMax"/>
          <c:max val="180"/>
          <c:min val="-180"/>
        </c:scaling>
        <c:delete val="0"/>
        <c:axPos val="r"/>
        <c:title>
          <c:tx>
            <c:rich>
              <a:bodyPr rot="-5400000" vert="horz"/>
              <a:lstStyle/>
              <a:p>
                <a:pPr>
                  <a:defRPr/>
                </a:pPr>
                <a:r>
                  <a:rPr lang="en-US"/>
                  <a:t>Phase (deg)</a:t>
                </a:r>
              </a:p>
            </c:rich>
          </c:tx>
          <c:overlay val="0"/>
        </c:title>
        <c:numFmt formatCode="General" sourceLinked="1"/>
        <c:majorTickMark val="out"/>
        <c:minorTickMark val="none"/>
        <c:tickLblPos val="nextTo"/>
        <c:txPr>
          <a:bodyPr/>
          <a:lstStyle/>
          <a:p>
            <a:pPr>
              <a:defRPr b="1">
                <a:solidFill>
                  <a:schemeClr val="tx1">
                    <a:lumMod val="95000"/>
                    <a:lumOff val="5000"/>
                  </a:schemeClr>
                </a:solidFill>
              </a:defRPr>
            </a:pPr>
            <a:endParaRPr lang="en-US"/>
          </a:p>
        </c:txPr>
        <c:crossAx val="387647744"/>
        <c:crosses val="max"/>
        <c:crossBetween val="midCat"/>
        <c:majorUnit val="90"/>
        <c:minorUnit val="45"/>
      </c:valAx>
      <c:valAx>
        <c:axId val="387647744"/>
        <c:scaling>
          <c:logBase val="10"/>
          <c:orientation val="minMax"/>
        </c:scaling>
        <c:delete val="1"/>
        <c:axPos val="b"/>
        <c:numFmt formatCode="0.00" sourceLinked="1"/>
        <c:majorTickMark val="out"/>
        <c:minorTickMark val="none"/>
        <c:tickLblPos val="nextTo"/>
        <c:crossAx val="364517248"/>
        <c:crosses val="autoZero"/>
        <c:crossBetween val="midCat"/>
      </c:valAx>
    </c:plotArea>
    <c:legend>
      <c:legendPos val="r"/>
      <c:legendEntry>
        <c:idx val="1"/>
        <c:delete val="1"/>
      </c:legendEntry>
      <c:legendEntry>
        <c:idx val="2"/>
        <c:delete val="1"/>
      </c:legendEntry>
      <c:legendEntry>
        <c:idx val="3"/>
        <c:delete val="1"/>
      </c:legendEntry>
      <c:legendEntry>
        <c:idx val="4"/>
        <c:delete val="1"/>
      </c:legendEntry>
      <c:legendEntry>
        <c:idx val="5"/>
        <c:delete val="1"/>
      </c:legendEntry>
      <c:layout>
        <c:manualLayout>
          <c:xMode val="edge"/>
          <c:yMode val="edge"/>
          <c:x val="0.61392536510371165"/>
          <c:y val="7.0381012799940294E-3"/>
          <c:w val="0.28497500584606611"/>
          <c:h val="7.9643865606846526E-2"/>
        </c:manualLayout>
      </c:layout>
      <c:overlay val="1"/>
    </c:legend>
    <c:plotVisOnly val="1"/>
    <c:dispBlanksAs val="gap"/>
    <c:showDLblsOverMax val="0"/>
  </c:chart>
  <c:spPr>
    <a:ln>
      <a:noFill/>
    </a:ln>
  </c:sp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baseline="0"/>
              <a:t>Total Control Loop Transfer Function</a:t>
            </a:r>
          </a:p>
        </c:rich>
      </c:tx>
      <c:overlay val="0"/>
    </c:title>
    <c:autoTitleDeleted val="0"/>
    <c:plotArea>
      <c:layout/>
      <c:scatterChart>
        <c:scatterStyle val="smoothMarker"/>
        <c:varyColors val="0"/>
        <c:ser>
          <c:idx val="0"/>
          <c:order val="0"/>
          <c:spPr>
            <a:ln w="38100">
              <a:solidFill>
                <a:srgbClr val="FF0000"/>
              </a:solidFill>
            </a:ln>
          </c:spPr>
          <c:marker>
            <c:symbol val="none"/>
          </c:marker>
          <c:xVal>
            <c:numRef>
              <c:f>Loop_Modeling!$O$19:$O$560</c:f>
              <c:numCache>
                <c:formatCode>0.00</c:formatCode>
                <c:ptCount val="542"/>
                <c:pt idx="0">
                  <c:v>10.232929922807543</c:v>
                </c:pt>
                <c:pt idx="1">
                  <c:v>10.471285480509</c:v>
                </c:pt>
                <c:pt idx="2">
                  <c:v>10.715193052376069</c:v>
                </c:pt>
                <c:pt idx="3">
                  <c:v>10.964781961431854</c:v>
                </c:pt>
                <c:pt idx="4">
                  <c:v>11.220184543019636</c:v>
                </c:pt>
                <c:pt idx="5">
                  <c:v>11.481536214968834</c:v>
                </c:pt>
                <c:pt idx="6">
                  <c:v>11.748975549395301</c:v>
                </c:pt>
                <c:pt idx="7">
                  <c:v>12.022644346174133</c:v>
                </c:pt>
                <c:pt idx="8">
                  <c:v>12.302687708123818</c:v>
                </c:pt>
                <c:pt idx="9">
                  <c:v>12.58925411794168</c:v>
                </c:pt>
                <c:pt idx="10">
                  <c:v>12.882495516931346</c:v>
                </c:pt>
                <c:pt idx="11">
                  <c:v>13.182567385564075</c:v>
                </c:pt>
                <c:pt idx="12">
                  <c:v>13.489628825916535</c:v>
                </c:pt>
                <c:pt idx="13">
                  <c:v>13.803842646028857</c:v>
                </c:pt>
                <c:pt idx="14">
                  <c:v>14.125375446227544</c:v>
                </c:pt>
                <c:pt idx="15">
                  <c:v>14.454397707459275</c:v>
                </c:pt>
                <c:pt idx="16">
                  <c:v>14.791083881682074</c:v>
                </c:pt>
                <c:pt idx="17">
                  <c:v>15.135612484362087</c:v>
                </c:pt>
                <c:pt idx="18">
                  <c:v>15.488166189124817</c:v>
                </c:pt>
                <c:pt idx="19">
                  <c:v>15.848931924611136</c:v>
                </c:pt>
                <c:pt idx="20">
                  <c:v>16.218100973589298</c:v>
                </c:pt>
                <c:pt idx="21">
                  <c:v>16.595869074375614</c:v>
                </c:pt>
                <c:pt idx="22">
                  <c:v>16.982436524617448</c:v>
                </c:pt>
                <c:pt idx="23">
                  <c:v>17.378008287493756</c:v>
                </c:pt>
                <c:pt idx="24">
                  <c:v>17.782794100389236</c:v>
                </c:pt>
                <c:pt idx="25">
                  <c:v>18.197008586099841</c:v>
                </c:pt>
                <c:pt idx="26">
                  <c:v>18.62087136662868</c:v>
                </c:pt>
                <c:pt idx="27">
                  <c:v>19.054607179632477</c:v>
                </c:pt>
                <c:pt idx="28">
                  <c:v>19.498445997580465</c:v>
                </c:pt>
                <c:pt idx="29">
                  <c:v>19.952623149688804</c:v>
                </c:pt>
                <c:pt idx="30">
                  <c:v>20.4173794466953</c:v>
                </c:pt>
                <c:pt idx="31">
                  <c:v>20.8929613085404</c:v>
                </c:pt>
                <c:pt idx="32">
                  <c:v>21.379620895022335</c:v>
                </c:pt>
                <c:pt idx="33">
                  <c:v>21.877616239495538</c:v>
                </c:pt>
                <c:pt idx="34">
                  <c:v>22.387211385683404</c:v>
                </c:pt>
                <c:pt idx="35">
                  <c:v>22.908676527677727</c:v>
                </c:pt>
                <c:pt idx="36">
                  <c:v>23.442288153199236</c:v>
                </c:pt>
                <c:pt idx="37">
                  <c:v>23.988329190194907</c:v>
                </c:pt>
                <c:pt idx="38">
                  <c:v>24.547089156850316</c:v>
                </c:pt>
                <c:pt idx="39">
                  <c:v>25.118864315095799</c:v>
                </c:pt>
                <c:pt idx="40">
                  <c:v>25.703957827688647</c:v>
                </c:pt>
                <c:pt idx="41">
                  <c:v>26.302679918953825</c:v>
                </c:pt>
                <c:pt idx="42">
                  <c:v>26.915348039269158</c:v>
                </c:pt>
                <c:pt idx="43">
                  <c:v>27.542287033381665</c:v>
                </c:pt>
                <c:pt idx="44">
                  <c:v>28.183829312644548</c:v>
                </c:pt>
                <c:pt idx="45">
                  <c:v>28.840315031266066</c:v>
                </c:pt>
                <c:pt idx="46">
                  <c:v>29.512092266663863</c:v>
                </c:pt>
                <c:pt idx="47">
                  <c:v>30.199517204020164</c:v>
                </c:pt>
                <c:pt idx="48">
                  <c:v>30.902954325135919</c:v>
                </c:pt>
                <c:pt idx="49">
                  <c:v>31.622776601683803</c:v>
                </c:pt>
                <c:pt idx="50">
                  <c:v>32.359365692962832</c:v>
                </c:pt>
                <c:pt idx="51">
                  <c:v>33.113112148259127</c:v>
                </c:pt>
                <c:pt idx="52">
                  <c:v>33.884415613920268</c:v>
                </c:pt>
                <c:pt idx="53">
                  <c:v>34.67368504525318</c:v>
                </c:pt>
                <c:pt idx="54">
                  <c:v>35.481338923357555</c:v>
                </c:pt>
                <c:pt idx="55">
                  <c:v>36.307805477010156</c:v>
                </c:pt>
                <c:pt idx="56">
                  <c:v>37.15352290971726</c:v>
                </c:pt>
                <c:pt idx="57">
                  <c:v>38.018939632056139</c:v>
                </c:pt>
                <c:pt idx="58">
                  <c:v>38.904514499428053</c:v>
                </c:pt>
                <c:pt idx="59">
                  <c:v>39.810717055349755</c:v>
                </c:pt>
                <c:pt idx="60">
                  <c:v>40.738027780411279</c:v>
                </c:pt>
                <c:pt idx="61">
                  <c:v>41.686938347033561</c:v>
                </c:pt>
                <c:pt idx="62">
                  <c:v>42.657951880159267</c:v>
                </c:pt>
                <c:pt idx="63">
                  <c:v>43.651583224016633</c:v>
                </c:pt>
                <c:pt idx="64">
                  <c:v>44.668359215096324</c:v>
                </c:pt>
                <c:pt idx="65">
                  <c:v>45.70881896148753</c:v>
                </c:pt>
                <c:pt idx="66">
                  <c:v>46.773514128719818</c:v>
                </c:pt>
                <c:pt idx="67">
                  <c:v>47.863009232263877</c:v>
                </c:pt>
                <c:pt idx="68">
                  <c:v>48.977881936844632</c:v>
                </c:pt>
                <c:pt idx="69">
                  <c:v>50.118723362727238</c:v>
                </c:pt>
                <c:pt idx="70">
                  <c:v>51.28613839913649</c:v>
                </c:pt>
                <c:pt idx="71">
                  <c:v>52.480746024977286</c:v>
                </c:pt>
                <c:pt idx="72">
                  <c:v>53.703179637025293</c:v>
                </c:pt>
                <c:pt idx="73">
                  <c:v>54.95408738576247</c:v>
                </c:pt>
                <c:pt idx="74">
                  <c:v>56.234132519034915</c:v>
                </c:pt>
                <c:pt idx="75">
                  <c:v>57.543993733715695</c:v>
                </c:pt>
                <c:pt idx="76">
                  <c:v>58.884365535558949</c:v>
                </c:pt>
                <c:pt idx="77">
                  <c:v>60.255958607435822</c:v>
                </c:pt>
                <c:pt idx="78">
                  <c:v>61.659500186148257</c:v>
                </c:pt>
                <c:pt idx="79">
                  <c:v>63.095734448019364</c:v>
                </c:pt>
                <c:pt idx="80">
                  <c:v>64.565422903465588</c:v>
                </c:pt>
                <c:pt idx="81">
                  <c:v>66.069344800759623</c:v>
                </c:pt>
                <c:pt idx="82">
                  <c:v>67.60829753919819</c:v>
                </c:pt>
                <c:pt idx="83">
                  <c:v>69.183097091893657</c:v>
                </c:pt>
                <c:pt idx="84">
                  <c:v>70.794578438413865</c:v>
                </c:pt>
                <c:pt idx="85">
                  <c:v>72.443596007499011</c:v>
                </c:pt>
                <c:pt idx="86">
                  <c:v>74.131024130091816</c:v>
                </c:pt>
                <c:pt idx="87">
                  <c:v>75.857757502918361</c:v>
                </c:pt>
                <c:pt idx="88">
                  <c:v>77.624711662869217</c:v>
                </c:pt>
                <c:pt idx="89">
                  <c:v>79.432823472428197</c:v>
                </c:pt>
                <c:pt idx="90">
                  <c:v>81.283051616409963</c:v>
                </c:pt>
                <c:pt idx="91">
                  <c:v>83.176377110267126</c:v>
                </c:pt>
                <c:pt idx="92">
                  <c:v>85.113803820237734</c:v>
                </c:pt>
                <c:pt idx="93">
                  <c:v>87.096358995608071</c:v>
                </c:pt>
                <c:pt idx="94">
                  <c:v>89.125093813374562</c:v>
                </c:pt>
                <c:pt idx="95">
                  <c:v>91.201083935590972</c:v>
                </c:pt>
                <c:pt idx="96">
                  <c:v>93.325430079699174</c:v>
                </c:pt>
                <c:pt idx="97">
                  <c:v>95.499258602143655</c:v>
                </c:pt>
                <c:pt idx="98">
                  <c:v>97.723722095581124</c:v>
                </c:pt>
                <c:pt idx="99">
                  <c:v>100</c:v>
                </c:pt>
                <c:pt idx="100">
                  <c:v>102.32929922807544</c:v>
                </c:pt>
                <c:pt idx="101">
                  <c:v>104.71285480508998</c:v>
                </c:pt>
                <c:pt idx="102">
                  <c:v>107.15193052376065</c:v>
                </c:pt>
                <c:pt idx="103">
                  <c:v>109.64781961431861</c:v>
                </c:pt>
                <c:pt idx="104">
                  <c:v>112.20184543019634</c:v>
                </c:pt>
                <c:pt idx="105">
                  <c:v>114.81536214968835</c:v>
                </c:pt>
                <c:pt idx="106">
                  <c:v>117.48975549395293</c:v>
                </c:pt>
                <c:pt idx="107">
                  <c:v>120.22644346174135</c:v>
                </c:pt>
                <c:pt idx="108">
                  <c:v>123.02687708123821</c:v>
                </c:pt>
                <c:pt idx="109">
                  <c:v>125.89254117941677</c:v>
                </c:pt>
                <c:pt idx="110">
                  <c:v>128.82495516931343</c:v>
                </c:pt>
                <c:pt idx="111">
                  <c:v>131.82567385564084</c:v>
                </c:pt>
                <c:pt idx="112">
                  <c:v>134.89628825916537</c:v>
                </c:pt>
                <c:pt idx="113">
                  <c:v>138.0384264602886</c:v>
                </c:pt>
                <c:pt idx="114">
                  <c:v>141.25375446227542</c:v>
                </c:pt>
                <c:pt idx="115">
                  <c:v>144.54397707459285</c:v>
                </c:pt>
                <c:pt idx="116">
                  <c:v>147.91083881682084</c:v>
                </c:pt>
                <c:pt idx="117">
                  <c:v>151.3561248436209</c:v>
                </c:pt>
                <c:pt idx="118">
                  <c:v>154.8816618912482</c:v>
                </c:pt>
                <c:pt idx="119">
                  <c:v>158.48931924611153</c:v>
                </c:pt>
                <c:pt idx="120">
                  <c:v>162.18100973589304</c:v>
                </c:pt>
                <c:pt idx="121">
                  <c:v>165.95869074375622</c:v>
                </c:pt>
                <c:pt idx="122">
                  <c:v>169.82436524617444</c:v>
                </c:pt>
                <c:pt idx="123">
                  <c:v>173.78008287493768</c:v>
                </c:pt>
                <c:pt idx="124">
                  <c:v>177.82794100389242</c:v>
                </c:pt>
                <c:pt idx="125">
                  <c:v>181.9700858609983</c:v>
                </c:pt>
                <c:pt idx="126">
                  <c:v>186.20871366628685</c:v>
                </c:pt>
                <c:pt idx="127">
                  <c:v>190.54607179632498</c:v>
                </c:pt>
                <c:pt idx="128">
                  <c:v>194.98445997580458</c:v>
                </c:pt>
                <c:pt idx="129">
                  <c:v>199.52623149688802</c:v>
                </c:pt>
                <c:pt idx="130">
                  <c:v>204.17379446695315</c:v>
                </c:pt>
                <c:pt idx="131">
                  <c:v>208.92961308540396</c:v>
                </c:pt>
                <c:pt idx="132">
                  <c:v>213.79620895022339</c:v>
                </c:pt>
                <c:pt idx="133">
                  <c:v>218.77616239495524</c:v>
                </c:pt>
                <c:pt idx="134">
                  <c:v>223.87211385683412</c:v>
                </c:pt>
                <c:pt idx="135">
                  <c:v>229.08676527677744</c:v>
                </c:pt>
                <c:pt idx="136">
                  <c:v>234.42288153199232</c:v>
                </c:pt>
                <c:pt idx="137">
                  <c:v>239.88329190194912</c:v>
                </c:pt>
                <c:pt idx="138">
                  <c:v>245.4708915685033</c:v>
                </c:pt>
                <c:pt idx="139">
                  <c:v>251.18864315095806</c:v>
                </c:pt>
                <c:pt idx="140">
                  <c:v>257.03957827688663</c:v>
                </c:pt>
                <c:pt idx="141">
                  <c:v>263.02679918953817</c:v>
                </c:pt>
                <c:pt idx="142">
                  <c:v>269.15348039269179</c:v>
                </c:pt>
                <c:pt idx="143">
                  <c:v>275.42287033381683</c:v>
                </c:pt>
                <c:pt idx="144">
                  <c:v>281.83829312644554</c:v>
                </c:pt>
                <c:pt idx="145">
                  <c:v>288.40315031266073</c:v>
                </c:pt>
                <c:pt idx="146">
                  <c:v>295.12092266663871</c:v>
                </c:pt>
                <c:pt idx="147">
                  <c:v>301.99517204020168</c:v>
                </c:pt>
                <c:pt idx="148">
                  <c:v>309.02954325135937</c:v>
                </c:pt>
                <c:pt idx="149">
                  <c:v>316.22776601683825</c:v>
                </c:pt>
                <c:pt idx="150">
                  <c:v>323.59365692962825</c:v>
                </c:pt>
                <c:pt idx="151">
                  <c:v>331.13112148259137</c:v>
                </c:pt>
                <c:pt idx="152">
                  <c:v>338.84415613920277</c:v>
                </c:pt>
                <c:pt idx="153">
                  <c:v>346.73685045253183</c:v>
                </c:pt>
                <c:pt idx="154">
                  <c:v>354.81338923357566</c:v>
                </c:pt>
                <c:pt idx="155">
                  <c:v>363.07805477010152</c:v>
                </c:pt>
                <c:pt idx="156">
                  <c:v>371.53522909717265</c:v>
                </c:pt>
                <c:pt idx="157">
                  <c:v>380.18939632056163</c:v>
                </c:pt>
                <c:pt idx="158">
                  <c:v>389.04514499428063</c:v>
                </c:pt>
                <c:pt idx="159">
                  <c:v>398.10717055349761</c:v>
                </c:pt>
                <c:pt idx="160">
                  <c:v>407.38027780411272</c:v>
                </c:pt>
                <c:pt idx="161">
                  <c:v>416.86938347033572</c:v>
                </c:pt>
                <c:pt idx="162">
                  <c:v>426.57951880159294</c:v>
                </c:pt>
                <c:pt idx="163">
                  <c:v>436.51583224016622</c:v>
                </c:pt>
                <c:pt idx="164">
                  <c:v>446.68359215096331</c:v>
                </c:pt>
                <c:pt idx="165">
                  <c:v>457.0881896148756</c:v>
                </c:pt>
                <c:pt idx="166">
                  <c:v>467.7351412871983</c:v>
                </c:pt>
                <c:pt idx="167">
                  <c:v>478.63009232263886</c:v>
                </c:pt>
                <c:pt idx="168">
                  <c:v>489.77881936844625</c:v>
                </c:pt>
                <c:pt idx="169">
                  <c:v>501.18723362727269</c:v>
                </c:pt>
                <c:pt idx="170">
                  <c:v>512.86138399136519</c:v>
                </c:pt>
                <c:pt idx="171">
                  <c:v>524.80746024977248</c:v>
                </c:pt>
                <c:pt idx="172">
                  <c:v>537.03179637025301</c:v>
                </c:pt>
                <c:pt idx="173">
                  <c:v>549.54087385762534</c:v>
                </c:pt>
                <c:pt idx="174">
                  <c:v>562.34132519034927</c:v>
                </c:pt>
                <c:pt idx="175">
                  <c:v>575.43993733715706</c:v>
                </c:pt>
                <c:pt idx="176">
                  <c:v>588.84365535558959</c:v>
                </c:pt>
                <c:pt idx="177">
                  <c:v>602.55958607435832</c:v>
                </c:pt>
                <c:pt idx="178">
                  <c:v>616.59500186148273</c:v>
                </c:pt>
                <c:pt idx="179">
                  <c:v>630.95734448019323</c:v>
                </c:pt>
                <c:pt idx="180">
                  <c:v>645.65422903465594</c:v>
                </c:pt>
                <c:pt idx="181">
                  <c:v>660.69344800759643</c:v>
                </c:pt>
                <c:pt idx="182">
                  <c:v>676.08297539198213</c:v>
                </c:pt>
                <c:pt idx="183">
                  <c:v>691.83097091893671</c:v>
                </c:pt>
                <c:pt idx="184">
                  <c:v>707.94578438413873</c:v>
                </c:pt>
                <c:pt idx="185">
                  <c:v>724.43596007499025</c:v>
                </c:pt>
                <c:pt idx="186">
                  <c:v>741.31024130091828</c:v>
                </c:pt>
                <c:pt idx="187">
                  <c:v>758.57757502918378</c:v>
                </c:pt>
                <c:pt idx="188">
                  <c:v>776.24711662869231</c:v>
                </c:pt>
                <c:pt idx="189">
                  <c:v>794.32823472428208</c:v>
                </c:pt>
                <c:pt idx="190">
                  <c:v>812.83051616409978</c:v>
                </c:pt>
                <c:pt idx="191">
                  <c:v>831.7637711026714</c:v>
                </c:pt>
                <c:pt idx="192">
                  <c:v>851.13803820237763</c:v>
                </c:pt>
                <c:pt idx="193">
                  <c:v>870.96358995608091</c:v>
                </c:pt>
                <c:pt idx="194">
                  <c:v>891.25093813374656</c:v>
                </c:pt>
                <c:pt idx="195">
                  <c:v>912.01083935590987</c:v>
                </c:pt>
                <c:pt idx="196">
                  <c:v>933.25430079699106</c:v>
                </c:pt>
                <c:pt idx="197">
                  <c:v>954.99258602143675</c:v>
                </c:pt>
                <c:pt idx="198">
                  <c:v>977.23722095581138</c:v>
                </c:pt>
                <c:pt idx="199">
                  <c:v>1000</c:v>
                </c:pt>
                <c:pt idx="200">
                  <c:v>1023.2929922807547</c:v>
                </c:pt>
                <c:pt idx="201">
                  <c:v>1047.1285480509</c:v>
                </c:pt>
                <c:pt idx="202">
                  <c:v>1071.5193052376069</c:v>
                </c:pt>
                <c:pt idx="203">
                  <c:v>1096.4781961431863</c:v>
                </c:pt>
                <c:pt idx="204">
                  <c:v>1122.0184543019636</c:v>
                </c:pt>
                <c:pt idx="205">
                  <c:v>1148.1536214968839</c:v>
                </c:pt>
                <c:pt idx="206">
                  <c:v>1174.8975549395295</c:v>
                </c:pt>
                <c:pt idx="207">
                  <c:v>1202.2644346174138</c:v>
                </c:pt>
                <c:pt idx="208">
                  <c:v>1230.2687708123824</c:v>
                </c:pt>
                <c:pt idx="209">
                  <c:v>1258.925411794168</c:v>
                </c:pt>
                <c:pt idx="210">
                  <c:v>1288.2495516931347</c:v>
                </c:pt>
                <c:pt idx="211">
                  <c:v>1318.2567385564089</c:v>
                </c:pt>
                <c:pt idx="212">
                  <c:v>1348.9628825916541</c:v>
                </c:pt>
                <c:pt idx="213">
                  <c:v>1380.3842646028863</c:v>
                </c:pt>
                <c:pt idx="214">
                  <c:v>1412.5375446227545</c:v>
                </c:pt>
                <c:pt idx="215">
                  <c:v>1445.4397707459289</c:v>
                </c:pt>
                <c:pt idx="216">
                  <c:v>1479.1083881682086</c:v>
                </c:pt>
                <c:pt idx="217">
                  <c:v>1513.5612484362093</c:v>
                </c:pt>
                <c:pt idx="218">
                  <c:v>1548.8166189124822</c:v>
                </c:pt>
                <c:pt idx="219">
                  <c:v>1584.8931924611156</c:v>
                </c:pt>
                <c:pt idx="220">
                  <c:v>1621.8100973589308</c:v>
                </c:pt>
                <c:pt idx="221">
                  <c:v>1659.5869074375626</c:v>
                </c:pt>
                <c:pt idx="222">
                  <c:v>1698.2436524617447</c:v>
                </c:pt>
                <c:pt idx="223">
                  <c:v>1737.8008287493772</c:v>
                </c:pt>
                <c:pt idx="224">
                  <c:v>1778.2794100389244</c:v>
                </c:pt>
                <c:pt idx="225">
                  <c:v>1819.7008586099832</c:v>
                </c:pt>
                <c:pt idx="226">
                  <c:v>1862.0871366628687</c:v>
                </c:pt>
                <c:pt idx="227">
                  <c:v>1905.4607179632501</c:v>
                </c:pt>
                <c:pt idx="228">
                  <c:v>1949.8445997580463</c:v>
                </c:pt>
                <c:pt idx="229">
                  <c:v>1995.2623149688804</c:v>
                </c:pt>
                <c:pt idx="230">
                  <c:v>2041.7379446695318</c:v>
                </c:pt>
                <c:pt idx="231">
                  <c:v>2089.2961308540398</c:v>
                </c:pt>
                <c:pt idx="232">
                  <c:v>2137.9620895022344</c:v>
                </c:pt>
                <c:pt idx="233">
                  <c:v>2187.7616239495528</c:v>
                </c:pt>
                <c:pt idx="234">
                  <c:v>2238.7211385683418</c:v>
                </c:pt>
                <c:pt idx="235">
                  <c:v>2290.8676527677749</c:v>
                </c:pt>
                <c:pt idx="236">
                  <c:v>2344.2288153199238</c:v>
                </c:pt>
                <c:pt idx="237">
                  <c:v>2398.8329190194918</c:v>
                </c:pt>
                <c:pt idx="238">
                  <c:v>2454.7089156850338</c:v>
                </c:pt>
                <c:pt idx="239">
                  <c:v>2511.8864315095811</c:v>
                </c:pt>
                <c:pt idx="240">
                  <c:v>2570.3957827688669</c:v>
                </c:pt>
                <c:pt idx="241">
                  <c:v>2630.2679918953822</c:v>
                </c:pt>
                <c:pt idx="242">
                  <c:v>2691.5348039269184</c:v>
                </c:pt>
                <c:pt idx="243">
                  <c:v>2754.228703338169</c:v>
                </c:pt>
                <c:pt idx="244">
                  <c:v>2818.3829312644561</c:v>
                </c:pt>
                <c:pt idx="245">
                  <c:v>2884.0315031266077</c:v>
                </c:pt>
                <c:pt idx="246">
                  <c:v>2951.2092266663876</c:v>
                </c:pt>
                <c:pt idx="247">
                  <c:v>3019.9517204020176</c:v>
                </c:pt>
                <c:pt idx="248">
                  <c:v>3090.295432513592</c:v>
                </c:pt>
                <c:pt idx="249">
                  <c:v>3162.2776601683804</c:v>
                </c:pt>
                <c:pt idx="250">
                  <c:v>3235.9365692962833</c:v>
                </c:pt>
                <c:pt idx="251">
                  <c:v>3311.3112148259115</c:v>
                </c:pt>
                <c:pt idx="252">
                  <c:v>3388.4415613920314</c:v>
                </c:pt>
                <c:pt idx="253">
                  <c:v>3467.3685045253224</c:v>
                </c:pt>
                <c:pt idx="254">
                  <c:v>3548.1338923357539</c:v>
                </c:pt>
                <c:pt idx="255">
                  <c:v>3630.7805477010188</c:v>
                </c:pt>
                <c:pt idx="256">
                  <c:v>3715.352290971724</c:v>
                </c:pt>
                <c:pt idx="257">
                  <c:v>3801.8939632056172</c:v>
                </c:pt>
                <c:pt idx="258">
                  <c:v>3890.451449942811</c:v>
                </c:pt>
                <c:pt idx="259">
                  <c:v>3981.0717055349769</c:v>
                </c:pt>
                <c:pt idx="260">
                  <c:v>4073.8027780411317</c:v>
                </c:pt>
                <c:pt idx="261">
                  <c:v>4168.6938347033583</c:v>
                </c:pt>
                <c:pt idx="262">
                  <c:v>4265.7951880159299</c:v>
                </c:pt>
                <c:pt idx="263">
                  <c:v>4365.1583224016631</c:v>
                </c:pt>
                <c:pt idx="264">
                  <c:v>4466.8359215096343</c:v>
                </c:pt>
                <c:pt idx="265">
                  <c:v>4570.8818961487532</c:v>
                </c:pt>
                <c:pt idx="266">
                  <c:v>4677.3514128719844</c:v>
                </c:pt>
                <c:pt idx="267">
                  <c:v>4786.3009232263848</c:v>
                </c:pt>
                <c:pt idx="268">
                  <c:v>4897.7881936844633</c:v>
                </c:pt>
                <c:pt idx="269">
                  <c:v>5011.8723362727324</c:v>
                </c:pt>
                <c:pt idx="270">
                  <c:v>5128.6138399136489</c:v>
                </c:pt>
                <c:pt idx="271">
                  <c:v>5248.0746024977261</c:v>
                </c:pt>
                <c:pt idx="272">
                  <c:v>5370.3179637025269</c:v>
                </c:pt>
                <c:pt idx="273">
                  <c:v>5495.4087385762541</c:v>
                </c:pt>
                <c:pt idx="274">
                  <c:v>5623.4132519034993</c:v>
                </c:pt>
                <c:pt idx="275">
                  <c:v>5754.399373371567</c:v>
                </c:pt>
                <c:pt idx="276">
                  <c:v>5888.4365535558973</c:v>
                </c:pt>
                <c:pt idx="277">
                  <c:v>6025.595860743585</c:v>
                </c:pt>
                <c:pt idx="278">
                  <c:v>6165.9500186148289</c:v>
                </c:pt>
                <c:pt idx="279">
                  <c:v>6309.5734448019384</c:v>
                </c:pt>
                <c:pt idx="280">
                  <c:v>6456.5422903465615</c:v>
                </c:pt>
                <c:pt idx="281">
                  <c:v>6606.9344800759654</c:v>
                </c:pt>
                <c:pt idx="282">
                  <c:v>6760.8297539198229</c:v>
                </c:pt>
                <c:pt idx="283">
                  <c:v>6918.3097091893687</c:v>
                </c:pt>
                <c:pt idx="284">
                  <c:v>7079.4578438413828</c:v>
                </c:pt>
                <c:pt idx="285">
                  <c:v>7244.3596007499036</c:v>
                </c:pt>
                <c:pt idx="286">
                  <c:v>7413.1024130091773</c:v>
                </c:pt>
                <c:pt idx="287">
                  <c:v>7585.7757502918394</c:v>
                </c:pt>
                <c:pt idx="288">
                  <c:v>7762.4711662869322</c:v>
                </c:pt>
                <c:pt idx="289">
                  <c:v>7943.2823472428154</c:v>
                </c:pt>
                <c:pt idx="290">
                  <c:v>8128.3051616410066</c:v>
                </c:pt>
                <c:pt idx="291">
                  <c:v>8317.6377110267094</c:v>
                </c:pt>
                <c:pt idx="292">
                  <c:v>8511.3803820237772</c:v>
                </c:pt>
                <c:pt idx="293">
                  <c:v>8709.6358995608189</c:v>
                </c:pt>
                <c:pt idx="294">
                  <c:v>8912.5093813374679</c:v>
                </c:pt>
                <c:pt idx="295">
                  <c:v>9120.1083935591087</c:v>
                </c:pt>
                <c:pt idx="296">
                  <c:v>9332.5430079699217</c:v>
                </c:pt>
                <c:pt idx="297">
                  <c:v>9549.9258602143691</c:v>
                </c:pt>
                <c:pt idx="298">
                  <c:v>9772.3722095581161</c:v>
                </c:pt>
                <c:pt idx="299">
                  <c:v>10000</c:v>
                </c:pt>
                <c:pt idx="300">
                  <c:v>10232.929922807549</c:v>
                </c:pt>
                <c:pt idx="301">
                  <c:v>10471.285480509003</c:v>
                </c:pt>
                <c:pt idx="302">
                  <c:v>10715.193052376071</c:v>
                </c:pt>
                <c:pt idx="303">
                  <c:v>10964.781961431856</c:v>
                </c:pt>
                <c:pt idx="304">
                  <c:v>11220.184543019639</c:v>
                </c:pt>
                <c:pt idx="305">
                  <c:v>11481.536214968832</c:v>
                </c:pt>
                <c:pt idx="306">
                  <c:v>11748.975549395318</c:v>
                </c:pt>
                <c:pt idx="307">
                  <c:v>12022.644346174151</c:v>
                </c:pt>
                <c:pt idx="308">
                  <c:v>12302.687708123816</c:v>
                </c:pt>
                <c:pt idx="309">
                  <c:v>12589.254117941671</c:v>
                </c:pt>
                <c:pt idx="310">
                  <c:v>12882.49551693136</c:v>
                </c:pt>
                <c:pt idx="311">
                  <c:v>13182.567385564091</c:v>
                </c:pt>
                <c:pt idx="312">
                  <c:v>13489.628825916556</c:v>
                </c:pt>
                <c:pt idx="313">
                  <c:v>13803.842646028841</c:v>
                </c:pt>
                <c:pt idx="314">
                  <c:v>14125.375446227561</c:v>
                </c:pt>
                <c:pt idx="315">
                  <c:v>14454.397707459291</c:v>
                </c:pt>
                <c:pt idx="316">
                  <c:v>14791.083881682089</c:v>
                </c:pt>
                <c:pt idx="317">
                  <c:v>15135.612484362096</c:v>
                </c:pt>
                <c:pt idx="318">
                  <c:v>15488.166189124853</c:v>
                </c:pt>
                <c:pt idx="319">
                  <c:v>15848.931924611146</c:v>
                </c:pt>
                <c:pt idx="320">
                  <c:v>16218.100973589309</c:v>
                </c:pt>
                <c:pt idx="321">
                  <c:v>16595.869074375616</c:v>
                </c:pt>
                <c:pt idx="322">
                  <c:v>16982.436524617482</c:v>
                </c:pt>
                <c:pt idx="323">
                  <c:v>17378.008287493791</c:v>
                </c:pt>
                <c:pt idx="324">
                  <c:v>17782.794100389234</c:v>
                </c:pt>
                <c:pt idx="325">
                  <c:v>18197.008586099837</c:v>
                </c:pt>
                <c:pt idx="326">
                  <c:v>18620.871366628675</c:v>
                </c:pt>
                <c:pt idx="327">
                  <c:v>19054.607179632505</c:v>
                </c:pt>
                <c:pt idx="328">
                  <c:v>19498.445997580486</c:v>
                </c:pt>
                <c:pt idx="329">
                  <c:v>19952.623149688792</c:v>
                </c:pt>
                <c:pt idx="330">
                  <c:v>20417.379446695286</c:v>
                </c:pt>
                <c:pt idx="331">
                  <c:v>20892.961308540423</c:v>
                </c:pt>
                <c:pt idx="332">
                  <c:v>21379.620895022348</c:v>
                </c:pt>
                <c:pt idx="333">
                  <c:v>21877.61623949555</c:v>
                </c:pt>
                <c:pt idx="334">
                  <c:v>22387.211385683382</c:v>
                </c:pt>
                <c:pt idx="335">
                  <c:v>22908.676527677751</c:v>
                </c:pt>
                <c:pt idx="336">
                  <c:v>23442.288153199243</c:v>
                </c:pt>
                <c:pt idx="337">
                  <c:v>23988.329190194923</c:v>
                </c:pt>
                <c:pt idx="338">
                  <c:v>24547.089156850321</c:v>
                </c:pt>
                <c:pt idx="339">
                  <c:v>25118.86431509586</c:v>
                </c:pt>
                <c:pt idx="340">
                  <c:v>25703.95782768865</c:v>
                </c:pt>
                <c:pt idx="341">
                  <c:v>26302.679918953829</c:v>
                </c:pt>
                <c:pt idx="342">
                  <c:v>26915.348039269167</c:v>
                </c:pt>
                <c:pt idx="343">
                  <c:v>27542.287033381719</c:v>
                </c:pt>
                <c:pt idx="344">
                  <c:v>28183.829312644593</c:v>
                </c:pt>
                <c:pt idx="345">
                  <c:v>28840.315031266062</c:v>
                </c:pt>
                <c:pt idx="346">
                  <c:v>29512.092266663854</c:v>
                </c:pt>
                <c:pt idx="347">
                  <c:v>30199.517204020212</c:v>
                </c:pt>
                <c:pt idx="348">
                  <c:v>30902.954325135954</c:v>
                </c:pt>
                <c:pt idx="349">
                  <c:v>31622.77660168384</c:v>
                </c:pt>
                <c:pt idx="350">
                  <c:v>32359.365692962871</c:v>
                </c:pt>
                <c:pt idx="351">
                  <c:v>33113.11214825909</c:v>
                </c:pt>
                <c:pt idx="352">
                  <c:v>33884.41561392029</c:v>
                </c:pt>
                <c:pt idx="353">
                  <c:v>34673.685045253202</c:v>
                </c:pt>
                <c:pt idx="354">
                  <c:v>35481.33892335758</c:v>
                </c:pt>
                <c:pt idx="355">
                  <c:v>36307.805477010232</c:v>
                </c:pt>
                <c:pt idx="356">
                  <c:v>37153.522909717351</c:v>
                </c:pt>
                <c:pt idx="357">
                  <c:v>38018.939632056143</c:v>
                </c:pt>
                <c:pt idx="358">
                  <c:v>38904.514499428085</c:v>
                </c:pt>
                <c:pt idx="359">
                  <c:v>39810.717055349742</c:v>
                </c:pt>
                <c:pt idx="360">
                  <c:v>40738.027780411358</c:v>
                </c:pt>
                <c:pt idx="361">
                  <c:v>41686.938347033625</c:v>
                </c:pt>
                <c:pt idx="362">
                  <c:v>42657.951880159271</c:v>
                </c:pt>
                <c:pt idx="363">
                  <c:v>43651.583224016598</c:v>
                </c:pt>
                <c:pt idx="364">
                  <c:v>44668.359215096389</c:v>
                </c:pt>
                <c:pt idx="365">
                  <c:v>45708.818961487581</c:v>
                </c:pt>
                <c:pt idx="366">
                  <c:v>46773.514128719893</c:v>
                </c:pt>
                <c:pt idx="367">
                  <c:v>47863.009232263823</c:v>
                </c:pt>
                <c:pt idx="368">
                  <c:v>48977.881936844598</c:v>
                </c:pt>
                <c:pt idx="369">
                  <c:v>50118.723362727294</c:v>
                </c:pt>
                <c:pt idx="370">
                  <c:v>51286.138399136544</c:v>
                </c:pt>
                <c:pt idx="371">
                  <c:v>52480.746024977314</c:v>
                </c:pt>
                <c:pt idx="372">
                  <c:v>53703.179637025423</c:v>
                </c:pt>
                <c:pt idx="373">
                  <c:v>54954.087385762505</c:v>
                </c:pt>
                <c:pt idx="374">
                  <c:v>56234.132519034953</c:v>
                </c:pt>
                <c:pt idx="375">
                  <c:v>57543.993733715732</c:v>
                </c:pt>
                <c:pt idx="376">
                  <c:v>58884.365535558936</c:v>
                </c:pt>
                <c:pt idx="377">
                  <c:v>60255.95860743591</c:v>
                </c:pt>
                <c:pt idx="378">
                  <c:v>61659.500186148245</c:v>
                </c:pt>
                <c:pt idx="379">
                  <c:v>63095.734448019342</c:v>
                </c:pt>
                <c:pt idx="380">
                  <c:v>64565.422903465682</c:v>
                </c:pt>
                <c:pt idx="381">
                  <c:v>66069.344800759733</c:v>
                </c:pt>
                <c:pt idx="382">
                  <c:v>67608.297539198305</c:v>
                </c:pt>
                <c:pt idx="383">
                  <c:v>69183.097091893651</c:v>
                </c:pt>
                <c:pt idx="384">
                  <c:v>70794.578438413781</c:v>
                </c:pt>
                <c:pt idx="385">
                  <c:v>72443.596007499116</c:v>
                </c:pt>
                <c:pt idx="386">
                  <c:v>74131.024130091857</c:v>
                </c:pt>
                <c:pt idx="387">
                  <c:v>75857.757502918481</c:v>
                </c:pt>
                <c:pt idx="388">
                  <c:v>77624.711662869129</c:v>
                </c:pt>
                <c:pt idx="389">
                  <c:v>79432.823472428237</c:v>
                </c:pt>
                <c:pt idx="390">
                  <c:v>81283.051616410012</c:v>
                </c:pt>
                <c:pt idx="391">
                  <c:v>83176.377110267174</c:v>
                </c:pt>
                <c:pt idx="392">
                  <c:v>85113.803820237721</c:v>
                </c:pt>
                <c:pt idx="393">
                  <c:v>87096.358995608127</c:v>
                </c:pt>
                <c:pt idx="394">
                  <c:v>89125.093813374609</c:v>
                </c:pt>
                <c:pt idx="395">
                  <c:v>91201.083935591028</c:v>
                </c:pt>
                <c:pt idx="396">
                  <c:v>93325.430079699145</c:v>
                </c:pt>
                <c:pt idx="397">
                  <c:v>95499.258602143804</c:v>
                </c:pt>
                <c:pt idx="398">
                  <c:v>97723.722095581266</c:v>
                </c:pt>
                <c:pt idx="399">
                  <c:v>100000</c:v>
                </c:pt>
                <c:pt idx="400">
                  <c:v>102329.29922807543</c:v>
                </c:pt>
                <c:pt idx="401">
                  <c:v>104712.85480508996</c:v>
                </c:pt>
                <c:pt idx="402">
                  <c:v>107151.93052376082</c:v>
                </c:pt>
                <c:pt idx="403">
                  <c:v>109647.81961431868</c:v>
                </c:pt>
                <c:pt idx="404">
                  <c:v>112201.84543019651</c:v>
                </c:pt>
                <c:pt idx="405">
                  <c:v>114815.36214968823</c:v>
                </c:pt>
                <c:pt idx="406">
                  <c:v>117489.75549395311</c:v>
                </c:pt>
                <c:pt idx="407">
                  <c:v>120226.44346174144</c:v>
                </c:pt>
                <c:pt idx="408">
                  <c:v>123026.87708123829</c:v>
                </c:pt>
                <c:pt idx="409">
                  <c:v>125892.54117941685</c:v>
                </c:pt>
                <c:pt idx="410">
                  <c:v>128824.95516931375</c:v>
                </c:pt>
                <c:pt idx="411">
                  <c:v>131825.67385564081</c:v>
                </c:pt>
                <c:pt idx="412">
                  <c:v>134896.28825916545</c:v>
                </c:pt>
                <c:pt idx="413">
                  <c:v>138038.42646028858</c:v>
                </c:pt>
                <c:pt idx="414">
                  <c:v>141253.75446227577</c:v>
                </c:pt>
                <c:pt idx="415">
                  <c:v>144543.97707459307</c:v>
                </c:pt>
                <c:pt idx="416">
                  <c:v>147910.83881682079</c:v>
                </c:pt>
                <c:pt idx="417">
                  <c:v>151356.12484362084</c:v>
                </c:pt>
                <c:pt idx="418">
                  <c:v>154881.66189124843</c:v>
                </c:pt>
                <c:pt idx="419">
                  <c:v>158489.31924611164</c:v>
                </c:pt>
                <c:pt idx="420">
                  <c:v>162181.00973589328</c:v>
                </c:pt>
                <c:pt idx="421">
                  <c:v>165958.69074375604</c:v>
                </c:pt>
                <c:pt idx="422">
                  <c:v>169824.36524617471</c:v>
                </c:pt>
                <c:pt idx="423">
                  <c:v>173780.0828749378</c:v>
                </c:pt>
                <c:pt idx="424">
                  <c:v>177827.94100389251</c:v>
                </c:pt>
                <c:pt idx="425">
                  <c:v>181970.08586099857</c:v>
                </c:pt>
                <c:pt idx="426">
                  <c:v>186208.71366628664</c:v>
                </c:pt>
                <c:pt idx="427">
                  <c:v>190546.07179632492</c:v>
                </c:pt>
                <c:pt idx="428">
                  <c:v>194984.45997580473</c:v>
                </c:pt>
                <c:pt idx="429">
                  <c:v>199526.23149688813</c:v>
                </c:pt>
                <c:pt idx="430">
                  <c:v>204173.79446695308</c:v>
                </c:pt>
                <c:pt idx="431">
                  <c:v>208929.61308540447</c:v>
                </c:pt>
                <c:pt idx="432">
                  <c:v>213796.20895022334</c:v>
                </c:pt>
                <c:pt idx="433">
                  <c:v>218776.16239495538</c:v>
                </c:pt>
                <c:pt idx="434">
                  <c:v>223872.11385683404</c:v>
                </c:pt>
                <c:pt idx="435">
                  <c:v>229086.76527677779</c:v>
                </c:pt>
                <c:pt idx="436">
                  <c:v>234422.88153199267</c:v>
                </c:pt>
                <c:pt idx="437">
                  <c:v>239883.29190194907</c:v>
                </c:pt>
                <c:pt idx="438">
                  <c:v>245470.89156850305</c:v>
                </c:pt>
                <c:pt idx="439">
                  <c:v>251188.64315095844</c:v>
                </c:pt>
                <c:pt idx="440">
                  <c:v>257039.57827688678</c:v>
                </c:pt>
                <c:pt idx="441">
                  <c:v>263026.79918953858</c:v>
                </c:pt>
                <c:pt idx="442">
                  <c:v>269153.48039269145</c:v>
                </c:pt>
                <c:pt idx="443">
                  <c:v>275422.87033381703</c:v>
                </c:pt>
                <c:pt idx="444">
                  <c:v>281838.29312644573</c:v>
                </c:pt>
                <c:pt idx="445">
                  <c:v>288403.1503126609</c:v>
                </c:pt>
                <c:pt idx="446">
                  <c:v>295120.92266663886</c:v>
                </c:pt>
                <c:pt idx="447">
                  <c:v>301995.17204020242</c:v>
                </c:pt>
                <c:pt idx="448">
                  <c:v>309029.54325135931</c:v>
                </c:pt>
                <c:pt idx="449">
                  <c:v>316227.7660168382</c:v>
                </c:pt>
                <c:pt idx="450">
                  <c:v>323593.65692962846</c:v>
                </c:pt>
                <c:pt idx="451">
                  <c:v>331131.12148259126</c:v>
                </c:pt>
                <c:pt idx="452">
                  <c:v>338844.15613920329</c:v>
                </c:pt>
                <c:pt idx="453">
                  <c:v>346736.85045253241</c:v>
                </c:pt>
                <c:pt idx="454">
                  <c:v>354813.38923357555</c:v>
                </c:pt>
                <c:pt idx="455">
                  <c:v>363078.05477010203</c:v>
                </c:pt>
                <c:pt idx="456">
                  <c:v>371535.2290971732</c:v>
                </c:pt>
                <c:pt idx="457">
                  <c:v>380189.39632056188</c:v>
                </c:pt>
                <c:pt idx="458">
                  <c:v>389045.14499428123</c:v>
                </c:pt>
                <c:pt idx="459">
                  <c:v>398107.17055349716</c:v>
                </c:pt>
                <c:pt idx="460">
                  <c:v>407380.27780411334</c:v>
                </c:pt>
                <c:pt idx="461">
                  <c:v>416869.38347033598</c:v>
                </c:pt>
                <c:pt idx="462">
                  <c:v>426579.51880159322</c:v>
                </c:pt>
                <c:pt idx="463">
                  <c:v>436515.83224016649</c:v>
                </c:pt>
                <c:pt idx="464">
                  <c:v>446683.59215096442</c:v>
                </c:pt>
                <c:pt idx="465">
                  <c:v>457088.18961487547</c:v>
                </c:pt>
                <c:pt idx="466">
                  <c:v>467735.14128719864</c:v>
                </c:pt>
                <c:pt idx="467">
                  <c:v>478630.09232263872</c:v>
                </c:pt>
                <c:pt idx="468">
                  <c:v>489778.81936844654</c:v>
                </c:pt>
                <c:pt idx="469">
                  <c:v>501187.23362727347</c:v>
                </c:pt>
                <c:pt idx="470">
                  <c:v>512861.38399136515</c:v>
                </c:pt>
                <c:pt idx="471">
                  <c:v>524807.46024977288</c:v>
                </c:pt>
                <c:pt idx="472">
                  <c:v>537031.7963702539</c:v>
                </c:pt>
                <c:pt idx="473">
                  <c:v>549540.87385762564</c:v>
                </c:pt>
                <c:pt idx="474">
                  <c:v>562341.32519035018</c:v>
                </c:pt>
                <c:pt idx="475">
                  <c:v>575439.93733715697</c:v>
                </c:pt>
                <c:pt idx="476">
                  <c:v>588843.65535558888</c:v>
                </c:pt>
                <c:pt idx="477">
                  <c:v>602559.58607435878</c:v>
                </c:pt>
                <c:pt idx="478">
                  <c:v>616595.00186148309</c:v>
                </c:pt>
                <c:pt idx="479">
                  <c:v>630957.34448019415</c:v>
                </c:pt>
                <c:pt idx="480">
                  <c:v>645654.22903465747</c:v>
                </c:pt>
                <c:pt idx="481">
                  <c:v>660693.44800759677</c:v>
                </c:pt>
                <c:pt idx="482">
                  <c:v>676082.97539198259</c:v>
                </c:pt>
                <c:pt idx="483">
                  <c:v>691830.97091893724</c:v>
                </c:pt>
                <c:pt idx="484">
                  <c:v>707945.78438413853</c:v>
                </c:pt>
                <c:pt idx="485">
                  <c:v>724435.96007499192</c:v>
                </c:pt>
                <c:pt idx="486">
                  <c:v>741310.24130091805</c:v>
                </c:pt>
                <c:pt idx="487">
                  <c:v>758577.57502918423</c:v>
                </c:pt>
                <c:pt idx="488">
                  <c:v>776247.11662869214</c:v>
                </c:pt>
                <c:pt idx="489">
                  <c:v>794328.23472428333</c:v>
                </c:pt>
                <c:pt idx="490">
                  <c:v>812830.51616410096</c:v>
                </c:pt>
                <c:pt idx="491">
                  <c:v>831763.77110267128</c:v>
                </c:pt>
                <c:pt idx="492">
                  <c:v>851138.03820237669</c:v>
                </c:pt>
                <c:pt idx="493">
                  <c:v>870963.58995608077</c:v>
                </c:pt>
                <c:pt idx="494">
                  <c:v>891250.93813374708</c:v>
                </c:pt>
                <c:pt idx="495">
                  <c:v>912010.83935591124</c:v>
                </c:pt>
                <c:pt idx="496">
                  <c:v>933254.30079699249</c:v>
                </c:pt>
                <c:pt idx="497">
                  <c:v>954992.58602143743</c:v>
                </c:pt>
                <c:pt idx="498">
                  <c:v>977237.22095581202</c:v>
                </c:pt>
                <c:pt idx="499">
                  <c:v>1000000</c:v>
                </c:pt>
                <c:pt idx="500">
                  <c:v>1023292.9922807553</c:v>
                </c:pt>
                <c:pt idx="501">
                  <c:v>1047128.5480509007</c:v>
                </c:pt>
                <c:pt idx="502">
                  <c:v>1071519.3052376076</c:v>
                </c:pt>
                <c:pt idx="503">
                  <c:v>1096478.196143186</c:v>
                </c:pt>
                <c:pt idx="504">
                  <c:v>1122018.4543019643</c:v>
                </c:pt>
                <c:pt idx="505">
                  <c:v>1148153.6214968837</c:v>
                </c:pt>
                <c:pt idx="506">
                  <c:v>1174897.5549395324</c:v>
                </c:pt>
                <c:pt idx="507">
                  <c:v>1202264.4346174158</c:v>
                </c:pt>
                <c:pt idx="508">
                  <c:v>1230268.770812382</c:v>
                </c:pt>
                <c:pt idx="509">
                  <c:v>1258925.4117941677</c:v>
                </c:pt>
                <c:pt idx="510">
                  <c:v>1288249.5516931366</c:v>
                </c:pt>
                <c:pt idx="511">
                  <c:v>1318256.7385564097</c:v>
                </c:pt>
                <c:pt idx="512">
                  <c:v>1348962.8825916562</c:v>
                </c:pt>
                <c:pt idx="513">
                  <c:v>1380384.2646028849</c:v>
                </c:pt>
                <c:pt idx="514">
                  <c:v>1412537.5446227565</c:v>
                </c:pt>
                <c:pt idx="515">
                  <c:v>1445439.7707459298</c:v>
                </c:pt>
                <c:pt idx="516">
                  <c:v>1479108.3881682095</c:v>
                </c:pt>
                <c:pt idx="517">
                  <c:v>1513561.2484362102</c:v>
                </c:pt>
                <c:pt idx="518">
                  <c:v>1548816.6189124861</c:v>
                </c:pt>
                <c:pt idx="519">
                  <c:v>1584893.1924611153</c:v>
                </c:pt>
                <c:pt idx="520">
                  <c:v>1621810.0973589318</c:v>
                </c:pt>
                <c:pt idx="521">
                  <c:v>1659586.9074375622</c:v>
                </c:pt>
                <c:pt idx="522">
                  <c:v>1698243.6524617488</c:v>
                </c:pt>
                <c:pt idx="523">
                  <c:v>1737800.8287493798</c:v>
                </c:pt>
                <c:pt idx="524">
                  <c:v>1778279.4100389241</c:v>
                </c:pt>
                <c:pt idx="525">
                  <c:v>1819700.8586099846</c:v>
                </c:pt>
                <c:pt idx="526">
                  <c:v>1862087.1366628683</c:v>
                </c:pt>
                <c:pt idx="527">
                  <c:v>1905460.7179632513</c:v>
                </c:pt>
                <c:pt idx="528">
                  <c:v>1949844.5997580495</c:v>
                </c:pt>
                <c:pt idx="529">
                  <c:v>1995262.31496888</c:v>
                </c:pt>
                <c:pt idx="530">
                  <c:v>2041737.9446695296</c:v>
                </c:pt>
                <c:pt idx="531">
                  <c:v>2089296.1308540432</c:v>
                </c:pt>
                <c:pt idx="532">
                  <c:v>2137962.0895022359</c:v>
                </c:pt>
                <c:pt idx="533">
                  <c:v>2187761.6239495561</c:v>
                </c:pt>
                <c:pt idx="534">
                  <c:v>2238721.1385683389</c:v>
                </c:pt>
                <c:pt idx="535">
                  <c:v>2290867.6527677765</c:v>
                </c:pt>
                <c:pt idx="536">
                  <c:v>2344228.8153199251</c:v>
                </c:pt>
                <c:pt idx="537">
                  <c:v>2398832.9190194933</c:v>
                </c:pt>
                <c:pt idx="538">
                  <c:v>2454708.915685033</c:v>
                </c:pt>
                <c:pt idx="539">
                  <c:v>2511886.431509587</c:v>
                </c:pt>
                <c:pt idx="540">
                  <c:v>2570395.782768866</c:v>
                </c:pt>
                <c:pt idx="541">
                  <c:v>2630267.9918953842</c:v>
                </c:pt>
              </c:numCache>
            </c:numRef>
          </c:xVal>
          <c:yVal>
            <c:numRef>
              <c:f>Loop_Modeling!$BL$19:$BL$560</c:f>
              <c:numCache>
                <c:formatCode>General</c:formatCode>
                <c:ptCount val="542"/>
                <c:pt idx="0">
                  <c:v>63.264809055684424</c:v>
                </c:pt>
                <c:pt idx="1">
                  <c:v>63.064778119697287</c:v>
                </c:pt>
                <c:pt idx="2">
                  <c:v>62.864745726156606</c:v>
                </c:pt>
                <c:pt idx="3">
                  <c:v>62.664711806409855</c:v>
                </c:pt>
                <c:pt idx="4">
                  <c:v>62.464676288573145</c:v>
                </c:pt>
                <c:pt idx="5">
                  <c:v>62.264639097378748</c:v>
                </c:pt>
                <c:pt idx="6">
                  <c:v>62.064600154016595</c:v>
                </c:pt>
                <c:pt idx="7">
                  <c:v>61.864559375967225</c:v>
                </c:pt>
                <c:pt idx="8">
                  <c:v>61.664516676827901</c:v>
                </c:pt>
                <c:pt idx="9">
                  <c:v>61.464471966129949</c:v>
                </c:pt>
                <c:pt idx="10">
                  <c:v>61.264425149147719</c:v>
                </c:pt>
                <c:pt idx="11">
                  <c:v>61.064376126698633</c:v>
                </c:pt>
                <c:pt idx="12">
                  <c:v>60.86432479493358</c:v>
                </c:pt>
                <c:pt idx="13">
                  <c:v>60.66427104511849</c:v>
                </c:pt>
                <c:pt idx="14">
                  <c:v>60.464214763404172</c:v>
                </c:pt>
                <c:pt idx="15">
                  <c:v>60.264155830586631</c:v>
                </c:pt>
                <c:pt idx="16">
                  <c:v>60.064094121855476</c:v>
                </c:pt>
                <c:pt idx="17">
                  <c:v>59.864029506531089</c:v>
                </c:pt>
                <c:pt idx="18">
                  <c:v>59.663961847788968</c:v>
                </c:pt>
                <c:pt idx="19">
                  <c:v>59.463891002371689</c:v>
                </c:pt>
                <c:pt idx="20">
                  <c:v>59.263816820287154</c:v>
                </c:pt>
                <c:pt idx="21">
                  <c:v>59.063739144492587</c:v>
                </c:pt>
                <c:pt idx="22">
                  <c:v>58.863657810564547</c:v>
                </c:pt>
                <c:pt idx="23">
                  <c:v>58.663572646352485</c:v>
                </c:pt>
                <c:pt idx="24">
                  <c:v>58.463483471616925</c:v>
                </c:pt>
                <c:pt idx="25">
                  <c:v>58.263390097650706</c:v>
                </c:pt>
                <c:pt idx="26">
                  <c:v>58.063292326882404</c:v>
                </c:pt>
                <c:pt idx="27">
                  <c:v>57.863189952461184</c:v>
                </c:pt>
                <c:pt idx="28">
                  <c:v>57.663082757822828</c:v>
                </c:pt>
                <c:pt idx="29">
                  <c:v>57.462970516235224</c:v>
                </c:pt>
                <c:pt idx="30">
                  <c:v>57.262852990322912</c:v>
                </c:pt>
                <c:pt idx="31">
                  <c:v>57.062729931569493</c:v>
                </c:pt>
                <c:pt idx="32">
                  <c:v>56.862601079796974</c:v>
                </c:pt>
                <c:pt idx="33">
                  <c:v>56.662466162621257</c:v>
                </c:pt>
                <c:pt idx="34">
                  <c:v>56.462324894881874</c:v>
                </c:pt>
                <c:pt idx="35">
                  <c:v>56.262176978046156</c:v>
                </c:pt>
                <c:pt idx="36">
                  <c:v>56.062022099585171</c:v>
                </c:pt>
                <c:pt idx="37">
                  <c:v>55.861859932321281</c:v>
                </c:pt>
                <c:pt idx="38">
                  <c:v>55.661690133745225</c:v>
                </c:pt>
                <c:pt idx="39">
                  <c:v>55.46151234530231</c:v>
                </c:pt>
                <c:pt idx="40">
                  <c:v>55.261326191645566</c:v>
                </c:pt>
                <c:pt idx="41">
                  <c:v>55.061131279854074</c:v>
                </c:pt>
                <c:pt idx="42">
                  <c:v>54.86092719861648</c:v>
                </c:pt>
                <c:pt idx="43">
                  <c:v>54.66071351737579</c:v>
                </c:pt>
                <c:pt idx="44">
                  <c:v>54.460489785436451</c:v>
                </c:pt>
                <c:pt idx="45">
                  <c:v>54.260255531029429</c:v>
                </c:pt>
                <c:pt idx="46">
                  <c:v>54.060010260335368</c:v>
                </c:pt>
                <c:pt idx="47">
                  <c:v>53.859753456462876</c:v>
                </c:pt>
                <c:pt idx="48">
                  <c:v>53.659484578380528</c:v>
                </c:pt>
                <c:pt idx="49">
                  <c:v>53.45920305980048</c:v>
                </c:pt>
                <c:pt idx="50">
                  <c:v>53.258908308011073</c:v>
                </c:pt>
                <c:pt idx="51">
                  <c:v>53.058599702657133</c:v>
                </c:pt>
                <c:pt idx="52">
                  <c:v>52.85827659446511</c:v>
                </c:pt>
                <c:pt idx="53">
                  <c:v>52.657938303910441</c:v>
                </c:pt>
                <c:pt idx="54">
                  <c:v>52.457584119825526</c:v>
                </c:pt>
                <c:pt idx="55">
                  <c:v>52.257213297944929</c:v>
                </c:pt>
                <c:pt idx="56">
                  <c:v>52.056825059385396</c:v>
                </c:pt>
                <c:pt idx="57">
                  <c:v>51.856418589059331</c:v>
                </c:pt>
                <c:pt idx="58">
                  <c:v>51.655993034015339</c:v>
                </c:pt>
                <c:pt idx="59">
                  <c:v>51.455547501707386</c:v>
                </c:pt>
                <c:pt idx="60">
                  <c:v>51.255081058186548</c:v>
                </c:pt>
                <c:pt idx="61">
                  <c:v>51.054592726212668</c:v>
                </c:pt>
                <c:pt idx="62">
                  <c:v>50.854081483283622</c:v>
                </c:pt>
                <c:pt idx="63">
                  <c:v>50.653546259578562</c:v>
                </c:pt>
                <c:pt idx="64">
                  <c:v>50.45298593581024</c:v>
                </c:pt>
                <c:pt idx="65">
                  <c:v>50.252399340985406</c:v>
                </c:pt>
                <c:pt idx="66">
                  <c:v>50.051785250067752</c:v>
                </c:pt>
                <c:pt idx="67">
                  <c:v>49.851142381539937</c:v>
                </c:pt>
                <c:pt idx="68">
                  <c:v>49.650469394861375</c:v>
                </c:pt>
                <c:pt idx="69">
                  <c:v>49.449764887817921</c:v>
                </c:pt>
                <c:pt idx="70">
                  <c:v>49.249027393758098</c:v>
                </c:pt>
                <c:pt idx="71">
                  <c:v>49.048255378713748</c:v>
                </c:pt>
                <c:pt idx="72">
                  <c:v>48.847447238399269</c:v>
                </c:pt>
                <c:pt idx="73">
                  <c:v>48.64660129508546</c:v>
                </c:pt>
                <c:pt idx="74">
                  <c:v>48.445715794344501</c:v>
                </c:pt>
                <c:pt idx="75">
                  <c:v>48.244788901660456</c:v>
                </c:pt>
                <c:pt idx="76">
                  <c:v>48.043818698901276</c:v>
                </c:pt>
                <c:pt idx="77">
                  <c:v>47.842803180648218</c:v>
                </c:pt>
                <c:pt idx="78">
                  <c:v>47.64174025037687</c:v>
                </c:pt>
                <c:pt idx="79">
                  <c:v>47.440627716486965</c:v>
                </c:pt>
                <c:pt idx="80">
                  <c:v>47.239463288174591</c:v>
                </c:pt>
                <c:pt idx="81">
                  <c:v>47.03824457114321</c:v>
                </c:pt>
                <c:pt idx="82">
                  <c:v>46.836969063148779</c:v>
                </c:pt>
                <c:pt idx="83">
                  <c:v>46.635634149374432</c:v>
                </c:pt>
                <c:pt idx="84">
                  <c:v>46.434237097630302</c:v>
                </c:pt>
                <c:pt idx="85">
                  <c:v>46.232775053374084</c:v>
                </c:pt>
                <c:pt idx="86">
                  <c:v>46.031245034548512</c:v>
                </c:pt>
                <c:pt idx="87">
                  <c:v>45.829643926231213</c:v>
                </c:pt>
                <c:pt idx="88">
                  <c:v>45.627968475094548</c:v>
                </c:pt>
                <c:pt idx="89">
                  <c:v>45.426215283669073</c:v>
                </c:pt>
                <c:pt idx="90">
                  <c:v>45.224380804412178</c:v>
                </c:pt>
                <c:pt idx="91">
                  <c:v>45.022461333573844</c:v>
                </c:pt>
                <c:pt idx="92">
                  <c:v>44.820453004861413</c:v>
                </c:pt>
                <c:pt idx="93">
                  <c:v>44.618351782898827</c:v>
                </c:pt>
                <c:pt idx="94">
                  <c:v>44.416153456481375</c:v>
                </c:pt>
                <c:pt idx="95">
                  <c:v>44.213853631622456</c:v>
                </c:pt>
                <c:pt idx="96">
                  <c:v>44.011447724395794</c:v>
                </c:pt>
                <c:pt idx="97">
                  <c:v>43.808930953571441</c:v>
                </c:pt>
                <c:pt idx="98">
                  <c:v>43.60629833304845</c:v>
                </c:pt>
                <c:pt idx="99">
                  <c:v>43.40354466408818</c:v>
                </c:pt>
                <c:pt idx="100">
                  <c:v>43.200664527349701</c:v>
                </c:pt>
                <c:pt idx="101">
                  <c:v>42.997652274736197</c:v>
                </c:pt>
                <c:pt idx="102">
                  <c:v>42.794502021055443</c:v>
                </c:pt>
                <c:pt idx="103">
                  <c:v>42.591207635506116</c:v>
                </c:pt>
                <c:pt idx="104">
                  <c:v>42.3877627329977</c:v>
                </c:pt>
                <c:pt idx="105">
                  <c:v>42.184160665317066</c:v>
                </c:pt>
                <c:pt idx="106">
                  <c:v>41.980394512155797</c:v>
                </c:pt>
                <c:pt idx="107">
                  <c:v>41.776457072014011</c:v>
                </c:pt>
                <c:pt idx="108">
                  <c:v>41.572340853000647</c:v>
                </c:pt>
                <c:pt idx="109">
                  <c:v>41.368038063550117</c:v>
                </c:pt>
                <c:pt idx="110">
                  <c:v>41.163540603081906</c:v>
                </c:pt>
                <c:pt idx="111">
                  <c:v>40.958840052628204</c:v>
                </c:pt>
                <c:pt idx="112">
                  <c:v>40.753927665462982</c:v>
                </c:pt>
                <c:pt idx="113">
                  <c:v>40.548794357765829</c:v>
                </c:pt>
                <c:pt idx="114">
                  <c:v>40.343430699358713</c:v>
                </c:pt>
                <c:pt idx="115">
                  <c:v>40.137826904559802</c:v>
                </c:pt>
                <c:pt idx="116">
                  <c:v>39.931972823201029</c:v>
                </c:pt>
                <c:pt idx="117">
                  <c:v>39.725857931860261</c:v>
                </c:pt>
                <c:pt idx="118">
                  <c:v>39.519471325367363</c:v>
                </c:pt>
                <c:pt idx="119">
                  <c:v>39.312801708644287</c:v>
                </c:pt>
                <c:pt idx="120">
                  <c:v>39.105837388948935</c:v>
                </c:pt>
                <c:pt idx="121">
                  <c:v>38.898566268595488</c:v>
                </c:pt>
                <c:pt idx="122">
                  <c:v>38.690975838232362</c:v>
                </c:pt>
                <c:pt idx="123">
                  <c:v>38.483053170762958</c:v>
                </c:pt>
                <c:pt idx="124">
                  <c:v>38.274784916004087</c:v>
                </c:pt>
                <c:pt idx="125">
                  <c:v>38.066157296179995</c:v>
                </c:pt>
                <c:pt idx="126">
                  <c:v>37.857156102361053</c:v>
                </c:pt>
                <c:pt idx="127">
                  <c:v>37.647766691959802</c:v>
                </c:pt>
                <c:pt idx="128">
                  <c:v>37.437973987406458</c:v>
                </c:pt>
                <c:pt idx="129">
                  <c:v>37.227762476132028</c:v>
                </c:pt>
                <c:pt idx="130">
                  <c:v>37.017116211995905</c:v>
                </c:pt>
                <c:pt idx="131">
                  <c:v>36.806018818298952</c:v>
                </c:pt>
                <c:pt idx="132">
                  <c:v>36.594453492534043</c:v>
                </c:pt>
                <c:pt idx="133">
                  <c:v>36.382403013028494</c:v>
                </c:pt>
                <c:pt idx="134">
                  <c:v>36.169849747641869</c:v>
                </c:pt>
                <c:pt idx="135">
                  <c:v>35.956775664686404</c:v>
                </c:pt>
                <c:pt idx="136">
                  <c:v>35.743162346242954</c:v>
                </c:pt>
                <c:pt idx="137">
                  <c:v>35.528991004049018</c:v>
                </c:pt>
                <c:pt idx="138">
                  <c:v>35.314242498138206</c:v>
                </c:pt>
                <c:pt idx="139">
                  <c:v>35.098897358413346</c:v>
                </c:pt>
                <c:pt idx="140">
                  <c:v>34.88293580933238</c:v>
                </c:pt>
                <c:pt idx="141">
                  <c:v>34.666337797890449</c:v>
                </c:pt>
                <c:pt idx="142">
                  <c:v>34.449083025072021</c:v>
                </c:pt>
                <c:pt idx="143">
                  <c:v>34.231150980948087</c:v>
                </c:pt>
                <c:pt idx="144">
                  <c:v>34.012520983579783</c:v>
                </c:pt>
                <c:pt idx="145">
                  <c:v>33.793172221885563</c:v>
                </c:pt>
                <c:pt idx="146">
                  <c:v>33.57308380261226</c:v>
                </c:pt>
                <c:pt idx="147">
                  <c:v>33.35223480153693</c:v>
                </c:pt>
                <c:pt idx="148">
                  <c:v>33.130604319007972</c:v>
                </c:pt>
                <c:pt idx="149">
                  <c:v>32.908171539909226</c:v>
                </c:pt>
                <c:pt idx="150">
                  <c:v>32.684915798110325</c:v>
                </c:pt>
                <c:pt idx="151">
                  <c:v>32.460816645432303</c:v>
                </c:pt>
                <c:pt idx="152">
                  <c:v>32.235853925127891</c:v>
                </c:pt>
                <c:pt idx="153">
                  <c:v>32.010007849839816</c:v>
                </c:pt>
                <c:pt idx="154">
                  <c:v>31.783259083958029</c:v>
                </c:pt>
                <c:pt idx="155">
                  <c:v>31.55558883025504</c:v>
                </c:pt>
                <c:pt idx="156">
                  <c:v>31.326978920631081</c:v>
                </c:pt>
                <c:pt idx="157">
                  <c:v>31.097411910749315</c:v>
                </c:pt>
                <c:pt idx="158">
                  <c:v>30.866871178288836</c:v>
                </c:pt>
                <c:pt idx="159">
                  <c:v>30.63534102448779</c:v>
                </c:pt>
                <c:pt idx="160">
                  <c:v>30.402806778587582</c:v>
                </c:pt>
                <c:pt idx="161">
                  <c:v>30.169254904735109</c:v>
                </c:pt>
                <c:pt idx="162">
                  <c:v>29.934673110832723</c:v>
                </c:pt>
                <c:pt idx="163">
                  <c:v>29.699050458771037</c:v>
                </c:pt>
                <c:pt idx="164">
                  <c:v>29.462377475414506</c:v>
                </c:pt>
                <c:pt idx="165">
                  <c:v>29.224646263655604</c:v>
                </c:pt>
                <c:pt idx="166">
                  <c:v>28.985850612794366</c:v>
                </c:pt>
                <c:pt idx="167">
                  <c:v>28.745986107449912</c:v>
                </c:pt>
                <c:pt idx="168">
                  <c:v>28.505050234161736</c:v>
                </c:pt>
                <c:pt idx="169">
                  <c:v>28.263042484798376</c:v>
                </c:pt>
                <c:pt idx="170">
                  <c:v>28.019964455853973</c:v>
                </c:pt>
                <c:pt idx="171">
                  <c:v>27.775819942689154</c:v>
                </c:pt>
                <c:pt idx="172">
                  <c:v>27.530615027753633</c:v>
                </c:pt>
                <c:pt idx="173">
                  <c:v>27.284358161817657</c:v>
                </c:pt>
                <c:pt idx="174">
                  <c:v>27.037060237248141</c:v>
                </c:pt>
                <c:pt idx="175">
                  <c:v>26.788734652373204</c:v>
                </c:pt>
                <c:pt idx="176">
                  <c:v>26.539397366010014</c:v>
                </c:pt>
                <c:pt idx="177">
                  <c:v>26.289066941267304</c:v>
                </c:pt>
                <c:pt idx="178">
                  <c:v>26.037764577788195</c:v>
                </c:pt>
                <c:pt idx="179">
                  <c:v>25.785514131659259</c:v>
                </c:pt>
                <c:pt idx="180">
                  <c:v>25.532342122292874</c:v>
                </c:pt>
                <c:pt idx="181">
                  <c:v>25.278277725677111</c:v>
                </c:pt>
                <c:pt idx="182">
                  <c:v>25.023352753486545</c:v>
                </c:pt>
                <c:pt idx="183">
                  <c:v>24.767601617659842</c:v>
                </c:pt>
                <c:pt idx="184">
                  <c:v>24.511061280170161</c:v>
                </c:pt>
                <c:pt idx="185">
                  <c:v>24.253771187839341</c:v>
                </c:pt>
                <c:pt idx="186">
                  <c:v>23.995773192186405</c:v>
                </c:pt>
                <c:pt idx="187">
                  <c:v>23.737111454435361</c:v>
                </c:pt>
                <c:pt idx="188">
                  <c:v>23.477832335953501</c:v>
                </c:pt>
                <c:pt idx="189">
                  <c:v>23.217984274531617</c:v>
                </c:pt>
                <c:pt idx="190">
                  <c:v>22.957617647063636</c:v>
                </c:pt>
                <c:pt idx="191">
                  <c:v>22.696784619319928</c:v>
                </c:pt>
                <c:pt idx="192">
                  <c:v>22.435538983645106</c:v>
                </c:pt>
                <c:pt idx="193">
                  <c:v>22.17393598554056</c:v>
                </c:pt>
                <c:pt idx="194">
                  <c:v>21.912032140207675</c:v>
                </c:pt>
                <c:pt idx="195">
                  <c:v>21.649885040242825</c:v>
                </c:pt>
                <c:pt idx="196">
                  <c:v>21.387553155765936</c:v>
                </c:pt>
                <c:pt idx="197">
                  <c:v>21.125095628353868</c:v>
                </c:pt>
                <c:pt idx="198">
                  <c:v>20.862572060215136</c:v>
                </c:pt>
                <c:pt idx="199">
                  <c:v>20.60004230009698</c:v>
                </c:pt>
                <c:pt idx="200">
                  <c:v>20.337566227453998</c:v>
                </c:pt>
                <c:pt idx="201">
                  <c:v>20.075203536424439</c:v>
                </c:pt>
                <c:pt idx="202">
                  <c:v>19.813013521164578</c:v>
                </c:pt>
                <c:pt idx="203">
                  <c:v>19.551054864075471</c:v>
                </c:pt>
                <c:pt idx="204">
                  <c:v>19.289385428425124</c:v>
                </c:pt>
                <c:pt idx="205">
                  <c:v>19.028062056817266</c:v>
                </c:pt>
                <c:pt idx="206">
                  <c:v>18.767140376897487</c:v>
                </c:pt>
                <c:pt idx="207">
                  <c:v>18.506674615601458</c:v>
                </c:pt>
                <c:pt idx="208">
                  <c:v>18.246717423162231</c:v>
                </c:pt>
                <c:pt idx="209">
                  <c:v>17.987319707982266</c:v>
                </c:pt>
                <c:pt idx="210">
                  <c:v>17.728530483360924</c:v>
                </c:pt>
                <c:pt idx="211">
                  <c:v>17.470396726943903</c:v>
                </c:pt>
                <c:pt idx="212">
                  <c:v>17.212963253622505</c:v>
                </c:pt>
                <c:pt idx="213">
                  <c:v>16.956272602476673</c:v>
                </c:pt>
                <c:pt idx="214">
                  <c:v>16.700364938212289</c:v>
                </c:pt>
                <c:pt idx="215">
                  <c:v>16.445277967397228</c:v>
                </c:pt>
                <c:pt idx="216">
                  <c:v>16.191046869662177</c:v>
                </c:pt>
                <c:pt idx="217">
                  <c:v>15.937704243887714</c:v>
                </c:pt>
                <c:pt idx="218">
                  <c:v>15.685280069267067</c:v>
                </c:pt>
                <c:pt idx="219">
                  <c:v>15.433801681000109</c:v>
                </c:pt>
                <c:pt idx="220">
                  <c:v>15.18329376025606</c:v>
                </c:pt>
                <c:pt idx="221">
                  <c:v>14.933778337926737</c:v>
                </c:pt>
                <c:pt idx="222">
                  <c:v>14.685274811588187</c:v>
                </c:pt>
                <c:pt idx="223">
                  <c:v>14.437799975001155</c:v>
                </c:pt>
                <c:pt idx="224">
                  <c:v>14.191368059394909</c:v>
                </c:pt>
                <c:pt idx="225">
                  <c:v>13.945990785716294</c:v>
                </c:pt>
                <c:pt idx="226">
                  <c:v>13.70167742696837</c:v>
                </c:pt>
                <c:pt idx="227">
                  <c:v>13.45843487972135</c:v>
                </c:pt>
                <c:pt idx="228">
                  <c:v>13.216267743849459</c:v>
                </c:pt>
                <c:pt idx="229">
                  <c:v>12.975178409528246</c:v>
                </c:pt>
                <c:pt idx="230">
                  <c:v>12.735167150524326</c:v>
                </c:pt>
                <c:pt idx="231">
                  <c:v>12.496232222810992</c:v>
                </c:pt>
                <c:pt idx="232">
                  <c:v>12.25836996756035</c:v>
                </c:pt>
                <c:pt idx="233">
                  <c:v>12.021574917589156</c:v>
                </c:pt>
                <c:pt idx="234">
                  <c:v>11.78583990636392</c:v>
                </c:pt>
                <c:pt idx="235">
                  <c:v>11.551156178715482</c:v>
                </c:pt>
                <c:pt idx="236">
                  <c:v>11.317513502456208</c:v>
                </c:pt>
                <c:pt idx="237">
                  <c:v>11.084900280146297</c:v>
                </c:pt>
                <c:pt idx="238">
                  <c:v>10.853303660309203</c:v>
                </c:pt>
                <c:pt idx="239">
                  <c:v>10.622709647454208</c:v>
                </c:pt>
                <c:pt idx="240">
                  <c:v>10.393103210325357</c:v>
                </c:pt>
                <c:pt idx="241">
                  <c:v>10.164468387854921</c:v>
                </c:pt>
                <c:pt idx="242">
                  <c:v>9.9367883923612208</c:v>
                </c:pt>
                <c:pt idx="243">
                  <c:v>9.7100457095902009</c:v>
                </c:pt>
                <c:pt idx="244">
                  <c:v>9.4842221952592922</c:v>
                </c:pt>
                <c:pt idx="245">
                  <c:v>9.2592991678187122</c:v>
                </c:pt>
                <c:pt idx="246">
                  <c:v>9.0352574971985185</c:v>
                </c:pt>
                <c:pt idx="247">
                  <c:v>8.8120776893627522</c:v>
                </c:pt>
                <c:pt idx="248">
                  <c:v>8.5897399665388932</c:v>
                </c:pt>
                <c:pt idx="249">
                  <c:v>8.368224343035525</c:v>
                </c:pt>
                <c:pt idx="250">
                  <c:v>8.1475106966026498</c:v>
                </c:pt>
                <c:pt idx="251">
                  <c:v>7.9275788353270338</c:v>
                </c:pt>
                <c:pt idx="252">
                  <c:v>7.7084085600858145</c:v>
                </c:pt>
                <c:pt idx="253">
                  <c:v>7.4899797226162965</c:v>
                </c:pt>
                <c:pt idx="254">
                  <c:v>7.2722722792812231</c:v>
                </c:pt>
                <c:pt idx="255">
                  <c:v>7.0552663406348675</c:v>
                </c:pt>
                <c:pt idx="256">
                  <c:v>6.8389422169145977</c:v>
                </c:pt>
                <c:pt idx="257">
                  <c:v>6.623280459596339</c:v>
                </c:pt>
                <c:pt idx="258">
                  <c:v>6.4082618991690889</c:v>
                </c:pt>
                <c:pt idx="259">
                  <c:v>6.1938676792922367</c:v>
                </c:pt>
                <c:pt idx="260">
                  <c:v>5.980079287507964</c:v>
                </c:pt>
                <c:pt idx="261">
                  <c:v>5.7668785826858233</c:v>
                </c:pt>
                <c:pt idx="262">
                  <c:v>5.5542478193829856</c:v>
                </c:pt>
                <c:pt idx="263">
                  <c:v>5.3421696693011702</c:v>
                </c:pt>
                <c:pt idx="264">
                  <c:v>5.1306272400257456</c:v>
                </c:pt>
                <c:pt idx="265">
                  <c:v>4.9196040912270229</c:v>
                </c:pt>
                <c:pt idx="266">
                  <c:v>4.7090842485046505</c:v>
                </c:pt>
                <c:pt idx="267">
                  <c:v>4.4990522150495336</c:v>
                </c:pt>
                <c:pt idx="268">
                  <c:v>4.2894929812942539</c:v>
                </c:pt>
                <c:pt idx="269">
                  <c:v>4.0803920327179712</c:v>
                </c:pt>
                <c:pt idx="270">
                  <c:v>3.8717353559636534</c:v>
                </c:pt>
                <c:pt idx="271">
                  <c:v>3.6635094434219457</c:v>
                </c:pt>
                <c:pt idx="272">
                  <c:v>3.4557012964262142</c:v>
                </c:pt>
                <c:pt idx="273">
                  <c:v>3.2482984271969135</c:v>
                </c:pt>
                <c:pt idx="274">
                  <c:v>3.041288859667695</c:v>
                </c:pt>
                <c:pt idx="275">
                  <c:v>2.8346611293156583</c:v>
                </c:pt>
                <c:pt idx="276">
                  <c:v>2.6284042821116871</c:v>
                </c:pt>
                <c:pt idx="277">
                  <c:v>2.4225078726995313</c:v>
                </c:pt>
                <c:pt idx="278">
                  <c:v>2.2169619619049987</c:v>
                </c:pt>
                <c:pt idx="279">
                  <c:v>2.0117571136684091</c:v>
                </c:pt>
                <c:pt idx="280">
                  <c:v>1.8068843914858881</c:v>
                </c:pt>
                <c:pt idx="281">
                  <c:v>1.6023353544413372</c:v>
                </c:pt>
                <c:pt idx="282">
                  <c:v>1.3981020528989769</c:v>
                </c:pt>
                <c:pt idx="283">
                  <c:v>1.1941770239236833</c:v>
                </c:pt>
                <c:pt idx="284">
                  <c:v>0.99055328648941421</c:v>
                </c:pt>
                <c:pt idx="285">
                  <c:v>0.78722433652747159</c:v>
                </c:pt>
                <c:pt idx="286">
                  <c:v>0.58418414186250101</c:v>
                </c:pt>
                <c:pt idx="287">
                  <c:v>0.38142713707951614</c:v>
                </c:pt>
                <c:pt idx="288">
                  <c:v>0.17894821835558772</c:v>
                </c:pt>
                <c:pt idx="289">
                  <c:v>-2.3257261711922633E-2</c:v>
                </c:pt>
                <c:pt idx="290">
                  <c:v>-0.22519349925406409</c:v>
                </c:pt>
                <c:pt idx="291">
                  <c:v>-0.42686424423641739</c:v>
                </c:pt>
                <c:pt idx="292">
                  <c:v>-0.62827280550648035</c:v>
                </c:pt>
                <c:pt idx="293">
                  <c:v>-0.82942205577116734</c:v>
                </c:pt>
                <c:pt idx="294">
                  <c:v>-1.0303144364954986</c:v>
                </c:pt>
                <c:pt idx="295">
                  <c:v>-1.2309519627239047</c:v>
                </c:pt>
                <c:pt idx="296">
                  <c:v>-1.4313362278217026</c:v>
                </c:pt>
                <c:pt idx="297">
                  <c:v>-1.6314684081445652</c:v>
                </c:pt>
                <c:pt idx="298">
                  <c:v>-1.831349267645147</c:v>
                </c:pt>
                <c:pt idx="299">
                  <c:v>-2.0309791624299853</c:v>
                </c:pt>
                <c:pt idx="300">
                  <c:v>-2.2303580452840772</c:v>
                </c:pt>
                <c:pt idx="301">
                  <c:v>-2.4294854701829163</c:v>
                </c:pt>
                <c:pt idx="302">
                  <c:v>-2.628360596817982</c:v>
                </c:pt>
                <c:pt idx="303">
                  <c:v>-2.8269821951611798</c:v>
                </c:pt>
                <c:pt idx="304">
                  <c:v>-3.0253486501000748</c:v>
                </c:pt>
                <c:pt idx="305">
                  <c:v>-3.2234579661788141</c:v>
                </c:pt>
                <c:pt idx="306">
                  <c:v>-3.421307772479842</c:v>
                </c:pt>
                <c:pt idx="307">
                  <c:v>-3.6188953276876128</c:v>
                </c:pt>
                <c:pt idx="308">
                  <c:v>-3.8162175253768864</c:v>
                </c:pt>
                <c:pt idx="309">
                  <c:v>-4.0132708995710811</c:v>
                </c:pt>
                <c:pt idx="310">
                  <c:v>-4.2100516306169258</c:v>
                </c:pt>
                <c:pt idx="311">
                  <c:v>-4.4065555514267816</c:v>
                </c:pt>
                <c:pt idx="312">
                  <c:v>-4.6027781541396182</c:v>
                </c:pt>
                <c:pt idx="313">
                  <c:v>-4.7987145972530687</c:v>
                </c:pt>
                <c:pt idx="314">
                  <c:v>-4.9943597132817636</c:v>
                </c:pt>
                <c:pt idx="315">
                  <c:v>-5.1897080169974865</c:v>
                </c:pt>
                <c:pt idx="316">
                  <c:v>-5.3847537143058064</c:v>
                </c:pt>
                <c:pt idx="317">
                  <c:v>-5.5794907118161881</c:v>
                </c:pt>
                <c:pt idx="318">
                  <c:v>-5.7739126271592136</c:v>
                </c:pt>
                <c:pt idx="319">
                  <c:v>-5.9680128001078723</c:v>
                </c:pt>
                <c:pt idx="320">
                  <c:v>-6.1617843045534411</c:v>
                </c:pt>
                <c:pt idx="321">
                  <c:v>-6.3552199613868909</c:v>
                </c:pt>
                <c:pt idx="322">
                  <c:v>-6.5483123523359055</c:v>
                </c:pt>
                <c:pt idx="323">
                  <c:v>-6.7410538347991338</c:v>
                </c:pt>
                <c:pt idx="324">
                  <c:v>-6.9334365577203876</c:v>
                </c:pt>
                <c:pt idx="325">
                  <c:v>-7.1254524785374063</c:v>
                </c:pt>
                <c:pt idx="326">
                  <c:v>-7.3170933812362353</c:v>
                </c:pt>
                <c:pt idx="327">
                  <c:v>-7.5083508955347833</c:v>
                </c:pt>
                <c:pt idx="328">
                  <c:v>-7.6992165172135207</c:v>
                </c:pt>
                <c:pt idx="329">
                  <c:v>-7.8896816296045138</c:v>
                </c:pt>
                <c:pt idx="330">
                  <c:v>-8.0797375262395494</c:v>
                </c:pt>
                <c:pt idx="331">
                  <c:v>-8.2693754346529786</c:v>
                </c:pt>
                <c:pt idx="332">
                  <c:v>-8.4585865413248058</c:v>
                </c:pt>
                <c:pt idx="333">
                  <c:v>-8.6473620177404182</c:v>
                </c:pt>
                <c:pt idx="334">
                  <c:v>-8.8356930475347681</c:v>
                </c:pt>
                <c:pt idx="335">
                  <c:v>-9.0235708546812425</c:v>
                </c:pt>
                <c:pt idx="336">
                  <c:v>-9.2109867326732271</c:v>
                </c:pt>
                <c:pt idx="337">
                  <c:v>-9.3979320746420072</c:v>
                </c:pt>
                <c:pt idx="338">
                  <c:v>-9.584398404343716</c:v>
                </c:pt>
                <c:pt idx="339">
                  <c:v>-9.7703774079430374</c:v>
                </c:pt>
                <c:pt idx="340">
                  <c:v>-9.955860966512331</c:v>
                </c:pt>
                <c:pt idx="341">
                  <c:v>-10.140841189162744</c:v>
                </c:pt>
                <c:pt idx="342">
                  <c:v>-10.325310446716635</c:v>
                </c:pt>
                <c:pt idx="343">
                  <c:v>-10.509261405830122</c:v>
                </c:pt>
                <c:pt idx="344">
                  <c:v>-10.692687063470512</c:v>
                </c:pt>
                <c:pt idx="345">
                  <c:v>-10.875580781655973</c:v>
                </c:pt>
                <c:pt idx="346">
                  <c:v>-11.05793632236254</c:v>
                </c:pt>
                <c:pt idx="347">
                  <c:v>-11.239747882509956</c:v>
                </c:pt>
                <c:pt idx="348">
                  <c:v>-11.421010128936848</c:v>
                </c:pt>
                <c:pt idx="349">
                  <c:v>-11.601718233285364</c:v>
                </c:pt>
                <c:pt idx="350">
                  <c:v>-11.781867906716393</c:v>
                </c:pt>
                <c:pt idx="351">
                  <c:v>-11.961455434386014</c:v>
                </c:pt>
                <c:pt idx="352">
                  <c:v>-12.140477709617087</c:v>
                </c:pt>
                <c:pt idx="353">
                  <c:v>-12.318932267707542</c:v>
                </c:pt>
                <c:pt idx="354">
                  <c:v>-12.496817319321543</c:v>
                </c:pt>
                <c:pt idx="355">
                  <c:v>-12.674131783414124</c:v>
                </c:pt>
                <c:pt idx="356">
                  <c:v>-12.850875319640092</c:v>
                </c:pt>
                <c:pt idx="357">
                  <c:v>-13.027048360202285</c:v>
                </c:pt>
                <c:pt idx="358">
                  <c:v>-13.202652141087059</c:v>
                </c:pt>
                <c:pt idx="359">
                  <c:v>-13.377688732634173</c:v>
                </c:pt>
                <c:pt idx="360">
                  <c:v>-13.552161069376059</c:v>
                </c:pt>
                <c:pt idx="361">
                  <c:v>-13.726072979072281</c:v>
                </c:pt>
                <c:pt idx="362">
                  <c:v>-13.899429210846563</c:v>
                </c:pt>
                <c:pt idx="363">
                  <c:v>-14.072235462318286</c:v>
                </c:pt>
                <c:pt idx="364">
                  <c:v>-14.244498405593266</c:v>
                </c:pt>
                <c:pt idx="365">
                  <c:v>-14.416225711957257</c:v>
                </c:pt>
                <c:pt idx="366">
                  <c:v>-14.587426075084426</c:v>
                </c:pt>
                <c:pt idx="367">
                  <c:v>-14.758109232545477</c:v>
                </c:pt>
                <c:pt idx="368">
                  <c:v>-14.928285985365815</c:v>
                </c:pt>
                <c:pt idx="369">
                  <c:v>-15.097968215356545</c:v>
                </c:pt>
                <c:pt idx="370">
                  <c:v>-15.267168899907768</c:v>
                </c:pt>
                <c:pt idx="371">
                  <c:v>-15.435902123907718</c:v>
                </c:pt>
                <c:pt idx="372">
                  <c:v>-15.604183088424415</c:v>
                </c:pt>
                <c:pt idx="373">
                  <c:v>-15.772028115768702</c:v>
                </c:pt>
                <c:pt idx="374">
                  <c:v>-15.939454650542206</c:v>
                </c:pt>
                <c:pt idx="375">
                  <c:v>-16.106481256264203</c:v>
                </c:pt>
                <c:pt idx="376">
                  <c:v>-16.273127607178701</c:v>
                </c:pt>
                <c:pt idx="377">
                  <c:v>-16.439414474845119</c:v>
                </c:pt>
                <c:pt idx="378">
                  <c:v>-16.605363709140978</c:v>
                </c:pt>
                <c:pt idx="379">
                  <c:v>-16.770998213334074</c:v>
                </c:pt>
                <c:pt idx="380">
                  <c:v>-16.936341912920053</c:v>
                </c:pt>
                <c:pt idx="381">
                  <c:v>-17.101419717972366</c:v>
                </c:pt>
                <c:pt idx="382">
                  <c:v>-17.266257478815831</c:v>
                </c:pt>
                <c:pt idx="383">
                  <c:v>-17.430881934898004</c:v>
                </c:pt>
                <c:pt idx="384">
                  <c:v>-17.595320656818632</c:v>
                </c:pt>
                <c:pt idx="385">
                  <c:v>-17.759601981555221</c:v>
                </c:pt>
                <c:pt idx="386">
                  <c:v>-17.92375494102026</c:v>
                </c:pt>
                <c:pt idx="387">
                  <c:v>-18.087809184174038</c:v>
                </c:pt>
                <c:pt idx="388">
                  <c:v>-18.251794893018115</c:v>
                </c:pt>
                <c:pt idx="389">
                  <c:v>-18.415742692886742</c:v>
                </c:pt>
                <c:pt idx="390">
                  <c:v>-18.57968355755051</c:v>
                </c:pt>
                <c:pt idx="391">
                  <c:v>-18.743648709731239</c:v>
                </c:pt>
                <c:pt idx="392">
                  <c:v>-18.907669517715341</c:v>
                </c:pt>
                <c:pt idx="393">
                  <c:v>-19.071777388821289</c:v>
                </c:pt>
                <c:pt idx="394">
                  <c:v>-19.23600366054335</c:v>
                </c:pt>
                <c:pt idx="395">
                  <c:v>-19.400379490246081</c:v>
                </c:pt>
                <c:pt idx="396">
                  <c:v>-19.564935744320024</c:v>
                </c:pt>
                <c:pt idx="397">
                  <c:v>-19.729702887735144</c:v>
                </c:pt>
                <c:pt idx="398">
                  <c:v>-19.894710874939307</c:v>
                </c:pt>
                <c:pt idx="399">
                  <c:v>-20.059989043041178</c:v>
                </c:pt>
                <c:pt idx="400">
                  <c:v>-20.225566008198726</c:v>
                </c:pt>
                <c:pt idx="401">
                  <c:v>-20.391469566099115</c:v>
                </c:pt>
                <c:pt idx="402">
                  <c:v>-20.557726597366937</c:v>
                </c:pt>
                <c:pt idx="403">
                  <c:v>-20.724362978678744</c:v>
                </c:pt>
                <c:pt idx="404">
                  <c:v>-20.891403500285996</c:v>
                </c:pt>
                <c:pt idx="405">
                  <c:v>-21.05887179057185</c:v>
                </c:pt>
                <c:pt idx="406">
                  <c:v>-21.226790248172144</c:v>
                </c:pt>
                <c:pt idx="407">
                  <c:v>-21.395179982098725</c:v>
                </c:pt>
                <c:pt idx="408">
                  <c:v>-21.564060760204562</c:v>
                </c:pt>
                <c:pt idx="409">
                  <c:v>-21.733450966222655</c:v>
                </c:pt>
                <c:pt idx="410">
                  <c:v>-21.903367565518167</c:v>
                </c:pt>
                <c:pt idx="411">
                  <c:v>-22.073826079581771</c:v>
                </c:pt>
                <c:pt idx="412">
                  <c:v>-22.244840569207799</c:v>
                </c:pt>
                <c:pt idx="413">
                  <c:v>-22.416423626198046</c:v>
                </c:pt>
                <c:pt idx="414">
                  <c:v>-22.588586373355184</c:v>
                </c:pt>
                <c:pt idx="415">
                  <c:v>-22.761338472446155</c:v>
                </c:pt>
                <c:pt idx="416">
                  <c:v>-22.934688139751159</c:v>
                </c:pt>
                <c:pt idx="417">
                  <c:v>-23.108642168749935</c:v>
                </c:pt>
                <c:pt idx="418">
                  <c:v>-23.283205959447262</c:v>
                </c:pt>
                <c:pt idx="419">
                  <c:v>-23.458383553801717</c:v>
                </c:pt>
                <c:pt idx="420">
                  <c:v>-23.634177676684736</c:v>
                </c:pt>
                <c:pt idx="421">
                  <c:v>-23.810589781779399</c:v>
                </c:pt>
                <c:pt idx="422">
                  <c:v>-23.987620101815637</c:v>
                </c:pt>
                <c:pt idx="423">
                  <c:v>-24.165267702531533</c:v>
                </c:pt>
                <c:pt idx="424">
                  <c:v>-24.343530539758937</c:v>
                </c:pt>
                <c:pt idx="425">
                  <c:v>-24.522405519037605</c:v>
                </c:pt>
                <c:pt idx="426">
                  <c:v>-24.701888557186216</c:v>
                </c:pt>
                <c:pt idx="427">
                  <c:v>-24.881974645274969</c:v>
                </c:pt>
                <c:pt idx="428">
                  <c:v>-25.062657912479356</c:v>
                </c:pt>
                <c:pt idx="429">
                  <c:v>-25.243931690321759</c:v>
                </c:pt>
                <c:pt idx="430">
                  <c:v>-25.425788576845108</c:v>
                </c:pt>
                <c:pt idx="431">
                  <c:v>-25.608220500300391</c:v>
                </c:pt>
                <c:pt idx="432">
                  <c:v>-25.791218781965966</c:v>
                </c:pt>
                <c:pt idx="433">
                  <c:v>-25.974774197759881</c:v>
                </c:pt>
                <c:pt idx="434">
                  <c:v>-26.158877038343455</c:v>
                </c:pt>
                <c:pt idx="435">
                  <c:v>-26.34351716745428</c:v>
                </c:pt>
                <c:pt idx="436">
                  <c:v>-26.528684078244972</c:v>
                </c:pt>
                <c:pt idx="437">
                  <c:v>-26.714366947441938</c:v>
                </c:pt>
                <c:pt idx="438">
                  <c:v>-26.900554687172008</c:v>
                </c:pt>
                <c:pt idx="439">
                  <c:v>-27.087235994339402</c:v>
                </c:pt>
                <c:pt idx="440">
                  <c:v>-27.274399397465437</c:v>
                </c:pt>
                <c:pt idx="441">
                  <c:v>-27.462033300933257</c:v>
                </c:pt>
                <c:pt idx="442">
                  <c:v>-27.650126026605484</c:v>
                </c:pt>
                <c:pt idx="443">
                  <c:v>-27.83866585280586</c:v>
                </c:pt>
                <c:pt idx="444">
                  <c:v>-28.027641050679097</c:v>
                </c:pt>
                <c:pt idx="445">
                  <c:v>-28.217039917959902</c:v>
                </c:pt>
                <c:pt idx="446">
                  <c:v>-28.406850810200616</c:v>
                </c:pt>
                <c:pt idx="447">
                  <c:v>-28.597062169519507</c:v>
                </c:pt>
                <c:pt idx="448">
                  <c:v>-28.787662550945001</c:v>
                </c:pt>
                <c:pt idx="449">
                  <c:v>-28.978640646440816</c:v>
                </c:pt>
                <c:pt idx="450">
                  <c:v>-29.169985306705012</c:v>
                </c:pt>
                <c:pt idx="451">
                  <c:v>-29.361685560842243</c:v>
                </c:pt>
                <c:pt idx="452">
                  <c:v>-29.553730634013942</c:v>
                </c:pt>
                <c:pt idx="453">
                  <c:v>-29.74610996317432</c:v>
                </c:pt>
                <c:pt idx="454">
                  <c:v>-29.938813211001012</c:v>
                </c:pt>
                <c:pt idx="455">
                  <c:v>-30.131830278132977</c:v>
                </c:pt>
                <c:pt idx="456">
                  <c:v>-30.325151313824197</c:v>
                </c:pt>
                <c:pt idx="457">
                  <c:v>-30.518766725125065</c:v>
                </c:pt>
                <c:pt idx="458">
                  <c:v>-30.712667184698045</c:v>
                </c:pt>
                <c:pt idx="459">
                  <c:v>-30.906843637374322</c:v>
                </c:pt>
                <c:pt idx="460">
                  <c:v>-31.101287305554219</c:v>
                </c:pt>
                <c:pt idx="461">
                  <c:v>-31.295989693550471</c:v>
                </c:pt>
                <c:pt idx="462">
                  <c:v>-31.490942590971763</c:v>
                </c:pt>
                <c:pt idx="463">
                  <c:v>-31.686138075237665</c:v>
                </c:pt>
                <c:pt idx="464">
                  <c:v>-31.881568513313429</c:v>
                </c:pt>
                <c:pt idx="465">
                  <c:v>-32.07722656274921</c:v>
                </c:pt>
                <c:pt idx="466">
                  <c:v>-32.273105172102589</c:v>
                </c:pt>
                <c:pt idx="467">
                  <c:v>-32.469197580821373</c:v>
                </c:pt>
                <c:pt idx="468">
                  <c:v>-32.665497318656215</c:v>
                </c:pt>
                <c:pt idx="469">
                  <c:v>-32.861998204671707</c:v>
                </c:pt>
                <c:pt idx="470">
                  <c:v>-33.058694345918489</c:v>
                </c:pt>
                <c:pt idx="471">
                  <c:v>-33.25558013582561</c:v>
                </c:pt>
                <c:pt idx="472">
                  <c:v>-33.452650252367228</c:v>
                </c:pt>
                <c:pt idx="473">
                  <c:v>-33.649899656058508</c:v>
                </c:pt>
                <c:pt idx="474">
                  <c:v>-33.84732358782518</c:v>
                </c:pt>
                <c:pt idx="475">
                  <c:v>-34.044917566792535</c:v>
                </c:pt>
                <c:pt idx="476">
                  <c:v>-34.242677388038111</c:v>
                </c:pt>
                <c:pt idx="477">
                  <c:v>-34.440599120341929</c:v>
                </c:pt>
                <c:pt idx="478">
                  <c:v>-34.638679103974411</c:v>
                </c:pt>
                <c:pt idx="479">
                  <c:v>-34.836913948552109</c:v>
                </c:pt>
                <c:pt idx="480">
                  <c:v>-35.035300530993702</c:v>
                </c:pt>
                <c:pt idx="481">
                  <c:v>-35.2338359936033</c:v>
                </c:pt>
                <c:pt idx="482">
                  <c:v>-35.432517742308541</c:v>
                </c:pt>
                <c:pt idx="483">
                  <c:v>-35.631343445075771</c:v>
                </c:pt>
                <c:pt idx="484">
                  <c:v>-35.830311030527966</c:v>
                </c:pt>
                <c:pt idx="485">
                  <c:v>-36.029418686782073</c:v>
                </c:pt>
                <c:pt idx="486">
                  <c:v>-36.228664860528426</c:v>
                </c:pt>
                <c:pt idx="487">
                  <c:v>-36.428048256368292</c:v>
                </c:pt>
                <c:pt idx="488">
                  <c:v>-36.627567836426522</c:v>
                </c:pt>
                <c:pt idx="489">
                  <c:v>-36.827222820254782</c:v>
                </c:pt>
                <c:pt idx="490">
                  <c:v>-37.027012685038876</c:v>
                </c:pt>
                <c:pt idx="491">
                  <c:v>-37.22693716612617</c:v>
                </c:pt>
                <c:pt idx="492">
                  <c:v>-37.426996257881214</c:v>
                </c:pt>
                <c:pt idx="493">
                  <c:v>-37.627190214885459</c:v>
                </c:pt>
                <c:pt idx="494">
                  <c:v>-37.827519553490646</c:v>
                </c:pt>
                <c:pt idx="495">
                  <c:v>-38.027985053734177</c:v>
                </c:pt>
                <c:pt idx="496">
                  <c:v>-38.228587761630898</c:v>
                </c:pt>
                <c:pt idx="497">
                  <c:v>-38.429328991845033</c:v>
                </c:pt>
                <c:pt idx="498">
                  <c:v>-38.630210330755453</c:v>
                </c:pt>
                <c:pt idx="499">
                  <c:v>-38.831233639920526</c:v>
                </c:pt>
                <c:pt idx="500">
                  <c:v>-39.032401059950324</c:v>
                </c:pt>
                <c:pt idx="501">
                  <c:v>-39.233715014794562</c:v>
                </c:pt>
                <c:pt idx="502">
                  <c:v>-39.435178216452115</c:v>
                </c:pt>
                <c:pt idx="503">
                  <c:v>-39.63679367010927</c:v>
                </c:pt>
                <c:pt idx="504">
                  <c:v>-39.838564679713755</c:v>
                </c:pt>
                <c:pt idx="505">
                  <c:v>-40.040494853987539</c:v>
                </c:pt>
                <c:pt idx="506">
                  <c:v>-40.242588112886857</c:v>
                </c:pt>
                <c:pt idx="507">
                  <c:v>-40.444848694511649</c:v>
                </c:pt>
                <c:pt idx="508">
                  <c:v>-40.647281162469262</c:v>
                </c:pt>
                <c:pt idx="509">
                  <c:v>-40.849890413696301</c:v>
                </c:pt>
                <c:pt idx="510">
                  <c:v>-41.052681686740826</c:v>
                </c:pt>
                <c:pt idx="511">
                  <c:v>-41.255660570507153</c:v>
                </c:pt>
                <c:pt idx="512">
                  <c:v>-41.458833013463341</c:v>
                </c:pt>
                <c:pt idx="513">
                  <c:v>-41.662205333313473</c:v>
                </c:pt>
                <c:pt idx="514">
                  <c:v>-41.865784227132316</c:v>
                </c:pt>
                <c:pt idx="515">
                  <c:v>-42.069576781959071</c:v>
                </c:pt>
                <c:pt idx="516">
                  <c:v>-42.273590485850399</c:v>
                </c:pt>
                <c:pt idx="517">
                  <c:v>-42.477833239383173</c:v>
                </c:pt>
                <c:pt idx="518">
                  <c:v>-42.682313367603967</c:v>
                </c:pt>
                <c:pt idx="519">
                  <c:v>-42.887039632414115</c:v>
                </c:pt>
                <c:pt idx="520">
                  <c:v>-43.092021245382064</c:v>
                </c:pt>
                <c:pt idx="521">
                  <c:v>-43.297267880967716</c:v>
                </c:pt>
                <c:pt idx="522">
                  <c:v>-43.50278969014618</c:v>
                </c:pt>
                <c:pt idx="523">
                  <c:v>-43.708597314410682</c:v>
                </c:pt>
                <c:pt idx="524">
                  <c:v>-43.91470190013581</c:v>
                </c:pt>
                <c:pt idx="525">
                  <c:v>-44.121115113274385</c:v>
                </c:pt>
                <c:pt idx="526">
                  <c:v>-44.327849154364536</c:v>
                </c:pt>
                <c:pt idx="527">
                  <c:v>-44.534916773810536</c:v>
                </c:pt>
                <c:pt idx="528">
                  <c:v>-44.742331287406373</c:v>
                </c:pt>
                <c:pt idx="529">
                  <c:v>-44.950106592060528</c:v>
                </c:pt>
                <c:pt idx="530">
                  <c:v>-45.158257181676731</c:v>
                </c:pt>
                <c:pt idx="531">
                  <c:v>-45.366798163143081</c:v>
                </c:pt>
                <c:pt idx="532">
                  <c:v>-45.575745272373538</c:v>
                </c:pt>
                <c:pt idx="533">
                  <c:v>-45.785114890340921</c:v>
                </c:pt>
                <c:pt idx="534">
                  <c:v>-45.994924059035959</c:v>
                </c:pt>
                <c:pt idx="535">
                  <c:v>-46.205190497278664</c:v>
                </c:pt>
                <c:pt idx="536">
                  <c:v>-46.415932616302442</c:v>
                </c:pt>
                <c:pt idx="537">
                  <c:v>-46.627169535023967</c:v>
                </c:pt>
                <c:pt idx="538">
                  <c:v>-46.838921094905508</c:v>
                </c:pt>
                <c:pt idx="539">
                  <c:v>-47.051207874307138</c:v>
                </c:pt>
                <c:pt idx="540">
                  <c:v>-47.264051202220038</c:v>
                </c:pt>
                <c:pt idx="541">
                  <c:v>-47.477473171262332</c:v>
                </c:pt>
              </c:numCache>
            </c:numRef>
          </c:yVal>
          <c:smooth val="1"/>
          <c:extLst>
            <c:ext xmlns:c16="http://schemas.microsoft.com/office/drawing/2014/chart" uri="{C3380CC4-5D6E-409C-BE32-E72D297353CC}">
              <c16:uniqueId val="{00000000-8173-45EB-83AD-B179A66292B6}"/>
            </c:ext>
          </c:extLst>
        </c:ser>
        <c:dLbls>
          <c:showLegendKey val="0"/>
          <c:showVal val="0"/>
          <c:showCatName val="0"/>
          <c:showSerName val="0"/>
          <c:showPercent val="0"/>
          <c:showBubbleSize val="0"/>
        </c:dLbls>
        <c:axId val="555528192"/>
        <c:axId val="555530112"/>
      </c:scatterChart>
      <c:scatterChart>
        <c:scatterStyle val="smoothMarker"/>
        <c:varyColors val="0"/>
        <c:ser>
          <c:idx val="1"/>
          <c:order val="1"/>
          <c:spPr>
            <a:ln w="38100">
              <a:solidFill>
                <a:schemeClr val="tx1">
                  <a:lumMod val="95000"/>
                  <a:lumOff val="5000"/>
                </a:schemeClr>
              </a:solidFill>
              <a:prstDash val="sysDash"/>
            </a:ln>
          </c:spPr>
          <c:marker>
            <c:symbol val="none"/>
          </c:marker>
          <c:xVal>
            <c:numRef>
              <c:f>Loop_Modeling!$O$19:$O$560</c:f>
              <c:numCache>
                <c:formatCode>0.00</c:formatCode>
                <c:ptCount val="542"/>
                <c:pt idx="0">
                  <c:v>10.232929922807543</c:v>
                </c:pt>
                <c:pt idx="1">
                  <c:v>10.471285480509</c:v>
                </c:pt>
                <c:pt idx="2">
                  <c:v>10.715193052376069</c:v>
                </c:pt>
                <c:pt idx="3">
                  <c:v>10.964781961431854</c:v>
                </c:pt>
                <c:pt idx="4">
                  <c:v>11.220184543019636</c:v>
                </c:pt>
                <c:pt idx="5">
                  <c:v>11.481536214968834</c:v>
                </c:pt>
                <c:pt idx="6">
                  <c:v>11.748975549395301</c:v>
                </c:pt>
                <c:pt idx="7">
                  <c:v>12.022644346174133</c:v>
                </c:pt>
                <c:pt idx="8">
                  <c:v>12.302687708123818</c:v>
                </c:pt>
                <c:pt idx="9">
                  <c:v>12.58925411794168</c:v>
                </c:pt>
                <c:pt idx="10">
                  <c:v>12.882495516931346</c:v>
                </c:pt>
                <c:pt idx="11">
                  <c:v>13.182567385564075</c:v>
                </c:pt>
                <c:pt idx="12">
                  <c:v>13.489628825916535</c:v>
                </c:pt>
                <c:pt idx="13">
                  <c:v>13.803842646028857</c:v>
                </c:pt>
                <c:pt idx="14">
                  <c:v>14.125375446227544</c:v>
                </c:pt>
                <c:pt idx="15">
                  <c:v>14.454397707459275</c:v>
                </c:pt>
                <c:pt idx="16">
                  <c:v>14.791083881682074</c:v>
                </c:pt>
                <c:pt idx="17">
                  <c:v>15.135612484362087</c:v>
                </c:pt>
                <c:pt idx="18">
                  <c:v>15.488166189124817</c:v>
                </c:pt>
                <c:pt idx="19">
                  <c:v>15.848931924611136</c:v>
                </c:pt>
                <c:pt idx="20">
                  <c:v>16.218100973589298</c:v>
                </c:pt>
                <c:pt idx="21">
                  <c:v>16.595869074375614</c:v>
                </c:pt>
                <c:pt idx="22">
                  <c:v>16.982436524617448</c:v>
                </c:pt>
                <c:pt idx="23">
                  <c:v>17.378008287493756</c:v>
                </c:pt>
                <c:pt idx="24">
                  <c:v>17.782794100389236</c:v>
                </c:pt>
                <c:pt idx="25">
                  <c:v>18.197008586099841</c:v>
                </c:pt>
                <c:pt idx="26">
                  <c:v>18.62087136662868</c:v>
                </c:pt>
                <c:pt idx="27">
                  <c:v>19.054607179632477</c:v>
                </c:pt>
                <c:pt idx="28">
                  <c:v>19.498445997580465</c:v>
                </c:pt>
                <c:pt idx="29">
                  <c:v>19.952623149688804</c:v>
                </c:pt>
                <c:pt idx="30">
                  <c:v>20.4173794466953</c:v>
                </c:pt>
                <c:pt idx="31">
                  <c:v>20.8929613085404</c:v>
                </c:pt>
                <c:pt idx="32">
                  <c:v>21.379620895022335</c:v>
                </c:pt>
                <c:pt idx="33">
                  <c:v>21.877616239495538</c:v>
                </c:pt>
                <c:pt idx="34">
                  <c:v>22.387211385683404</c:v>
                </c:pt>
                <c:pt idx="35">
                  <c:v>22.908676527677727</c:v>
                </c:pt>
                <c:pt idx="36">
                  <c:v>23.442288153199236</c:v>
                </c:pt>
                <c:pt idx="37">
                  <c:v>23.988329190194907</c:v>
                </c:pt>
                <c:pt idx="38">
                  <c:v>24.547089156850316</c:v>
                </c:pt>
                <c:pt idx="39">
                  <c:v>25.118864315095799</c:v>
                </c:pt>
                <c:pt idx="40">
                  <c:v>25.703957827688647</c:v>
                </c:pt>
                <c:pt idx="41">
                  <c:v>26.302679918953825</c:v>
                </c:pt>
                <c:pt idx="42">
                  <c:v>26.915348039269158</c:v>
                </c:pt>
                <c:pt idx="43">
                  <c:v>27.542287033381665</c:v>
                </c:pt>
                <c:pt idx="44">
                  <c:v>28.183829312644548</c:v>
                </c:pt>
                <c:pt idx="45">
                  <c:v>28.840315031266066</c:v>
                </c:pt>
                <c:pt idx="46">
                  <c:v>29.512092266663863</c:v>
                </c:pt>
                <c:pt idx="47">
                  <c:v>30.199517204020164</c:v>
                </c:pt>
                <c:pt idx="48">
                  <c:v>30.902954325135919</c:v>
                </c:pt>
                <c:pt idx="49">
                  <c:v>31.622776601683803</c:v>
                </c:pt>
                <c:pt idx="50">
                  <c:v>32.359365692962832</c:v>
                </c:pt>
                <c:pt idx="51">
                  <c:v>33.113112148259127</c:v>
                </c:pt>
                <c:pt idx="52">
                  <c:v>33.884415613920268</c:v>
                </c:pt>
                <c:pt idx="53">
                  <c:v>34.67368504525318</c:v>
                </c:pt>
                <c:pt idx="54">
                  <c:v>35.481338923357555</c:v>
                </c:pt>
                <c:pt idx="55">
                  <c:v>36.307805477010156</c:v>
                </c:pt>
                <c:pt idx="56">
                  <c:v>37.15352290971726</c:v>
                </c:pt>
                <c:pt idx="57">
                  <c:v>38.018939632056139</c:v>
                </c:pt>
                <c:pt idx="58">
                  <c:v>38.904514499428053</c:v>
                </c:pt>
                <c:pt idx="59">
                  <c:v>39.810717055349755</c:v>
                </c:pt>
                <c:pt idx="60">
                  <c:v>40.738027780411279</c:v>
                </c:pt>
                <c:pt idx="61">
                  <c:v>41.686938347033561</c:v>
                </c:pt>
                <c:pt idx="62">
                  <c:v>42.657951880159267</c:v>
                </c:pt>
                <c:pt idx="63">
                  <c:v>43.651583224016633</c:v>
                </c:pt>
                <c:pt idx="64">
                  <c:v>44.668359215096324</c:v>
                </c:pt>
                <c:pt idx="65">
                  <c:v>45.70881896148753</c:v>
                </c:pt>
                <c:pt idx="66">
                  <c:v>46.773514128719818</c:v>
                </c:pt>
                <c:pt idx="67">
                  <c:v>47.863009232263877</c:v>
                </c:pt>
                <c:pt idx="68">
                  <c:v>48.977881936844632</c:v>
                </c:pt>
                <c:pt idx="69">
                  <c:v>50.118723362727238</c:v>
                </c:pt>
                <c:pt idx="70">
                  <c:v>51.28613839913649</c:v>
                </c:pt>
                <c:pt idx="71">
                  <c:v>52.480746024977286</c:v>
                </c:pt>
                <c:pt idx="72">
                  <c:v>53.703179637025293</c:v>
                </c:pt>
                <c:pt idx="73">
                  <c:v>54.95408738576247</c:v>
                </c:pt>
                <c:pt idx="74">
                  <c:v>56.234132519034915</c:v>
                </c:pt>
                <c:pt idx="75">
                  <c:v>57.543993733715695</c:v>
                </c:pt>
                <c:pt idx="76">
                  <c:v>58.884365535558949</c:v>
                </c:pt>
                <c:pt idx="77">
                  <c:v>60.255958607435822</c:v>
                </c:pt>
                <c:pt idx="78">
                  <c:v>61.659500186148257</c:v>
                </c:pt>
                <c:pt idx="79">
                  <c:v>63.095734448019364</c:v>
                </c:pt>
                <c:pt idx="80">
                  <c:v>64.565422903465588</c:v>
                </c:pt>
                <c:pt idx="81">
                  <c:v>66.069344800759623</c:v>
                </c:pt>
                <c:pt idx="82">
                  <c:v>67.60829753919819</c:v>
                </c:pt>
                <c:pt idx="83">
                  <c:v>69.183097091893657</c:v>
                </c:pt>
                <c:pt idx="84">
                  <c:v>70.794578438413865</c:v>
                </c:pt>
                <c:pt idx="85">
                  <c:v>72.443596007499011</c:v>
                </c:pt>
                <c:pt idx="86">
                  <c:v>74.131024130091816</c:v>
                </c:pt>
                <c:pt idx="87">
                  <c:v>75.857757502918361</c:v>
                </c:pt>
                <c:pt idx="88">
                  <c:v>77.624711662869217</c:v>
                </c:pt>
                <c:pt idx="89">
                  <c:v>79.432823472428197</c:v>
                </c:pt>
                <c:pt idx="90">
                  <c:v>81.283051616409963</c:v>
                </c:pt>
                <c:pt idx="91">
                  <c:v>83.176377110267126</c:v>
                </c:pt>
                <c:pt idx="92">
                  <c:v>85.113803820237734</c:v>
                </c:pt>
                <c:pt idx="93">
                  <c:v>87.096358995608071</c:v>
                </c:pt>
                <c:pt idx="94">
                  <c:v>89.125093813374562</c:v>
                </c:pt>
                <c:pt idx="95">
                  <c:v>91.201083935590972</c:v>
                </c:pt>
                <c:pt idx="96">
                  <c:v>93.325430079699174</c:v>
                </c:pt>
                <c:pt idx="97">
                  <c:v>95.499258602143655</c:v>
                </c:pt>
                <c:pt idx="98">
                  <c:v>97.723722095581124</c:v>
                </c:pt>
                <c:pt idx="99">
                  <c:v>100</c:v>
                </c:pt>
                <c:pt idx="100">
                  <c:v>102.32929922807544</c:v>
                </c:pt>
                <c:pt idx="101">
                  <c:v>104.71285480508998</c:v>
                </c:pt>
                <c:pt idx="102">
                  <c:v>107.15193052376065</c:v>
                </c:pt>
                <c:pt idx="103">
                  <c:v>109.64781961431861</c:v>
                </c:pt>
                <c:pt idx="104">
                  <c:v>112.20184543019634</c:v>
                </c:pt>
                <c:pt idx="105">
                  <c:v>114.81536214968835</c:v>
                </c:pt>
                <c:pt idx="106">
                  <c:v>117.48975549395293</c:v>
                </c:pt>
                <c:pt idx="107">
                  <c:v>120.22644346174135</c:v>
                </c:pt>
                <c:pt idx="108">
                  <c:v>123.02687708123821</c:v>
                </c:pt>
                <c:pt idx="109">
                  <c:v>125.89254117941677</c:v>
                </c:pt>
                <c:pt idx="110">
                  <c:v>128.82495516931343</c:v>
                </c:pt>
                <c:pt idx="111">
                  <c:v>131.82567385564084</c:v>
                </c:pt>
                <c:pt idx="112">
                  <c:v>134.89628825916537</c:v>
                </c:pt>
                <c:pt idx="113">
                  <c:v>138.0384264602886</c:v>
                </c:pt>
                <c:pt idx="114">
                  <c:v>141.25375446227542</c:v>
                </c:pt>
                <c:pt idx="115">
                  <c:v>144.54397707459285</c:v>
                </c:pt>
                <c:pt idx="116">
                  <c:v>147.91083881682084</c:v>
                </c:pt>
                <c:pt idx="117">
                  <c:v>151.3561248436209</c:v>
                </c:pt>
                <c:pt idx="118">
                  <c:v>154.8816618912482</c:v>
                </c:pt>
                <c:pt idx="119">
                  <c:v>158.48931924611153</c:v>
                </c:pt>
                <c:pt idx="120">
                  <c:v>162.18100973589304</c:v>
                </c:pt>
                <c:pt idx="121">
                  <c:v>165.95869074375622</c:v>
                </c:pt>
                <c:pt idx="122">
                  <c:v>169.82436524617444</c:v>
                </c:pt>
                <c:pt idx="123">
                  <c:v>173.78008287493768</c:v>
                </c:pt>
                <c:pt idx="124">
                  <c:v>177.82794100389242</c:v>
                </c:pt>
                <c:pt idx="125">
                  <c:v>181.9700858609983</c:v>
                </c:pt>
                <c:pt idx="126">
                  <c:v>186.20871366628685</c:v>
                </c:pt>
                <c:pt idx="127">
                  <c:v>190.54607179632498</c:v>
                </c:pt>
                <c:pt idx="128">
                  <c:v>194.98445997580458</c:v>
                </c:pt>
                <c:pt idx="129">
                  <c:v>199.52623149688802</c:v>
                </c:pt>
                <c:pt idx="130">
                  <c:v>204.17379446695315</c:v>
                </c:pt>
                <c:pt idx="131">
                  <c:v>208.92961308540396</c:v>
                </c:pt>
                <c:pt idx="132">
                  <c:v>213.79620895022339</c:v>
                </c:pt>
                <c:pt idx="133">
                  <c:v>218.77616239495524</c:v>
                </c:pt>
                <c:pt idx="134">
                  <c:v>223.87211385683412</c:v>
                </c:pt>
                <c:pt idx="135">
                  <c:v>229.08676527677744</c:v>
                </c:pt>
                <c:pt idx="136">
                  <c:v>234.42288153199232</c:v>
                </c:pt>
                <c:pt idx="137">
                  <c:v>239.88329190194912</c:v>
                </c:pt>
                <c:pt idx="138">
                  <c:v>245.4708915685033</c:v>
                </c:pt>
                <c:pt idx="139">
                  <c:v>251.18864315095806</c:v>
                </c:pt>
                <c:pt idx="140">
                  <c:v>257.03957827688663</c:v>
                </c:pt>
                <c:pt idx="141">
                  <c:v>263.02679918953817</c:v>
                </c:pt>
                <c:pt idx="142">
                  <c:v>269.15348039269179</c:v>
                </c:pt>
                <c:pt idx="143">
                  <c:v>275.42287033381683</c:v>
                </c:pt>
                <c:pt idx="144">
                  <c:v>281.83829312644554</c:v>
                </c:pt>
                <c:pt idx="145">
                  <c:v>288.40315031266073</c:v>
                </c:pt>
                <c:pt idx="146">
                  <c:v>295.12092266663871</c:v>
                </c:pt>
                <c:pt idx="147">
                  <c:v>301.99517204020168</c:v>
                </c:pt>
                <c:pt idx="148">
                  <c:v>309.02954325135937</c:v>
                </c:pt>
                <c:pt idx="149">
                  <c:v>316.22776601683825</c:v>
                </c:pt>
                <c:pt idx="150">
                  <c:v>323.59365692962825</c:v>
                </c:pt>
                <c:pt idx="151">
                  <c:v>331.13112148259137</c:v>
                </c:pt>
                <c:pt idx="152">
                  <c:v>338.84415613920277</c:v>
                </c:pt>
                <c:pt idx="153">
                  <c:v>346.73685045253183</c:v>
                </c:pt>
                <c:pt idx="154">
                  <c:v>354.81338923357566</c:v>
                </c:pt>
                <c:pt idx="155">
                  <c:v>363.07805477010152</c:v>
                </c:pt>
                <c:pt idx="156">
                  <c:v>371.53522909717265</c:v>
                </c:pt>
                <c:pt idx="157">
                  <c:v>380.18939632056163</c:v>
                </c:pt>
                <c:pt idx="158">
                  <c:v>389.04514499428063</c:v>
                </c:pt>
                <c:pt idx="159">
                  <c:v>398.10717055349761</c:v>
                </c:pt>
                <c:pt idx="160">
                  <c:v>407.38027780411272</c:v>
                </c:pt>
                <c:pt idx="161">
                  <c:v>416.86938347033572</c:v>
                </c:pt>
                <c:pt idx="162">
                  <c:v>426.57951880159294</c:v>
                </c:pt>
                <c:pt idx="163">
                  <c:v>436.51583224016622</c:v>
                </c:pt>
                <c:pt idx="164">
                  <c:v>446.68359215096331</c:v>
                </c:pt>
                <c:pt idx="165">
                  <c:v>457.0881896148756</c:v>
                </c:pt>
                <c:pt idx="166">
                  <c:v>467.7351412871983</c:v>
                </c:pt>
                <c:pt idx="167">
                  <c:v>478.63009232263886</c:v>
                </c:pt>
                <c:pt idx="168">
                  <c:v>489.77881936844625</c:v>
                </c:pt>
                <c:pt idx="169">
                  <c:v>501.18723362727269</c:v>
                </c:pt>
                <c:pt idx="170">
                  <c:v>512.86138399136519</c:v>
                </c:pt>
                <c:pt idx="171">
                  <c:v>524.80746024977248</c:v>
                </c:pt>
                <c:pt idx="172">
                  <c:v>537.03179637025301</c:v>
                </c:pt>
                <c:pt idx="173">
                  <c:v>549.54087385762534</c:v>
                </c:pt>
                <c:pt idx="174">
                  <c:v>562.34132519034927</c:v>
                </c:pt>
                <c:pt idx="175">
                  <c:v>575.43993733715706</c:v>
                </c:pt>
                <c:pt idx="176">
                  <c:v>588.84365535558959</c:v>
                </c:pt>
                <c:pt idx="177">
                  <c:v>602.55958607435832</c:v>
                </c:pt>
                <c:pt idx="178">
                  <c:v>616.59500186148273</c:v>
                </c:pt>
                <c:pt idx="179">
                  <c:v>630.95734448019323</c:v>
                </c:pt>
                <c:pt idx="180">
                  <c:v>645.65422903465594</c:v>
                </c:pt>
                <c:pt idx="181">
                  <c:v>660.69344800759643</c:v>
                </c:pt>
                <c:pt idx="182">
                  <c:v>676.08297539198213</c:v>
                </c:pt>
                <c:pt idx="183">
                  <c:v>691.83097091893671</c:v>
                </c:pt>
                <c:pt idx="184">
                  <c:v>707.94578438413873</c:v>
                </c:pt>
                <c:pt idx="185">
                  <c:v>724.43596007499025</c:v>
                </c:pt>
                <c:pt idx="186">
                  <c:v>741.31024130091828</c:v>
                </c:pt>
                <c:pt idx="187">
                  <c:v>758.57757502918378</c:v>
                </c:pt>
                <c:pt idx="188">
                  <c:v>776.24711662869231</c:v>
                </c:pt>
                <c:pt idx="189">
                  <c:v>794.32823472428208</c:v>
                </c:pt>
                <c:pt idx="190">
                  <c:v>812.83051616409978</c:v>
                </c:pt>
                <c:pt idx="191">
                  <c:v>831.7637711026714</c:v>
                </c:pt>
                <c:pt idx="192">
                  <c:v>851.13803820237763</c:v>
                </c:pt>
                <c:pt idx="193">
                  <c:v>870.96358995608091</c:v>
                </c:pt>
                <c:pt idx="194">
                  <c:v>891.25093813374656</c:v>
                </c:pt>
                <c:pt idx="195">
                  <c:v>912.01083935590987</c:v>
                </c:pt>
                <c:pt idx="196">
                  <c:v>933.25430079699106</c:v>
                </c:pt>
                <c:pt idx="197">
                  <c:v>954.99258602143675</c:v>
                </c:pt>
                <c:pt idx="198">
                  <c:v>977.23722095581138</c:v>
                </c:pt>
                <c:pt idx="199">
                  <c:v>1000</c:v>
                </c:pt>
                <c:pt idx="200">
                  <c:v>1023.2929922807547</c:v>
                </c:pt>
                <c:pt idx="201">
                  <c:v>1047.1285480509</c:v>
                </c:pt>
                <c:pt idx="202">
                  <c:v>1071.5193052376069</c:v>
                </c:pt>
                <c:pt idx="203">
                  <c:v>1096.4781961431863</c:v>
                </c:pt>
                <c:pt idx="204">
                  <c:v>1122.0184543019636</c:v>
                </c:pt>
                <c:pt idx="205">
                  <c:v>1148.1536214968839</c:v>
                </c:pt>
                <c:pt idx="206">
                  <c:v>1174.8975549395295</c:v>
                </c:pt>
                <c:pt idx="207">
                  <c:v>1202.2644346174138</c:v>
                </c:pt>
                <c:pt idx="208">
                  <c:v>1230.2687708123824</c:v>
                </c:pt>
                <c:pt idx="209">
                  <c:v>1258.925411794168</c:v>
                </c:pt>
                <c:pt idx="210">
                  <c:v>1288.2495516931347</c:v>
                </c:pt>
                <c:pt idx="211">
                  <c:v>1318.2567385564089</c:v>
                </c:pt>
                <c:pt idx="212">
                  <c:v>1348.9628825916541</c:v>
                </c:pt>
                <c:pt idx="213">
                  <c:v>1380.3842646028863</c:v>
                </c:pt>
                <c:pt idx="214">
                  <c:v>1412.5375446227545</c:v>
                </c:pt>
                <c:pt idx="215">
                  <c:v>1445.4397707459289</c:v>
                </c:pt>
                <c:pt idx="216">
                  <c:v>1479.1083881682086</c:v>
                </c:pt>
                <c:pt idx="217">
                  <c:v>1513.5612484362093</c:v>
                </c:pt>
                <c:pt idx="218">
                  <c:v>1548.8166189124822</c:v>
                </c:pt>
                <c:pt idx="219">
                  <c:v>1584.8931924611156</c:v>
                </c:pt>
                <c:pt idx="220">
                  <c:v>1621.8100973589308</c:v>
                </c:pt>
                <c:pt idx="221">
                  <c:v>1659.5869074375626</c:v>
                </c:pt>
                <c:pt idx="222">
                  <c:v>1698.2436524617447</c:v>
                </c:pt>
                <c:pt idx="223">
                  <c:v>1737.8008287493772</c:v>
                </c:pt>
                <c:pt idx="224">
                  <c:v>1778.2794100389244</c:v>
                </c:pt>
                <c:pt idx="225">
                  <c:v>1819.7008586099832</c:v>
                </c:pt>
                <c:pt idx="226">
                  <c:v>1862.0871366628687</c:v>
                </c:pt>
                <c:pt idx="227">
                  <c:v>1905.4607179632501</c:v>
                </c:pt>
                <c:pt idx="228">
                  <c:v>1949.8445997580463</c:v>
                </c:pt>
                <c:pt idx="229">
                  <c:v>1995.2623149688804</c:v>
                </c:pt>
                <c:pt idx="230">
                  <c:v>2041.7379446695318</c:v>
                </c:pt>
                <c:pt idx="231">
                  <c:v>2089.2961308540398</c:v>
                </c:pt>
                <c:pt idx="232">
                  <c:v>2137.9620895022344</c:v>
                </c:pt>
                <c:pt idx="233">
                  <c:v>2187.7616239495528</c:v>
                </c:pt>
                <c:pt idx="234">
                  <c:v>2238.7211385683418</c:v>
                </c:pt>
                <c:pt idx="235">
                  <c:v>2290.8676527677749</c:v>
                </c:pt>
                <c:pt idx="236">
                  <c:v>2344.2288153199238</c:v>
                </c:pt>
                <c:pt idx="237">
                  <c:v>2398.8329190194918</c:v>
                </c:pt>
                <c:pt idx="238">
                  <c:v>2454.7089156850338</c:v>
                </c:pt>
                <c:pt idx="239">
                  <c:v>2511.8864315095811</c:v>
                </c:pt>
                <c:pt idx="240">
                  <c:v>2570.3957827688669</c:v>
                </c:pt>
                <c:pt idx="241">
                  <c:v>2630.2679918953822</c:v>
                </c:pt>
                <c:pt idx="242">
                  <c:v>2691.5348039269184</c:v>
                </c:pt>
                <c:pt idx="243">
                  <c:v>2754.228703338169</c:v>
                </c:pt>
                <c:pt idx="244">
                  <c:v>2818.3829312644561</c:v>
                </c:pt>
                <c:pt idx="245">
                  <c:v>2884.0315031266077</c:v>
                </c:pt>
                <c:pt idx="246">
                  <c:v>2951.2092266663876</c:v>
                </c:pt>
                <c:pt idx="247">
                  <c:v>3019.9517204020176</c:v>
                </c:pt>
                <c:pt idx="248">
                  <c:v>3090.295432513592</c:v>
                </c:pt>
                <c:pt idx="249">
                  <c:v>3162.2776601683804</c:v>
                </c:pt>
                <c:pt idx="250">
                  <c:v>3235.9365692962833</c:v>
                </c:pt>
                <c:pt idx="251">
                  <c:v>3311.3112148259115</c:v>
                </c:pt>
                <c:pt idx="252">
                  <c:v>3388.4415613920314</c:v>
                </c:pt>
                <c:pt idx="253">
                  <c:v>3467.3685045253224</c:v>
                </c:pt>
                <c:pt idx="254">
                  <c:v>3548.1338923357539</c:v>
                </c:pt>
                <c:pt idx="255">
                  <c:v>3630.7805477010188</c:v>
                </c:pt>
                <c:pt idx="256">
                  <c:v>3715.352290971724</c:v>
                </c:pt>
                <c:pt idx="257">
                  <c:v>3801.8939632056172</c:v>
                </c:pt>
                <c:pt idx="258">
                  <c:v>3890.451449942811</c:v>
                </c:pt>
                <c:pt idx="259">
                  <c:v>3981.0717055349769</c:v>
                </c:pt>
                <c:pt idx="260">
                  <c:v>4073.8027780411317</c:v>
                </c:pt>
                <c:pt idx="261">
                  <c:v>4168.6938347033583</c:v>
                </c:pt>
                <c:pt idx="262">
                  <c:v>4265.7951880159299</c:v>
                </c:pt>
                <c:pt idx="263">
                  <c:v>4365.1583224016631</c:v>
                </c:pt>
                <c:pt idx="264">
                  <c:v>4466.8359215096343</c:v>
                </c:pt>
                <c:pt idx="265">
                  <c:v>4570.8818961487532</c:v>
                </c:pt>
                <c:pt idx="266">
                  <c:v>4677.3514128719844</c:v>
                </c:pt>
                <c:pt idx="267">
                  <c:v>4786.3009232263848</c:v>
                </c:pt>
                <c:pt idx="268">
                  <c:v>4897.7881936844633</c:v>
                </c:pt>
                <c:pt idx="269">
                  <c:v>5011.8723362727324</c:v>
                </c:pt>
                <c:pt idx="270">
                  <c:v>5128.6138399136489</c:v>
                </c:pt>
                <c:pt idx="271">
                  <c:v>5248.0746024977261</c:v>
                </c:pt>
                <c:pt idx="272">
                  <c:v>5370.3179637025269</c:v>
                </c:pt>
                <c:pt idx="273">
                  <c:v>5495.4087385762541</c:v>
                </c:pt>
                <c:pt idx="274">
                  <c:v>5623.4132519034993</c:v>
                </c:pt>
                <c:pt idx="275">
                  <c:v>5754.399373371567</c:v>
                </c:pt>
                <c:pt idx="276">
                  <c:v>5888.4365535558973</c:v>
                </c:pt>
                <c:pt idx="277">
                  <c:v>6025.595860743585</c:v>
                </c:pt>
                <c:pt idx="278">
                  <c:v>6165.9500186148289</c:v>
                </c:pt>
                <c:pt idx="279">
                  <c:v>6309.5734448019384</c:v>
                </c:pt>
                <c:pt idx="280">
                  <c:v>6456.5422903465615</c:v>
                </c:pt>
                <c:pt idx="281">
                  <c:v>6606.9344800759654</c:v>
                </c:pt>
                <c:pt idx="282">
                  <c:v>6760.8297539198229</c:v>
                </c:pt>
                <c:pt idx="283">
                  <c:v>6918.3097091893687</c:v>
                </c:pt>
                <c:pt idx="284">
                  <c:v>7079.4578438413828</c:v>
                </c:pt>
                <c:pt idx="285">
                  <c:v>7244.3596007499036</c:v>
                </c:pt>
                <c:pt idx="286">
                  <c:v>7413.1024130091773</c:v>
                </c:pt>
                <c:pt idx="287">
                  <c:v>7585.7757502918394</c:v>
                </c:pt>
                <c:pt idx="288">
                  <c:v>7762.4711662869322</c:v>
                </c:pt>
                <c:pt idx="289">
                  <c:v>7943.2823472428154</c:v>
                </c:pt>
                <c:pt idx="290">
                  <c:v>8128.3051616410066</c:v>
                </c:pt>
                <c:pt idx="291">
                  <c:v>8317.6377110267094</c:v>
                </c:pt>
                <c:pt idx="292">
                  <c:v>8511.3803820237772</c:v>
                </c:pt>
                <c:pt idx="293">
                  <c:v>8709.6358995608189</c:v>
                </c:pt>
                <c:pt idx="294">
                  <c:v>8912.5093813374679</c:v>
                </c:pt>
                <c:pt idx="295">
                  <c:v>9120.1083935591087</c:v>
                </c:pt>
                <c:pt idx="296">
                  <c:v>9332.5430079699217</c:v>
                </c:pt>
                <c:pt idx="297">
                  <c:v>9549.9258602143691</c:v>
                </c:pt>
                <c:pt idx="298">
                  <c:v>9772.3722095581161</c:v>
                </c:pt>
                <c:pt idx="299">
                  <c:v>10000</c:v>
                </c:pt>
                <c:pt idx="300">
                  <c:v>10232.929922807549</c:v>
                </c:pt>
                <c:pt idx="301">
                  <c:v>10471.285480509003</c:v>
                </c:pt>
                <c:pt idx="302">
                  <c:v>10715.193052376071</c:v>
                </c:pt>
                <c:pt idx="303">
                  <c:v>10964.781961431856</c:v>
                </c:pt>
                <c:pt idx="304">
                  <c:v>11220.184543019639</c:v>
                </c:pt>
                <c:pt idx="305">
                  <c:v>11481.536214968832</c:v>
                </c:pt>
                <c:pt idx="306">
                  <c:v>11748.975549395318</c:v>
                </c:pt>
                <c:pt idx="307">
                  <c:v>12022.644346174151</c:v>
                </c:pt>
                <c:pt idx="308">
                  <c:v>12302.687708123816</c:v>
                </c:pt>
                <c:pt idx="309">
                  <c:v>12589.254117941671</c:v>
                </c:pt>
                <c:pt idx="310">
                  <c:v>12882.49551693136</c:v>
                </c:pt>
                <c:pt idx="311">
                  <c:v>13182.567385564091</c:v>
                </c:pt>
                <c:pt idx="312">
                  <c:v>13489.628825916556</c:v>
                </c:pt>
                <c:pt idx="313">
                  <c:v>13803.842646028841</c:v>
                </c:pt>
                <c:pt idx="314">
                  <c:v>14125.375446227561</c:v>
                </c:pt>
                <c:pt idx="315">
                  <c:v>14454.397707459291</c:v>
                </c:pt>
                <c:pt idx="316">
                  <c:v>14791.083881682089</c:v>
                </c:pt>
                <c:pt idx="317">
                  <c:v>15135.612484362096</c:v>
                </c:pt>
                <c:pt idx="318">
                  <c:v>15488.166189124853</c:v>
                </c:pt>
                <c:pt idx="319">
                  <c:v>15848.931924611146</c:v>
                </c:pt>
                <c:pt idx="320">
                  <c:v>16218.100973589309</c:v>
                </c:pt>
                <c:pt idx="321">
                  <c:v>16595.869074375616</c:v>
                </c:pt>
                <c:pt idx="322">
                  <c:v>16982.436524617482</c:v>
                </c:pt>
                <c:pt idx="323">
                  <c:v>17378.008287493791</c:v>
                </c:pt>
                <c:pt idx="324">
                  <c:v>17782.794100389234</c:v>
                </c:pt>
                <c:pt idx="325">
                  <c:v>18197.008586099837</c:v>
                </c:pt>
                <c:pt idx="326">
                  <c:v>18620.871366628675</c:v>
                </c:pt>
                <c:pt idx="327">
                  <c:v>19054.607179632505</c:v>
                </c:pt>
                <c:pt idx="328">
                  <c:v>19498.445997580486</c:v>
                </c:pt>
                <c:pt idx="329">
                  <c:v>19952.623149688792</c:v>
                </c:pt>
                <c:pt idx="330">
                  <c:v>20417.379446695286</c:v>
                </c:pt>
                <c:pt idx="331">
                  <c:v>20892.961308540423</c:v>
                </c:pt>
                <c:pt idx="332">
                  <c:v>21379.620895022348</c:v>
                </c:pt>
                <c:pt idx="333">
                  <c:v>21877.61623949555</c:v>
                </c:pt>
                <c:pt idx="334">
                  <c:v>22387.211385683382</c:v>
                </c:pt>
                <c:pt idx="335">
                  <c:v>22908.676527677751</c:v>
                </c:pt>
                <c:pt idx="336">
                  <c:v>23442.288153199243</c:v>
                </c:pt>
                <c:pt idx="337">
                  <c:v>23988.329190194923</c:v>
                </c:pt>
                <c:pt idx="338">
                  <c:v>24547.089156850321</c:v>
                </c:pt>
                <c:pt idx="339">
                  <c:v>25118.86431509586</c:v>
                </c:pt>
                <c:pt idx="340">
                  <c:v>25703.95782768865</c:v>
                </c:pt>
                <c:pt idx="341">
                  <c:v>26302.679918953829</c:v>
                </c:pt>
                <c:pt idx="342">
                  <c:v>26915.348039269167</c:v>
                </c:pt>
                <c:pt idx="343">
                  <c:v>27542.287033381719</c:v>
                </c:pt>
                <c:pt idx="344">
                  <c:v>28183.829312644593</c:v>
                </c:pt>
                <c:pt idx="345">
                  <c:v>28840.315031266062</c:v>
                </c:pt>
                <c:pt idx="346">
                  <c:v>29512.092266663854</c:v>
                </c:pt>
                <c:pt idx="347">
                  <c:v>30199.517204020212</c:v>
                </c:pt>
                <c:pt idx="348">
                  <c:v>30902.954325135954</c:v>
                </c:pt>
                <c:pt idx="349">
                  <c:v>31622.77660168384</c:v>
                </c:pt>
                <c:pt idx="350">
                  <c:v>32359.365692962871</c:v>
                </c:pt>
                <c:pt idx="351">
                  <c:v>33113.11214825909</c:v>
                </c:pt>
                <c:pt idx="352">
                  <c:v>33884.41561392029</c:v>
                </c:pt>
                <c:pt idx="353">
                  <c:v>34673.685045253202</c:v>
                </c:pt>
                <c:pt idx="354">
                  <c:v>35481.33892335758</c:v>
                </c:pt>
                <c:pt idx="355">
                  <c:v>36307.805477010232</c:v>
                </c:pt>
                <c:pt idx="356">
                  <c:v>37153.522909717351</c:v>
                </c:pt>
                <c:pt idx="357">
                  <c:v>38018.939632056143</c:v>
                </c:pt>
                <c:pt idx="358">
                  <c:v>38904.514499428085</c:v>
                </c:pt>
                <c:pt idx="359">
                  <c:v>39810.717055349742</c:v>
                </c:pt>
                <c:pt idx="360">
                  <c:v>40738.027780411358</c:v>
                </c:pt>
                <c:pt idx="361">
                  <c:v>41686.938347033625</c:v>
                </c:pt>
                <c:pt idx="362">
                  <c:v>42657.951880159271</c:v>
                </c:pt>
                <c:pt idx="363">
                  <c:v>43651.583224016598</c:v>
                </c:pt>
                <c:pt idx="364">
                  <c:v>44668.359215096389</c:v>
                </c:pt>
                <c:pt idx="365">
                  <c:v>45708.818961487581</c:v>
                </c:pt>
                <c:pt idx="366">
                  <c:v>46773.514128719893</c:v>
                </c:pt>
                <c:pt idx="367">
                  <c:v>47863.009232263823</c:v>
                </c:pt>
                <c:pt idx="368">
                  <c:v>48977.881936844598</c:v>
                </c:pt>
                <c:pt idx="369">
                  <c:v>50118.723362727294</c:v>
                </c:pt>
                <c:pt idx="370">
                  <c:v>51286.138399136544</c:v>
                </c:pt>
                <c:pt idx="371">
                  <c:v>52480.746024977314</c:v>
                </c:pt>
                <c:pt idx="372">
                  <c:v>53703.179637025423</c:v>
                </c:pt>
                <c:pt idx="373">
                  <c:v>54954.087385762505</c:v>
                </c:pt>
                <c:pt idx="374">
                  <c:v>56234.132519034953</c:v>
                </c:pt>
                <c:pt idx="375">
                  <c:v>57543.993733715732</c:v>
                </c:pt>
                <c:pt idx="376">
                  <c:v>58884.365535558936</c:v>
                </c:pt>
                <c:pt idx="377">
                  <c:v>60255.95860743591</c:v>
                </c:pt>
                <c:pt idx="378">
                  <c:v>61659.500186148245</c:v>
                </c:pt>
                <c:pt idx="379">
                  <c:v>63095.734448019342</c:v>
                </c:pt>
                <c:pt idx="380">
                  <c:v>64565.422903465682</c:v>
                </c:pt>
                <c:pt idx="381">
                  <c:v>66069.344800759733</c:v>
                </c:pt>
                <c:pt idx="382">
                  <c:v>67608.297539198305</c:v>
                </c:pt>
                <c:pt idx="383">
                  <c:v>69183.097091893651</c:v>
                </c:pt>
                <c:pt idx="384">
                  <c:v>70794.578438413781</c:v>
                </c:pt>
                <c:pt idx="385">
                  <c:v>72443.596007499116</c:v>
                </c:pt>
                <c:pt idx="386">
                  <c:v>74131.024130091857</c:v>
                </c:pt>
                <c:pt idx="387">
                  <c:v>75857.757502918481</c:v>
                </c:pt>
                <c:pt idx="388">
                  <c:v>77624.711662869129</c:v>
                </c:pt>
                <c:pt idx="389">
                  <c:v>79432.823472428237</c:v>
                </c:pt>
                <c:pt idx="390">
                  <c:v>81283.051616410012</c:v>
                </c:pt>
                <c:pt idx="391">
                  <c:v>83176.377110267174</c:v>
                </c:pt>
                <c:pt idx="392">
                  <c:v>85113.803820237721</c:v>
                </c:pt>
                <c:pt idx="393">
                  <c:v>87096.358995608127</c:v>
                </c:pt>
                <c:pt idx="394">
                  <c:v>89125.093813374609</c:v>
                </c:pt>
                <c:pt idx="395">
                  <c:v>91201.083935591028</c:v>
                </c:pt>
                <c:pt idx="396">
                  <c:v>93325.430079699145</c:v>
                </c:pt>
                <c:pt idx="397">
                  <c:v>95499.258602143804</c:v>
                </c:pt>
                <c:pt idx="398">
                  <c:v>97723.722095581266</c:v>
                </c:pt>
                <c:pt idx="399">
                  <c:v>100000</c:v>
                </c:pt>
                <c:pt idx="400">
                  <c:v>102329.29922807543</c:v>
                </c:pt>
                <c:pt idx="401">
                  <c:v>104712.85480508996</c:v>
                </c:pt>
                <c:pt idx="402">
                  <c:v>107151.93052376082</c:v>
                </c:pt>
                <c:pt idx="403">
                  <c:v>109647.81961431868</c:v>
                </c:pt>
                <c:pt idx="404">
                  <c:v>112201.84543019651</c:v>
                </c:pt>
                <c:pt idx="405">
                  <c:v>114815.36214968823</c:v>
                </c:pt>
                <c:pt idx="406">
                  <c:v>117489.75549395311</c:v>
                </c:pt>
                <c:pt idx="407">
                  <c:v>120226.44346174144</c:v>
                </c:pt>
                <c:pt idx="408">
                  <c:v>123026.87708123829</c:v>
                </c:pt>
                <c:pt idx="409">
                  <c:v>125892.54117941685</c:v>
                </c:pt>
                <c:pt idx="410">
                  <c:v>128824.95516931375</c:v>
                </c:pt>
                <c:pt idx="411">
                  <c:v>131825.67385564081</c:v>
                </c:pt>
                <c:pt idx="412">
                  <c:v>134896.28825916545</c:v>
                </c:pt>
                <c:pt idx="413">
                  <c:v>138038.42646028858</c:v>
                </c:pt>
                <c:pt idx="414">
                  <c:v>141253.75446227577</c:v>
                </c:pt>
                <c:pt idx="415">
                  <c:v>144543.97707459307</c:v>
                </c:pt>
                <c:pt idx="416">
                  <c:v>147910.83881682079</c:v>
                </c:pt>
                <c:pt idx="417">
                  <c:v>151356.12484362084</c:v>
                </c:pt>
                <c:pt idx="418">
                  <c:v>154881.66189124843</c:v>
                </c:pt>
                <c:pt idx="419">
                  <c:v>158489.31924611164</c:v>
                </c:pt>
                <c:pt idx="420">
                  <c:v>162181.00973589328</c:v>
                </c:pt>
                <c:pt idx="421">
                  <c:v>165958.69074375604</c:v>
                </c:pt>
                <c:pt idx="422">
                  <c:v>169824.36524617471</c:v>
                </c:pt>
                <c:pt idx="423">
                  <c:v>173780.0828749378</c:v>
                </c:pt>
                <c:pt idx="424">
                  <c:v>177827.94100389251</c:v>
                </c:pt>
                <c:pt idx="425">
                  <c:v>181970.08586099857</c:v>
                </c:pt>
                <c:pt idx="426">
                  <c:v>186208.71366628664</c:v>
                </c:pt>
                <c:pt idx="427">
                  <c:v>190546.07179632492</c:v>
                </c:pt>
                <c:pt idx="428">
                  <c:v>194984.45997580473</c:v>
                </c:pt>
                <c:pt idx="429">
                  <c:v>199526.23149688813</c:v>
                </c:pt>
                <c:pt idx="430">
                  <c:v>204173.79446695308</c:v>
                </c:pt>
                <c:pt idx="431">
                  <c:v>208929.61308540447</c:v>
                </c:pt>
                <c:pt idx="432">
                  <c:v>213796.20895022334</c:v>
                </c:pt>
                <c:pt idx="433">
                  <c:v>218776.16239495538</c:v>
                </c:pt>
                <c:pt idx="434">
                  <c:v>223872.11385683404</c:v>
                </c:pt>
                <c:pt idx="435">
                  <c:v>229086.76527677779</c:v>
                </c:pt>
                <c:pt idx="436">
                  <c:v>234422.88153199267</c:v>
                </c:pt>
                <c:pt idx="437">
                  <c:v>239883.29190194907</c:v>
                </c:pt>
                <c:pt idx="438">
                  <c:v>245470.89156850305</c:v>
                </c:pt>
                <c:pt idx="439">
                  <c:v>251188.64315095844</c:v>
                </c:pt>
                <c:pt idx="440">
                  <c:v>257039.57827688678</c:v>
                </c:pt>
                <c:pt idx="441">
                  <c:v>263026.79918953858</c:v>
                </c:pt>
                <c:pt idx="442">
                  <c:v>269153.48039269145</c:v>
                </c:pt>
                <c:pt idx="443">
                  <c:v>275422.87033381703</c:v>
                </c:pt>
                <c:pt idx="444">
                  <c:v>281838.29312644573</c:v>
                </c:pt>
                <c:pt idx="445">
                  <c:v>288403.1503126609</c:v>
                </c:pt>
                <c:pt idx="446">
                  <c:v>295120.92266663886</c:v>
                </c:pt>
                <c:pt idx="447">
                  <c:v>301995.17204020242</c:v>
                </c:pt>
                <c:pt idx="448">
                  <c:v>309029.54325135931</c:v>
                </c:pt>
                <c:pt idx="449">
                  <c:v>316227.7660168382</c:v>
                </c:pt>
                <c:pt idx="450">
                  <c:v>323593.65692962846</c:v>
                </c:pt>
                <c:pt idx="451">
                  <c:v>331131.12148259126</c:v>
                </c:pt>
                <c:pt idx="452">
                  <c:v>338844.15613920329</c:v>
                </c:pt>
                <c:pt idx="453">
                  <c:v>346736.85045253241</c:v>
                </c:pt>
                <c:pt idx="454">
                  <c:v>354813.38923357555</c:v>
                </c:pt>
                <c:pt idx="455">
                  <c:v>363078.05477010203</c:v>
                </c:pt>
                <c:pt idx="456">
                  <c:v>371535.2290971732</c:v>
                </c:pt>
                <c:pt idx="457">
                  <c:v>380189.39632056188</c:v>
                </c:pt>
                <c:pt idx="458">
                  <c:v>389045.14499428123</c:v>
                </c:pt>
                <c:pt idx="459">
                  <c:v>398107.17055349716</c:v>
                </c:pt>
                <c:pt idx="460">
                  <c:v>407380.27780411334</c:v>
                </c:pt>
                <c:pt idx="461">
                  <c:v>416869.38347033598</c:v>
                </c:pt>
                <c:pt idx="462">
                  <c:v>426579.51880159322</c:v>
                </c:pt>
                <c:pt idx="463">
                  <c:v>436515.83224016649</c:v>
                </c:pt>
                <c:pt idx="464">
                  <c:v>446683.59215096442</c:v>
                </c:pt>
                <c:pt idx="465">
                  <c:v>457088.18961487547</c:v>
                </c:pt>
                <c:pt idx="466">
                  <c:v>467735.14128719864</c:v>
                </c:pt>
                <c:pt idx="467">
                  <c:v>478630.09232263872</c:v>
                </c:pt>
                <c:pt idx="468">
                  <c:v>489778.81936844654</c:v>
                </c:pt>
                <c:pt idx="469">
                  <c:v>501187.23362727347</c:v>
                </c:pt>
                <c:pt idx="470">
                  <c:v>512861.38399136515</c:v>
                </c:pt>
                <c:pt idx="471">
                  <c:v>524807.46024977288</c:v>
                </c:pt>
                <c:pt idx="472">
                  <c:v>537031.7963702539</c:v>
                </c:pt>
                <c:pt idx="473">
                  <c:v>549540.87385762564</c:v>
                </c:pt>
                <c:pt idx="474">
                  <c:v>562341.32519035018</c:v>
                </c:pt>
                <c:pt idx="475">
                  <c:v>575439.93733715697</c:v>
                </c:pt>
                <c:pt idx="476">
                  <c:v>588843.65535558888</c:v>
                </c:pt>
                <c:pt idx="477">
                  <c:v>602559.58607435878</c:v>
                </c:pt>
                <c:pt idx="478">
                  <c:v>616595.00186148309</c:v>
                </c:pt>
                <c:pt idx="479">
                  <c:v>630957.34448019415</c:v>
                </c:pt>
                <c:pt idx="480">
                  <c:v>645654.22903465747</c:v>
                </c:pt>
                <c:pt idx="481">
                  <c:v>660693.44800759677</c:v>
                </c:pt>
                <c:pt idx="482">
                  <c:v>676082.97539198259</c:v>
                </c:pt>
                <c:pt idx="483">
                  <c:v>691830.97091893724</c:v>
                </c:pt>
                <c:pt idx="484">
                  <c:v>707945.78438413853</c:v>
                </c:pt>
                <c:pt idx="485">
                  <c:v>724435.96007499192</c:v>
                </c:pt>
                <c:pt idx="486">
                  <c:v>741310.24130091805</c:v>
                </c:pt>
                <c:pt idx="487">
                  <c:v>758577.57502918423</c:v>
                </c:pt>
                <c:pt idx="488">
                  <c:v>776247.11662869214</c:v>
                </c:pt>
                <c:pt idx="489">
                  <c:v>794328.23472428333</c:v>
                </c:pt>
                <c:pt idx="490">
                  <c:v>812830.51616410096</c:v>
                </c:pt>
                <c:pt idx="491">
                  <c:v>831763.77110267128</c:v>
                </c:pt>
                <c:pt idx="492">
                  <c:v>851138.03820237669</c:v>
                </c:pt>
                <c:pt idx="493">
                  <c:v>870963.58995608077</c:v>
                </c:pt>
                <c:pt idx="494">
                  <c:v>891250.93813374708</c:v>
                </c:pt>
                <c:pt idx="495">
                  <c:v>912010.83935591124</c:v>
                </c:pt>
                <c:pt idx="496">
                  <c:v>933254.30079699249</c:v>
                </c:pt>
                <c:pt idx="497">
                  <c:v>954992.58602143743</c:v>
                </c:pt>
                <c:pt idx="498">
                  <c:v>977237.22095581202</c:v>
                </c:pt>
                <c:pt idx="499">
                  <c:v>1000000</c:v>
                </c:pt>
                <c:pt idx="500">
                  <c:v>1023292.9922807553</c:v>
                </c:pt>
                <c:pt idx="501">
                  <c:v>1047128.5480509007</c:v>
                </c:pt>
                <c:pt idx="502">
                  <c:v>1071519.3052376076</c:v>
                </c:pt>
                <c:pt idx="503">
                  <c:v>1096478.196143186</c:v>
                </c:pt>
                <c:pt idx="504">
                  <c:v>1122018.4543019643</c:v>
                </c:pt>
                <c:pt idx="505">
                  <c:v>1148153.6214968837</c:v>
                </c:pt>
                <c:pt idx="506">
                  <c:v>1174897.5549395324</c:v>
                </c:pt>
                <c:pt idx="507">
                  <c:v>1202264.4346174158</c:v>
                </c:pt>
                <c:pt idx="508">
                  <c:v>1230268.770812382</c:v>
                </c:pt>
                <c:pt idx="509">
                  <c:v>1258925.4117941677</c:v>
                </c:pt>
                <c:pt idx="510">
                  <c:v>1288249.5516931366</c:v>
                </c:pt>
                <c:pt idx="511">
                  <c:v>1318256.7385564097</c:v>
                </c:pt>
                <c:pt idx="512">
                  <c:v>1348962.8825916562</c:v>
                </c:pt>
                <c:pt idx="513">
                  <c:v>1380384.2646028849</c:v>
                </c:pt>
                <c:pt idx="514">
                  <c:v>1412537.5446227565</c:v>
                </c:pt>
                <c:pt idx="515">
                  <c:v>1445439.7707459298</c:v>
                </c:pt>
                <c:pt idx="516">
                  <c:v>1479108.3881682095</c:v>
                </c:pt>
                <c:pt idx="517">
                  <c:v>1513561.2484362102</c:v>
                </c:pt>
                <c:pt idx="518">
                  <c:v>1548816.6189124861</c:v>
                </c:pt>
                <c:pt idx="519">
                  <c:v>1584893.1924611153</c:v>
                </c:pt>
                <c:pt idx="520">
                  <c:v>1621810.0973589318</c:v>
                </c:pt>
                <c:pt idx="521">
                  <c:v>1659586.9074375622</c:v>
                </c:pt>
                <c:pt idx="522">
                  <c:v>1698243.6524617488</c:v>
                </c:pt>
                <c:pt idx="523">
                  <c:v>1737800.8287493798</c:v>
                </c:pt>
                <c:pt idx="524">
                  <c:v>1778279.4100389241</c:v>
                </c:pt>
                <c:pt idx="525">
                  <c:v>1819700.8586099846</c:v>
                </c:pt>
                <c:pt idx="526">
                  <c:v>1862087.1366628683</c:v>
                </c:pt>
                <c:pt idx="527">
                  <c:v>1905460.7179632513</c:v>
                </c:pt>
                <c:pt idx="528">
                  <c:v>1949844.5997580495</c:v>
                </c:pt>
                <c:pt idx="529">
                  <c:v>1995262.31496888</c:v>
                </c:pt>
                <c:pt idx="530">
                  <c:v>2041737.9446695296</c:v>
                </c:pt>
                <c:pt idx="531">
                  <c:v>2089296.1308540432</c:v>
                </c:pt>
                <c:pt idx="532">
                  <c:v>2137962.0895022359</c:v>
                </c:pt>
                <c:pt idx="533">
                  <c:v>2187761.6239495561</c:v>
                </c:pt>
                <c:pt idx="534">
                  <c:v>2238721.1385683389</c:v>
                </c:pt>
                <c:pt idx="535">
                  <c:v>2290867.6527677765</c:v>
                </c:pt>
                <c:pt idx="536">
                  <c:v>2344228.8153199251</c:v>
                </c:pt>
                <c:pt idx="537">
                  <c:v>2398832.9190194933</c:v>
                </c:pt>
                <c:pt idx="538">
                  <c:v>2454708.915685033</c:v>
                </c:pt>
                <c:pt idx="539">
                  <c:v>2511886.431509587</c:v>
                </c:pt>
                <c:pt idx="540">
                  <c:v>2570395.782768866</c:v>
                </c:pt>
                <c:pt idx="541">
                  <c:v>2630267.9918953842</c:v>
                </c:pt>
              </c:numCache>
            </c:numRef>
          </c:xVal>
          <c:yVal>
            <c:numRef>
              <c:f>Loop_Modeling!$BM$19:$BM$560</c:f>
              <c:numCache>
                <c:formatCode>General</c:formatCode>
                <c:ptCount val="542"/>
                <c:pt idx="0">
                  <c:v>89.593722045699238</c:v>
                </c:pt>
                <c:pt idx="1">
                  <c:v>89.584260986976659</c:v>
                </c:pt>
                <c:pt idx="2">
                  <c:v>89.574579721390677</c:v>
                </c:pt>
                <c:pt idx="3">
                  <c:v>89.564673131783138</c:v>
                </c:pt>
                <c:pt idx="4">
                  <c:v>89.554535982668241</c:v>
                </c:pt>
                <c:pt idx="5">
                  <c:v>89.54416291753806</c:v>
                </c:pt>
                <c:pt idx="6">
                  <c:v>89.533548456110083</c:v>
                </c:pt>
                <c:pt idx="7">
                  <c:v>89.522686991514945</c:v>
                </c:pt>
                <c:pt idx="8">
                  <c:v>89.511572787424143</c:v>
                </c:pt>
                <c:pt idx="9">
                  <c:v>89.50019997511599</c:v>
                </c:pt>
                <c:pt idx="10">
                  <c:v>89.488562550479173</c:v>
                </c:pt>
                <c:pt idx="11">
                  <c:v>89.476654370952758</c:v>
                </c:pt>
                <c:pt idx="12">
                  <c:v>89.464469152401463</c:v>
                </c:pt>
                <c:pt idx="13">
                  <c:v>89.452000465925494</c:v>
                </c:pt>
                <c:pt idx="14">
                  <c:v>89.439241734603627</c:v>
                </c:pt>
                <c:pt idx="15">
                  <c:v>89.426186230168611</c:v>
                </c:pt>
                <c:pt idx="16">
                  <c:v>89.412827069614025</c:v>
                </c:pt>
                <c:pt idx="17">
                  <c:v>89.399157211731406</c:v>
                </c:pt>
                <c:pt idx="18">
                  <c:v>89.385169453576935</c:v>
                </c:pt>
                <c:pt idx="19">
                  <c:v>89.370856426866453</c:v>
                </c:pt>
                <c:pt idx="20">
                  <c:v>89.356210594298318</c:v>
                </c:pt>
                <c:pt idx="21">
                  <c:v>89.341224245802835</c:v>
                </c:pt>
                <c:pt idx="22">
                  <c:v>89.325889494717572</c:v>
                </c:pt>
                <c:pt idx="23">
                  <c:v>89.310198273888076</c:v>
                </c:pt>
                <c:pt idx="24">
                  <c:v>89.294142331692697</c:v>
                </c:pt>
                <c:pt idx="25">
                  <c:v>89.277713227991299</c:v>
                </c:pt>
                <c:pt idx="26">
                  <c:v>89.260902329997108</c:v>
                </c:pt>
                <c:pt idx="27">
                  <c:v>89.243700808070983</c:v>
                </c:pt>
                <c:pt idx="28">
                  <c:v>89.226099631437947</c:v>
                </c:pt>
                <c:pt idx="29">
                  <c:v>89.208089563825297</c:v>
                </c:pt>
                <c:pt idx="30">
                  <c:v>89.189661159022194</c:v>
                </c:pt>
                <c:pt idx="31">
                  <c:v>89.170804756360283</c:v>
                </c:pt>
                <c:pt idx="32">
                  <c:v>89.151510476115604</c:v>
                </c:pt>
                <c:pt idx="33">
                  <c:v>89.131768214831638</c:v>
                </c:pt>
                <c:pt idx="34">
                  <c:v>89.111567640563365</c:v>
                </c:pt>
                <c:pt idx="35">
                  <c:v>89.090898188043369</c:v>
                </c:pt>
                <c:pt idx="36">
                  <c:v>89.069749053769542</c:v>
                </c:pt>
                <c:pt idx="37">
                  <c:v>89.048109191015897</c:v>
                </c:pt>
                <c:pt idx="38">
                  <c:v>89.02596730476661</c:v>
                </c:pt>
                <c:pt idx="39">
                  <c:v>89.003311846574704</c:v>
                </c:pt>
                <c:pt idx="40">
                  <c:v>88.980131009346593</c:v>
                </c:pt>
                <c:pt idx="41">
                  <c:v>88.956412722053798</c:v>
                </c:pt>
                <c:pt idx="42">
                  <c:v>88.932144644373693</c:v>
                </c:pt>
                <c:pt idx="43">
                  <c:v>88.907314161261354</c:v>
                </c:pt>
                <c:pt idx="44">
                  <c:v>88.881908377454693</c:v>
                </c:pt>
                <c:pt idx="45">
                  <c:v>88.855914111915538</c:v>
                </c:pt>
                <c:pt idx="46">
                  <c:v>88.82931789221</c:v>
                </c:pt>
                <c:pt idx="47">
                  <c:v>88.802105948830842</c:v>
                </c:pt>
                <c:pt idx="48">
                  <c:v>88.77426420946648</c:v>
                </c:pt>
                <c:pt idx="49">
                  <c:v>88.745778293220056</c:v>
                </c:pt>
                <c:pt idx="50">
                  <c:v>88.716633504783914</c:v>
                </c:pt>
                <c:pt idx="51">
                  <c:v>88.686814828574313</c:v>
                </c:pt>
                <c:pt idx="52">
                  <c:v>88.656306922832613</c:v>
                </c:pt>
                <c:pt idx="53">
                  <c:v>88.625094113698552</c:v>
                </c:pt>
                <c:pt idx="54">
                  <c:v>88.593160389263645</c:v>
                </c:pt>
                <c:pt idx="55">
                  <c:v>88.560489393611533</c:v>
                </c:pt>
                <c:pt idx="56">
                  <c:v>88.527064420854217</c:v>
                </c:pt>
                <c:pt idx="57">
                  <c:v>88.492868409173326</c:v>
                </c:pt>
                <c:pt idx="58">
                  <c:v>88.457883934876378</c:v>
                </c:pt>
                <c:pt idx="59">
                  <c:v>88.422093206479175</c:v>
                </c:pt>
                <c:pt idx="60">
                  <c:v>88.385478058826337</c:v>
                </c:pt>
                <c:pt idx="61">
                  <c:v>88.348019947262685</c:v>
                </c:pt>
                <c:pt idx="62">
                  <c:v>88.309699941870207</c:v>
                </c:pt>
                <c:pt idx="63">
                  <c:v>88.27049872178506</c:v>
                </c:pt>
                <c:pt idx="64">
                  <c:v>88.230396569612225</c:v>
                </c:pt>
                <c:pt idx="65">
                  <c:v>88.189373365954964</c:v>
                </c:pt>
                <c:pt idx="66">
                  <c:v>88.147408584078804</c:v>
                </c:pt>
                <c:pt idx="67">
                  <c:v>88.104481284731293</c:v>
                </c:pt>
                <c:pt idx="68">
                  <c:v>88.060570111139739</c:v>
                </c:pt>
                <c:pt idx="69">
                  <c:v>88.015653284211425</c:v>
                </c:pt>
                <c:pt idx="70">
                  <c:v>87.969708597962892</c:v>
                </c:pt>
                <c:pt idx="71">
                  <c:v>87.922713415206374</c:v>
                </c:pt>
                <c:pt idx="72">
                  <c:v>87.874644663523654</c:v>
                </c:pt>
                <c:pt idx="73">
                  <c:v>87.825478831560545</c:v>
                </c:pt>
                <c:pt idx="74">
                  <c:v>87.77519196567637</c:v>
                </c:pt>
                <c:pt idx="75">
                  <c:v>87.723759666987263</c:v>
                </c:pt>
                <c:pt idx="76">
                  <c:v>87.671157088842179</c:v>
                </c:pt>
                <c:pt idx="77">
                  <c:v>87.617358934776547</c:v>
                </c:pt>
                <c:pt idx="78">
                  <c:v>87.562339456988497</c:v>
                </c:pt>
                <c:pt idx="79">
                  <c:v>87.506072455388349</c:v>
                </c:pt>
                <c:pt idx="80">
                  <c:v>87.448531277273887</c:v>
                </c:pt>
                <c:pt idx="81">
                  <c:v>87.389688817687784</c:v>
                </c:pt>
                <c:pt idx="82">
                  <c:v>87.329517520518522</c:v>
                </c:pt>
                <c:pt idx="83">
                  <c:v>87.267989380408622</c:v>
                </c:pt>
                <c:pt idx="84">
                  <c:v>87.205075945539022</c:v>
                </c:pt>
                <c:pt idx="85">
                  <c:v>87.14074832136329</c:v>
                </c:pt>
                <c:pt idx="86">
                  <c:v>87.07497717536944</c:v>
                </c:pt>
                <c:pt idx="87">
                  <c:v>87.007732742951987</c:v>
                </c:pt>
                <c:pt idx="88">
                  <c:v>86.938984834482611</c:v>
                </c:pt>
                <c:pt idx="89">
                  <c:v>86.868702843673518</c:v>
                </c:pt>
                <c:pt idx="90">
                  <c:v>86.796855757331826</c:v>
                </c:pt>
                <c:pt idx="91">
                  <c:v>86.723412166610544</c:v>
                </c:pt>
                <c:pt idx="92">
                  <c:v>86.648340279867909</c:v>
                </c:pt>
                <c:pt idx="93">
                  <c:v>86.57160793725221</c:v>
                </c:pt>
                <c:pt idx="94">
                  <c:v>86.493182627137429</c:v>
                </c:pt>
                <c:pt idx="95">
                  <c:v>86.413031504540271</c:v>
                </c:pt>
                <c:pt idx="96">
                  <c:v>86.331121411657648</c:v>
                </c:pt>
                <c:pt idx="97">
                  <c:v>86.247418900670496</c:v>
                </c:pt>
                <c:pt idx="98">
                  <c:v>86.161890258967603</c:v>
                </c:pt>
                <c:pt idx="99">
                  <c:v>86.074501536950038</c:v>
                </c:pt>
                <c:pt idx="100">
                  <c:v>85.985218578585787</c:v>
                </c:pt>
                <c:pt idx="101">
                  <c:v>85.894007054892697</c:v>
                </c:pt>
                <c:pt idx="102">
                  <c:v>85.800832500532223</c:v>
                </c:pt>
                <c:pt idx="103">
                  <c:v>85.705660353711167</c:v>
                </c:pt>
                <c:pt idx="104">
                  <c:v>85.608455999590134</c:v>
                </c:pt>
                <c:pt idx="105">
                  <c:v>85.509184817408823</c:v>
                </c:pt>
                <c:pt idx="106">
                  <c:v>85.407812231547354</c:v>
                </c:pt>
                <c:pt idx="107">
                  <c:v>85.304303766747097</c:v>
                </c:pt>
                <c:pt idx="108">
                  <c:v>85.19862510772515</c:v>
                </c:pt>
                <c:pt idx="109">
                  <c:v>85.090742163421581</c:v>
                </c:pt>
                <c:pt idx="110">
                  <c:v>84.980621136125919</c:v>
                </c:pt>
                <c:pt idx="111">
                  <c:v>84.868228595736255</c:v>
                </c:pt>
                <c:pt idx="112">
                  <c:v>84.753531559407193</c:v>
                </c:pt>
                <c:pt idx="113">
                  <c:v>84.636497576849038</c:v>
                </c:pt>
                <c:pt idx="114">
                  <c:v>84.517094821543253</c:v>
                </c:pt>
                <c:pt idx="115">
                  <c:v>84.395292188140516</c:v>
                </c:pt>
                <c:pt idx="116">
                  <c:v>84.271059396309582</c:v>
                </c:pt>
                <c:pt idx="117">
                  <c:v>84.144367101300773</c:v>
                </c:pt>
                <c:pt idx="118">
                  <c:v>84.015187011489004</c:v>
                </c:pt>
                <c:pt idx="119">
                  <c:v>83.883492013151411</c:v>
                </c:pt>
                <c:pt idx="120">
                  <c:v>83.749256302729393</c:v>
                </c:pt>
                <c:pt idx="121">
                  <c:v>83.61245552681352</c:v>
                </c:pt>
                <c:pt idx="122">
                  <c:v>83.473066930074154</c:v>
                </c:pt>
                <c:pt idx="123">
                  <c:v>83.331069511345618</c:v>
                </c:pt>
                <c:pt idx="124">
                  <c:v>83.186444188048952</c:v>
                </c:pt>
                <c:pt idx="125">
                  <c:v>83.039173969112383</c:v>
                </c:pt>
                <c:pt idx="126">
                  <c:v>82.889244136519821</c:v>
                </c:pt>
                <c:pt idx="127">
                  <c:v>82.736642435581828</c:v>
                </c:pt>
                <c:pt idx="128">
                  <c:v>82.581359273982201</c:v>
                </c:pt>
                <c:pt idx="129">
                  <c:v>82.423387929607856</c:v>
                </c:pt>
                <c:pt idx="130">
                  <c:v>82.262724767117717</c:v>
                </c:pt>
                <c:pt idx="131">
                  <c:v>82.099369463144171</c:v>
                </c:pt>
                <c:pt idx="132">
                  <c:v>81.933325239956957</c:v>
                </c:pt>
                <c:pt idx="133">
                  <c:v>81.764599107345433</c:v>
                </c:pt>
                <c:pt idx="134">
                  <c:v>81.593202112391779</c:v>
                </c:pt>
                <c:pt idx="135">
                  <c:v>81.419149596720018</c:v>
                </c:pt>
                <c:pt idx="136">
                  <c:v>81.242461460708171</c:v>
                </c:pt>
                <c:pt idx="137">
                  <c:v>81.063162434042624</c:v>
                </c:pt>
                <c:pt idx="138">
                  <c:v>80.881282351885275</c:v>
                </c:pt>
                <c:pt idx="139">
                  <c:v>80.696856435792029</c:v>
                </c:pt>
                <c:pt idx="140">
                  <c:v>80.509925578401479</c:v>
                </c:pt>
                <c:pt idx="141">
                  <c:v>80.320536630765389</c:v>
                </c:pt>
                <c:pt idx="142">
                  <c:v>80.128742691052665</c:v>
                </c:pt>
                <c:pt idx="143">
                  <c:v>79.934603393202906</c:v>
                </c:pt>
                <c:pt idx="144">
                  <c:v>79.738185193948965</c:v>
                </c:pt>
                <c:pt idx="145">
                  <c:v>79.539561656466802</c:v>
                </c:pt>
                <c:pt idx="146">
                  <c:v>79.338813728741201</c:v>
                </c:pt>
                <c:pt idx="147">
                  <c:v>79.136030014573095</c:v>
                </c:pt>
                <c:pt idx="148">
                  <c:v>78.931307034981913</c:v>
                </c:pt>
                <c:pt idx="149">
                  <c:v>78.724749477595282</c:v>
                </c:pt>
                <c:pt idx="150">
                  <c:v>78.51647043145536</c:v>
                </c:pt>
                <c:pt idx="151">
                  <c:v>78.306591604514935</c:v>
                </c:pt>
                <c:pt idx="152">
                  <c:v>78.095243520960679</c:v>
                </c:pt>
                <c:pt idx="153">
                  <c:v>77.882565695357457</c:v>
                </c:pt>
                <c:pt idx="154">
                  <c:v>77.668706780510675</c:v>
                </c:pt>
                <c:pt idx="155">
                  <c:v>77.453824685829233</c:v>
                </c:pt>
                <c:pt idx="156">
                  <c:v>77.238086662922569</c:v>
                </c:pt>
                <c:pt idx="157">
                  <c:v>77.021669355101068</c:v>
                </c:pt>
                <c:pt idx="158">
                  <c:v>76.804758807456224</c:v>
                </c:pt>
                <c:pt idx="159">
                  <c:v>76.587550434205937</c:v>
                </c:pt>
                <c:pt idx="160">
                  <c:v>76.370248940058275</c:v>
                </c:pt>
                <c:pt idx="161">
                  <c:v>76.153068192449297</c:v>
                </c:pt>
                <c:pt idx="162">
                  <c:v>75.936231041657294</c:v>
                </c:pt>
                <c:pt idx="163">
                  <c:v>75.719969085992616</c:v>
                </c:pt>
                <c:pt idx="164">
                  <c:v>75.50452237950698</c:v>
                </c:pt>
                <c:pt idx="165">
                  <c:v>75.290139079964092</c:v>
                </c:pt>
                <c:pt idx="166">
                  <c:v>75.077075035156597</c:v>
                </c:pt>
                <c:pt idx="167">
                  <c:v>74.865593306064895</c:v>
                </c:pt>
                <c:pt idx="168">
                  <c:v>74.655963625791529</c:v>
                </c:pt>
                <c:pt idx="169">
                  <c:v>74.44846179371811</c:v>
                </c:pt>
                <c:pt idx="170">
                  <c:v>74.243369004864903</c:v>
                </c:pt>
                <c:pt idx="171">
                  <c:v>74.040971115038076</c:v>
                </c:pt>
                <c:pt idx="172">
                  <c:v>73.841557842954288</c:v>
                </c:pt>
                <c:pt idx="173">
                  <c:v>73.645421911208913</c:v>
                </c:pt>
                <c:pt idx="174">
                  <c:v>73.452858128616327</c:v>
                </c:pt>
                <c:pt idx="175">
                  <c:v>73.26416241716143</c:v>
                </c:pt>
                <c:pt idx="176">
                  <c:v>73.07963078748476</c:v>
                </c:pt>
                <c:pt idx="177">
                  <c:v>72.899558267541423</c:v>
                </c:pt>
                <c:pt idx="178">
                  <c:v>72.724237789740258</c:v>
                </c:pt>
                <c:pt idx="179">
                  <c:v>72.553959042540953</c:v>
                </c:pt>
                <c:pt idx="180">
                  <c:v>72.389007293107596</c:v>
                </c:pt>
                <c:pt idx="181">
                  <c:v>72.22966218819559</c:v>
                </c:pt>
                <c:pt idx="182">
                  <c:v>72.076196540970713</c:v>
                </c:pt>
                <c:pt idx="183">
                  <c:v>71.928875111915914</c:v>
                </c:pt>
                <c:pt idx="184">
                  <c:v>71.787953392358872</c:v>
                </c:pt>
                <c:pt idx="185">
                  <c:v>71.653676399449566</c:v>
                </c:pt>
                <c:pt idx="186">
                  <c:v>71.526277491617662</c:v>
                </c:pt>
                <c:pt idx="187">
                  <c:v>71.405977213645784</c:v>
                </c:pt>
                <c:pt idx="188">
                  <c:v>71.292982180493709</c:v>
                </c:pt>
                <c:pt idx="189">
                  <c:v>71.187484008911852</c:v>
                </c:pt>
                <c:pt idx="190">
                  <c:v>71.08965830565586</c:v>
                </c:pt>
                <c:pt idx="191">
                  <c:v>70.999663720816059</c:v>
                </c:pt>
                <c:pt idx="192">
                  <c:v>70.917641074330362</c:v>
                </c:pt>
                <c:pt idx="193">
                  <c:v>70.84371256324421</c:v>
                </c:pt>
                <c:pt idx="194">
                  <c:v>70.777981056642389</c:v>
                </c:pt>
                <c:pt idx="195">
                  <c:v>70.720529484485795</c:v>
                </c:pt>
                <c:pt idx="196">
                  <c:v>70.671420325772672</c:v>
                </c:pt>
                <c:pt idx="197">
                  <c:v>70.630695200610063</c:v>
                </c:pt>
                <c:pt idx="198">
                  <c:v>70.598374569833325</c:v>
                </c:pt>
                <c:pt idx="199">
                  <c:v>70.574457544856458</c:v>
                </c:pt>
                <c:pt idx="200">
                  <c:v>70.558921809431013</c:v>
                </c:pt>
                <c:pt idx="201">
                  <c:v>70.551723653956401</c:v>
                </c:pt>
                <c:pt idx="202">
                  <c:v>70.552798121948939</c:v>
                </c:pt>
                <c:pt idx="203">
                  <c:v>70.562059267255748</c:v>
                </c:pt>
                <c:pt idx="204">
                  <c:v>70.579400519575543</c:v>
                </c:pt>
                <c:pt idx="205">
                  <c:v>70.604695154871493</c:v>
                </c:pt>
                <c:pt idx="206">
                  <c:v>70.637796866331698</c:v>
                </c:pt>
                <c:pt idx="207">
                  <c:v>70.678540430647047</c:v>
                </c:pt>
                <c:pt idx="208">
                  <c:v>70.726742463571156</c:v>
                </c:pt>
                <c:pt idx="209">
                  <c:v>70.782202257995024</c:v>
                </c:pt>
                <c:pt idx="210">
                  <c:v>70.844702697120724</c:v>
                </c:pt>
                <c:pt idx="211">
                  <c:v>70.914011234775288</c:v>
                </c:pt>
                <c:pt idx="212">
                  <c:v>70.989880934450753</c:v>
                </c:pt>
                <c:pt idx="213">
                  <c:v>71.072051558309468</c:v>
                </c:pt>
                <c:pt idx="214">
                  <c:v>71.160250697162553</c:v>
                </c:pt>
                <c:pt idx="215">
                  <c:v>71.254194932288101</c:v>
                </c:pt>
                <c:pt idx="216">
                  <c:v>71.353591019936957</c:v>
                </c:pt>
                <c:pt idx="217">
                  <c:v>71.45813708945137</c:v>
                </c:pt>
                <c:pt idx="218">
                  <c:v>71.567523846096663</c:v>
                </c:pt>
                <c:pt idx="219">
                  <c:v>71.681435769982798</c:v>
                </c:pt>
                <c:pt idx="220">
                  <c:v>71.799552302804017</c:v>
                </c:pt>
                <c:pt idx="221">
                  <c:v>71.921549014572378</c:v>
                </c:pt>
                <c:pt idx="222">
                  <c:v>72.047098743008632</c:v>
                </c:pt>
                <c:pt idx="223">
                  <c:v>72.175872698844515</c:v>
                </c:pt>
                <c:pt idx="224">
                  <c:v>72.30754153087625</c:v>
                </c:pt>
                <c:pt idx="225">
                  <c:v>72.441776345285191</c:v>
                </c:pt>
                <c:pt idx="226">
                  <c:v>72.578249674402642</c:v>
                </c:pt>
                <c:pt idx="227">
                  <c:v>72.716636390803245</c:v>
                </c:pt>
                <c:pt idx="228">
                  <c:v>72.856614563305428</c:v>
                </c:pt>
                <c:pt idx="229">
                  <c:v>72.997866252154665</c:v>
                </c:pt>
                <c:pt idx="230">
                  <c:v>73.140078241359049</c:v>
                </c:pt>
                <c:pt idx="231">
                  <c:v>73.282942706792653</c:v>
                </c:pt>
                <c:pt idx="232">
                  <c:v>73.426157819330328</c:v>
                </c:pt>
                <c:pt idx="233">
                  <c:v>73.569428282872906</c:v>
                </c:pt>
                <c:pt idx="234">
                  <c:v>73.712465807668124</c:v>
                </c:pt>
                <c:pt idx="235">
                  <c:v>73.854989519862471</c:v>
                </c:pt>
                <c:pt idx="236">
                  <c:v>73.996726308669466</c:v>
                </c:pt>
                <c:pt idx="237">
                  <c:v>74.13741111295748</c:v>
                </c:pt>
                <c:pt idx="238">
                  <c:v>74.276787149425644</c:v>
                </c:pt>
                <c:pt idx="239">
                  <c:v>74.414606084837317</c:v>
                </c:pt>
                <c:pt idx="240">
                  <c:v>74.550628155048543</c:v>
                </c:pt>
                <c:pt idx="241">
                  <c:v>74.684622233769389</c:v>
                </c:pt>
                <c:pt idx="242">
                  <c:v>74.816365854160878</c:v>
                </c:pt>
                <c:pt idx="243">
                  <c:v>74.945645186479595</c:v>
                </c:pt>
                <c:pt idx="244">
                  <c:v>75.072254975059863</c:v>
                </c:pt>
                <c:pt idx="245">
                  <c:v>75.195998437949754</c:v>
                </c:pt>
                <c:pt idx="246">
                  <c:v>75.316687132517558</c:v>
                </c:pt>
                <c:pt idx="247">
                  <c:v>75.434140790307552</c:v>
                </c:pt>
                <c:pt idx="248">
                  <c:v>75.548187124363622</c:v>
                </c:pt>
                <c:pt idx="249">
                  <c:v>75.658661612142126</c:v>
                </c:pt>
                <c:pt idx="250">
                  <c:v>75.765407257038532</c:v>
                </c:pt>
                <c:pt idx="251">
                  <c:v>75.868274331415734</c:v>
                </c:pt>
                <c:pt idx="252">
                  <c:v>75.967120103883758</c:v>
                </c:pt>
                <c:pt idx="253">
                  <c:v>76.061808553431845</c:v>
                </c:pt>
                <c:pt idx="254">
                  <c:v>76.152210072852668</c:v>
                </c:pt>
                <c:pt idx="255">
                  <c:v>76.238201163730324</c:v>
                </c:pt>
                <c:pt idx="256">
                  <c:v>76.319664125107479</c:v>
                </c:pt>
                <c:pt idx="257">
                  <c:v>76.396486737764718</c:v>
                </c:pt>
                <c:pt idx="258">
                  <c:v>76.468561945889633</c:v>
                </c:pt>
                <c:pt idx="259">
                  <c:v>76.535787537748419</c:v>
                </c:pt>
                <c:pt idx="260">
                  <c:v>76.598065826807797</c:v>
                </c:pt>
                <c:pt idx="261">
                  <c:v>76.655303334607069</c:v>
                </c:pt>
                <c:pt idx="262">
                  <c:v>76.707410476534207</c:v>
                </c:pt>
                <c:pt idx="263">
                  <c:v>76.754301251512175</c:v>
                </c:pt>
                <c:pt idx="264">
                  <c:v>76.79589293647912</c:v>
                </c:pt>
                <c:pt idx="265">
                  <c:v>76.832105786415823</c:v>
                </c:pt>
                <c:pt idx="266">
                  <c:v>76.862862740559919</c:v>
                </c:pt>
                <c:pt idx="267">
                  <c:v>76.888089135337694</c:v>
                </c:pt>
                <c:pt idx="268">
                  <c:v>76.907712424450978</c:v>
                </c:pt>
                <c:pt idx="269">
                  <c:v>76.921661906456464</c:v>
                </c:pt>
                <c:pt idx="270">
                  <c:v>76.929868460101346</c:v>
                </c:pt>
                <c:pt idx="271">
                  <c:v>76.932264287600745</c:v>
                </c:pt>
                <c:pt idx="272">
                  <c:v>76.928782665976343</c:v>
                </c:pt>
                <c:pt idx="273">
                  <c:v>76.919357706513338</c:v>
                </c:pt>
                <c:pt idx="274">
                  <c:v>76.903924122347803</c:v>
                </c:pt>
                <c:pt idx="275">
                  <c:v>76.882417004141246</c:v>
                </c:pt>
                <c:pt idx="276">
                  <c:v>76.854771603766423</c:v>
                </c:pt>
                <c:pt idx="277">
                  <c:v>76.820923125891085</c:v>
                </c:pt>
                <c:pt idx="278">
                  <c:v>76.780806527319129</c:v>
                </c:pt>
                <c:pt idx="279">
                  <c:v>76.7343563239247</c:v>
                </c:pt>
                <c:pt idx="280">
                  <c:v>76.681506404995545</c:v>
                </c:pt>
                <c:pt idx="281">
                  <c:v>76.622189854790577</c:v>
                </c:pt>
                <c:pt idx="282">
                  <c:v>76.556338781099228</c:v>
                </c:pt>
                <c:pt idx="283">
                  <c:v>76.483884150593425</c:v>
                </c:pt>
                <c:pt idx="284">
                  <c:v>76.404755630750287</c:v>
                </c:pt>
                <c:pt idx="285">
                  <c:v>76.318881438130816</c:v>
                </c:pt>
                <c:pt idx="286">
                  <c:v>76.226188192796215</c:v>
                </c:pt>
                <c:pt idx="287">
                  <c:v>76.126600778657846</c:v>
                </c:pt>
                <c:pt idx="288">
                  <c:v>76.020042209553495</c:v>
                </c:pt>
                <c:pt idx="289">
                  <c:v>75.906433500864537</c:v>
                </c:pt>
                <c:pt idx="290">
                  <c:v>75.785693546494556</c:v>
                </c:pt>
                <c:pt idx="291">
                  <c:v>75.657739001044547</c:v>
                </c:pt>
                <c:pt idx="292">
                  <c:v>75.522484167041554</c:v>
                </c:pt>
                <c:pt idx="293">
                  <c:v>75.379840887092996</c:v>
                </c:pt>
                <c:pt idx="294">
                  <c:v>75.22971844085825</c:v>
                </c:pt>
                <c:pt idx="295">
                  <c:v>75.072023446754955</c:v>
                </c:pt>
                <c:pt idx="296">
                  <c:v>74.906659768340987</c:v>
                </c:pt>
                <c:pt idx="297">
                  <c:v>74.733528425337255</c:v>
                </c:pt>
                <c:pt idx="298">
                  <c:v>74.552527509283962</c:v>
                </c:pt>
                <c:pt idx="299">
                  <c:v>74.363552103859931</c:v>
                </c:pt>
                <c:pt idx="300">
                  <c:v>74.166494209912642</c:v>
                </c:pt>
                <c:pt idx="301">
                  <c:v>73.961242675293391</c:v>
                </c:pt>
                <c:pt idx="302">
                  <c:v>73.747683129619006</c:v>
                </c:pt>
                <c:pt idx="303">
                  <c:v>73.525697924121246</c:v>
                </c:pt>
                <c:pt idx="304">
                  <c:v>73.295166076783119</c:v>
                </c:pt>
                <c:pt idx="305">
                  <c:v>73.055963223003388</c:v>
                </c:pt>
                <c:pt idx="306">
                  <c:v>72.807961572072713</c:v>
                </c:pt>
                <c:pt idx="307">
                  <c:v>72.551029869786802</c:v>
                </c:pt>
                <c:pt idx="308">
                  <c:v>72.285033367574997</c:v>
                </c:pt>
                <c:pt idx="309">
                  <c:v>72.009833798563207</c:v>
                </c:pt>
                <c:pt idx="310">
                  <c:v>71.725289361045455</c:v>
                </c:pt>
                <c:pt idx="311">
                  <c:v>71.431254709887483</c:v>
                </c:pt>
                <c:pt idx="312">
                  <c:v>71.127580956440909</c:v>
                </c:pt>
                <c:pt idx="313">
                  <c:v>70.814115677597698</c:v>
                </c:pt>
                <c:pt idx="314">
                  <c:v>70.490702934672143</c:v>
                </c:pt>
                <c:pt idx="315">
                  <c:v>70.157183302852474</c:v>
                </c:pt>
                <c:pt idx="316">
                  <c:v>69.813393912021183</c:v>
                </c:pt>
                <c:pt idx="317">
                  <c:v>69.459168499796576</c:v>
                </c:pt>
                <c:pt idx="318">
                  <c:v>69.094337477705949</c:v>
                </c:pt>
                <c:pt idx="319">
                  <c:v>68.718728011453322</c:v>
                </c:pt>
                <c:pt idx="320">
                  <c:v>68.332164116291935</c:v>
                </c:pt>
                <c:pt idx="321">
                  <c:v>67.934466768571852</c:v>
                </c:pt>
                <c:pt idx="322">
                  <c:v>67.5254540345599</c:v>
                </c:pt>
                <c:pt idx="323">
                  <c:v>67.104941217687909</c:v>
                </c:pt>
                <c:pt idx="324">
                  <c:v>66.672741025404221</c:v>
                </c:pt>
                <c:pt idx="325">
                  <c:v>66.228663756841371</c:v>
                </c:pt>
                <c:pt idx="326">
                  <c:v>65.772517512520523</c:v>
                </c:pt>
                <c:pt idx="327">
                  <c:v>65.304108427334086</c:v>
                </c:pt>
                <c:pt idx="328">
                  <c:v>64.823240928037663</c:v>
                </c:pt>
                <c:pt idx="329">
                  <c:v>64.329718016467055</c:v>
                </c:pt>
                <c:pt idx="330">
                  <c:v>63.823341579677049</c:v>
                </c:pt>
                <c:pt idx="331">
                  <c:v>63.303912728143608</c:v>
                </c:pt>
                <c:pt idx="332">
                  <c:v>62.77123216312134</c:v>
                </c:pt>
                <c:pt idx="333">
                  <c:v>62.225100574155832</c:v>
                </c:pt>
                <c:pt idx="334">
                  <c:v>61.665319067673003</c:v>
                </c:pt>
                <c:pt idx="335">
                  <c:v>61.091689627427556</c:v>
                </c:pt>
                <c:pt idx="336">
                  <c:v>60.504015607471381</c:v>
                </c:pt>
                <c:pt idx="337">
                  <c:v>59.902102258125964</c:v>
                </c:pt>
                <c:pt idx="338">
                  <c:v>59.285757285275253</c:v>
                </c:pt>
                <c:pt idx="339">
                  <c:v>58.654791443072035</c:v>
                </c:pt>
                <c:pt idx="340">
                  <c:v>58.009019159937573</c:v>
                </c:pt>
                <c:pt idx="341">
                  <c:v>57.348259197468792</c:v>
                </c:pt>
                <c:pt idx="342">
                  <c:v>56.672335341608836</c:v>
                </c:pt>
                <c:pt idx="343">
                  <c:v>55.981077125133965</c:v>
                </c:pt>
                <c:pt idx="344">
                  <c:v>55.27432058021067</c:v>
                </c:pt>
                <c:pt idx="345">
                  <c:v>54.551909019443727</c:v>
                </c:pt>
                <c:pt idx="346">
                  <c:v>53.813693843501191</c:v>
                </c:pt>
                <c:pt idx="347">
                  <c:v>53.059535373063618</c:v>
                </c:pt>
                <c:pt idx="348">
                  <c:v>52.289303702473688</c:v>
                </c:pt>
                <c:pt idx="349">
                  <c:v>51.502879572126538</c:v>
                </c:pt>
                <c:pt idx="350">
                  <c:v>50.700155256271579</c:v>
                </c:pt>
                <c:pt idx="351">
                  <c:v>49.881035462562359</c:v>
                </c:pt>
                <c:pt idx="352">
                  <c:v>49.045438239342275</c:v>
                </c:pt>
                <c:pt idx="353">
                  <c:v>48.193295886344927</c:v>
                </c:pt>
                <c:pt idx="354">
                  <c:v>47.324555864174414</c:v>
                </c:pt>
                <c:pt idx="355">
                  <c:v>46.439181697669824</c:v>
                </c:pt>
                <c:pt idx="356">
                  <c:v>45.537153867993695</c:v>
                </c:pt>
                <c:pt idx="357">
                  <c:v>44.618470688085971</c:v>
                </c:pt>
                <c:pt idx="358">
                  <c:v>43.683149155936903</c:v>
                </c:pt>
                <c:pt idx="359">
                  <c:v>42.731225780002774</c:v>
                </c:pt>
                <c:pt idx="360">
                  <c:v>41.762757370983728</c:v>
                </c:pt>
                <c:pt idx="361">
                  <c:v>40.777821794155528</c:v>
                </c:pt>
                <c:pt idx="362">
                  <c:v>39.776518676416316</c:v>
                </c:pt>
                <c:pt idx="363">
                  <c:v>38.758970062286799</c:v>
                </c:pt>
                <c:pt idx="364">
                  <c:v>37.725321013181279</c:v>
                </c:pt>
                <c:pt idx="365">
                  <c:v>36.675740144418441</c:v>
                </c:pt>
                <c:pt idx="366">
                  <c:v>35.610420094642464</c:v>
                </c:pt>
                <c:pt idx="367">
                  <c:v>34.529577922562979</c:v>
                </c:pt>
                <c:pt idx="368">
                  <c:v>33.433455426220164</c:v>
                </c:pt>
                <c:pt idx="369">
                  <c:v>32.322319380324878</c:v>
                </c:pt>
                <c:pt idx="370">
                  <c:v>31.196461687590261</c:v>
                </c:pt>
                <c:pt idx="371">
                  <c:v>30.056199440422052</c:v>
                </c:pt>
                <c:pt idx="372">
                  <c:v>28.90187488977574</c:v>
                </c:pt>
                <c:pt idx="373">
                  <c:v>27.733855318504492</c:v>
                </c:pt>
                <c:pt idx="374">
                  <c:v>26.552532817049737</c:v>
                </c:pt>
                <c:pt idx="375">
                  <c:v>25.358323959899092</c:v>
                </c:pt>
                <c:pt idx="376">
                  <c:v>24.151669381812962</c:v>
                </c:pt>
                <c:pt idx="377">
                  <c:v>22.933033253454244</c:v>
                </c:pt>
                <c:pt idx="378">
                  <c:v>21.702902656670329</c:v>
                </c:pt>
                <c:pt idx="379">
                  <c:v>20.461786860342318</c:v>
                </c:pt>
                <c:pt idx="380">
                  <c:v>19.210216498349691</c:v>
                </c:pt>
                <c:pt idx="381">
                  <c:v>17.948742651887432</c:v>
                </c:pt>
                <c:pt idx="382">
                  <c:v>16.677935839007421</c:v>
                </c:pt>
                <c:pt idx="383">
                  <c:v>15.398384914927348</c:v>
                </c:pt>
                <c:pt idx="384">
                  <c:v>14.110695887287228</c:v>
                </c:pt>
                <c:pt idx="385">
                  <c:v>12.815490651160006</c:v>
                </c:pt>
                <c:pt idx="386">
                  <c:v>11.513405649216645</c:v>
                </c:pt>
                <c:pt idx="387">
                  <c:v>10.205090463031134</c:v>
                </c:pt>
                <c:pt idx="388">
                  <c:v>8.8912063420286138</c:v>
                </c:pt>
                <c:pt idx="389">
                  <c:v>7.5724246770868264</c:v>
                </c:pt>
                <c:pt idx="390">
                  <c:v>6.2494254262384876</c:v>
                </c:pt>
                <c:pt idx="391">
                  <c:v>4.9228955003041532</c:v>
                </c:pt>
                <c:pt idx="392">
                  <c:v>3.5935271166377798</c:v>
                </c:pt>
                <c:pt idx="393">
                  <c:v>2.2620161294102825</c:v>
                </c:pt>
                <c:pt idx="394">
                  <c:v>0.92906034507443258</c:v>
                </c:pt>
                <c:pt idx="395">
                  <c:v>-0.40464216822787114</c:v>
                </c:pt>
                <c:pt idx="396">
                  <c:v>-1.7383947684950221</c:v>
                </c:pt>
                <c:pt idx="397">
                  <c:v>-3.0715039161313533</c:v>
                </c:pt>
                <c:pt idx="398">
                  <c:v>-4.4032808299525499</c:v>
                </c:pt>
                <c:pt idx="399">
                  <c:v>-5.7330431143949721</c:v>
                </c:pt>
                <c:pt idx="400">
                  <c:v>-7.0601163496496584</c:v>
                </c:pt>
                <c:pt idx="401">
                  <c:v>-8.3838356367608959</c:v>
                </c:pt>
                <c:pt idx="402">
                  <c:v>-9.703547090115423</c:v>
                </c:pt>
                <c:pt idx="403">
                  <c:v>-11.018609270194688</c:v>
                </c:pt>
                <c:pt idx="404">
                  <c:v>-12.328394550000672</c:v>
                </c:pt>
                <c:pt idx="405">
                  <c:v>-13.632290409098754</c:v>
                </c:pt>
                <c:pt idx="406">
                  <c:v>-14.929700649859345</c:v>
                </c:pt>
                <c:pt idx="407">
                  <c:v>-16.220046531127135</c:v>
                </c:pt>
                <c:pt idx="408">
                  <c:v>-17.502767815223592</c:v>
                </c:pt>
                <c:pt idx="409">
                  <c:v>-18.777323724903859</c:v>
                </c:pt>
                <c:pt idx="410">
                  <c:v>-20.043193807608937</c:v>
                </c:pt>
                <c:pt idx="411">
                  <c:v>-21.299878705077962</c:v>
                </c:pt>
                <c:pt idx="412">
                  <c:v>-22.546900827116549</c:v>
                </c:pt>
                <c:pt idx="413">
                  <c:v>-23.783804929020611</c:v>
                </c:pt>
                <c:pt idx="414">
                  <c:v>-25.010158592865835</c:v>
                </c:pt>
                <c:pt idx="415">
                  <c:v>-26.225552613522414</c:v>
                </c:pt>
                <c:pt idx="416">
                  <c:v>-27.429601290905296</c:v>
                </c:pt>
                <c:pt idx="417">
                  <c:v>-28.621942630555239</c:v>
                </c:pt>
                <c:pt idx="418">
                  <c:v>-29.802238455203803</c:v>
                </c:pt>
                <c:pt idx="419">
                  <c:v>-30.970174430470426</c:v>
                </c:pt>
                <c:pt idx="420">
                  <c:v>-32.125460008298582</c:v>
                </c:pt>
                <c:pt idx="421">
                  <c:v>-33.26782829212155</c:v>
                </c:pt>
                <c:pt idx="422">
                  <c:v>-34.397035828087716</c:v>
                </c:pt>
                <c:pt idx="423">
                  <c:v>-35.512862326971067</c:v>
                </c:pt>
                <c:pt idx="424">
                  <c:v>-36.615110321584275</c:v>
                </c:pt>
                <c:pt idx="425">
                  <c:v>-37.70360476471101</c:v>
                </c:pt>
                <c:pt idx="426">
                  <c:v>-38.778192572664643</c:v>
                </c:pt>
                <c:pt idx="427">
                  <c:v>-39.838742119646632</c:v>
                </c:pt>
                <c:pt idx="428">
                  <c:v>-40.885142688088145</c:v>
                </c:pt>
                <c:pt idx="429">
                  <c:v>-41.91730388012968</c:v>
                </c:pt>
                <c:pt idx="430">
                  <c:v>-42.935154995299449</c:v>
                </c:pt>
                <c:pt idx="431">
                  <c:v>-43.938644379354457</c:v>
                </c:pt>
                <c:pt idx="432">
                  <c:v>-44.927738749085513</c:v>
                </c:pt>
                <c:pt idx="433">
                  <c:v>-45.902422497720792</c:v>
                </c:pt>
                <c:pt idx="434">
                  <c:v>-46.862696985343909</c:v>
                </c:pt>
                <c:pt idx="435">
                  <c:v>-47.80857981853417</c:v>
                </c:pt>
                <c:pt idx="436">
                  <c:v>-48.740104123186725</c:v>
                </c:pt>
                <c:pt idx="437">
                  <c:v>-49.657317814218956</c:v>
                </c:pt>
                <c:pt idx="438">
                  <c:v>-50.560282865607498</c:v>
                </c:pt>
                <c:pt idx="439">
                  <c:v>-51.449074583939357</c:v>
                </c:pt>
                <c:pt idx="440">
                  <c:v>-52.323780888376255</c:v>
                </c:pt>
                <c:pt idx="441">
                  <c:v>-53.184501599686023</c:v>
                </c:pt>
                <c:pt idx="442">
                  <c:v>-54.031347740706572</c:v>
                </c:pt>
                <c:pt idx="443">
                  <c:v>-54.86444085036603</c:v>
                </c:pt>
                <c:pt idx="444">
                  <c:v>-55.68391231312512</c:v>
                </c:pt>
                <c:pt idx="445">
                  <c:v>-56.489902705467529</c:v>
                </c:pt>
                <c:pt idx="446">
                  <c:v>-57.28256116082968</c:v>
                </c:pt>
                <c:pt idx="447">
                  <c:v>-58.062044754149696</c:v>
                </c:pt>
                <c:pt idx="448">
                  <c:v>-58.828517906999281</c:v>
                </c:pt>
                <c:pt idx="449">
                  <c:v>-59.582151814078763</c:v>
                </c:pt>
                <c:pt idx="450">
                  <c:v>-60.323123891667251</c:v>
                </c:pt>
                <c:pt idx="451">
                  <c:v>-61.051617248457454</c:v>
                </c:pt>
                <c:pt idx="452">
                  <c:v>-61.767820179053452</c:v>
                </c:pt>
                <c:pt idx="453">
                  <c:v>-62.471925680267489</c:v>
                </c:pt>
                <c:pt idx="454">
                  <c:v>-63.164130990224514</c:v>
                </c:pt>
                <c:pt idx="455">
                  <c:v>-63.844637150177626</c:v>
                </c:pt>
                <c:pt idx="456">
                  <c:v>-64.513648588824779</c:v>
                </c:pt>
                <c:pt idx="457">
                  <c:v>-65.1713727288397</c:v>
                </c:pt>
                <c:pt idx="458">
                  <c:v>-65.818019615240289</c:v>
                </c:pt>
                <c:pt idx="459">
                  <c:v>-66.453801565160759</c:v>
                </c:pt>
                <c:pt idx="460">
                  <c:v>-67.078932838525105</c:v>
                </c:pt>
                <c:pt idx="461">
                  <c:v>-67.693629329079158</c:v>
                </c:pt>
                <c:pt idx="462">
                  <c:v>-68.298108275193698</c:v>
                </c:pt>
                <c:pt idx="463">
                  <c:v>-68.892587989814999</c:v>
                </c:pt>
                <c:pt idx="464">
                  <c:v>-69.477287608923433</c:v>
                </c:pt>
                <c:pt idx="465">
                  <c:v>-70.052426857825935</c:v>
                </c:pt>
                <c:pt idx="466">
                  <c:v>-70.618225834611678</c:v>
                </c:pt>
                <c:pt idx="467">
                  <c:v>-71.174904810076953</c:v>
                </c:pt>
                <c:pt idx="468">
                  <c:v>-71.722684043428771</c:v>
                </c:pt>
                <c:pt idx="469">
                  <c:v>-72.261783613076943</c:v>
                </c:pt>
                <c:pt idx="470">
                  <c:v>-72.792423261824794</c:v>
                </c:pt>
                <c:pt idx="471">
                  <c:v>-73.314822255778296</c:v>
                </c:pt>
                <c:pt idx="472">
                  <c:v>-73.829199256298423</c:v>
                </c:pt>
                <c:pt idx="473">
                  <c:v>-74.335772204341453</c:v>
                </c:pt>
                <c:pt idx="474">
                  <c:v>-74.834758216537011</c:v>
                </c:pt>
                <c:pt idx="475">
                  <c:v>-75.326373492371417</c:v>
                </c:pt>
                <c:pt idx="476">
                  <c:v>-75.810833231865431</c:v>
                </c:pt>
                <c:pt idx="477">
                  <c:v>-76.28835156314365</c:v>
                </c:pt>
                <c:pt idx="478">
                  <c:v>-76.759141479319098</c:v>
                </c:pt>
                <c:pt idx="479">
                  <c:v>-77.223414784131279</c:v>
                </c:pt>
                <c:pt idx="480">
                  <c:v>-77.681382045794265</c:v>
                </c:pt>
                <c:pt idx="481">
                  <c:v>-78.133252558532604</c:v>
                </c:pt>
                <c:pt idx="482">
                  <c:v>-78.579234311301462</c:v>
                </c:pt>
                <c:pt idx="483">
                  <c:v>-79.019533963204012</c:v>
                </c:pt>
                <c:pt idx="484">
                  <c:v>-79.454356825139868</c:v>
                </c:pt>
                <c:pt idx="485">
                  <c:v>-79.883906847235821</c:v>
                </c:pt>
                <c:pt idx="486">
                  <c:v>-80.308386611626929</c:v>
                </c:pt>
                <c:pt idx="487">
                  <c:v>-80.727997330175199</c:v>
                </c:pt>
                <c:pt idx="488">
                  <c:v>-81.142938846723993</c:v>
                </c:pt>
                <c:pt idx="489">
                  <c:v>-81.553409643510818</c:v>
                </c:pt>
                <c:pt idx="490">
                  <c:v>-81.959606851366843</c:v>
                </c:pt>
                <c:pt idx="491">
                  <c:v>-82.361726263350732</c:v>
                </c:pt>
                <c:pt idx="492">
                  <c:v>-82.759962351478052</c:v>
                </c:pt>
                <c:pt idx="493">
                  <c:v>-83.15450828621519</c:v>
                </c:pt>
                <c:pt idx="494">
                  <c:v>-83.545555958424444</c:v>
                </c:pt>
                <c:pt idx="495">
                  <c:v>-83.933296003452142</c:v>
                </c:pt>
                <c:pt idx="496">
                  <c:v>-84.317917827064647</c:v>
                </c:pt>
                <c:pt idx="497">
                  <c:v>-84.699609632944387</c:v>
                </c:pt>
                <c:pt idx="498">
                  <c:v>-85.078558451467501</c:v>
                </c:pt>
                <c:pt idx="499">
                  <c:v>-85.454950169488498</c:v>
                </c:pt>
                <c:pt idx="500">
                  <c:v>-85.828969560867733</c:v>
                </c:pt>
                <c:pt idx="501">
                  <c:v>-86.200800317478823</c:v>
                </c:pt>
                <c:pt idx="502">
                  <c:v>-86.570625080439896</c:v>
                </c:pt>
                <c:pt idx="503">
                  <c:v>-86.938625471314623</c:v>
                </c:pt>
                <c:pt idx="504">
                  <c:v>-87.304982123031863</c:v>
                </c:pt>
                <c:pt idx="505">
                  <c:v>-87.669874710274769</c:v>
                </c:pt>
                <c:pt idx="506">
                  <c:v>-88.033481979090496</c:v>
                </c:pt>
                <c:pt idx="507">
                  <c:v>-88.395981775471697</c:v>
                </c:pt>
                <c:pt idx="508">
                  <c:v>-88.757551072660547</c:v>
                </c:pt>
                <c:pt idx="509">
                  <c:v>-89.1183659969237</c:v>
                </c:pt>
                <c:pt idx="510">
                  <c:v>-89.478601851544852</c:v>
                </c:pt>
                <c:pt idx="511">
                  <c:v>-89.838433138777972</c:v>
                </c:pt>
                <c:pt idx="512">
                  <c:v>-90.19803357950083</c:v>
                </c:pt>
                <c:pt idx="513">
                  <c:v>-90.557576130303246</c:v>
                </c:pt>
                <c:pt idx="514">
                  <c:v>-90.91723299774003</c:v>
                </c:pt>
                <c:pt idx="515">
                  <c:v>-91.277175649472142</c:v>
                </c:pt>
                <c:pt idx="516">
                  <c:v>-91.63757482201396</c:v>
                </c:pt>
                <c:pt idx="517">
                  <c:v>-91.998600524797382</c:v>
                </c:pt>
                <c:pt idx="518">
                  <c:v>-92.360422040255216</c:v>
                </c:pt>
                <c:pt idx="519">
                  <c:v>-92.723207919621444</c:v>
                </c:pt>
                <c:pt idx="520">
                  <c:v>-93.087125974134622</c:v>
                </c:pt>
                <c:pt idx="521">
                  <c:v>-93.452343261325012</c:v>
                </c:pt>
                <c:pt idx="522">
                  <c:v>-93.819026066056878</c:v>
                </c:pt>
                <c:pt idx="523">
                  <c:v>-94.187339875989153</c:v>
                </c:pt>
                <c:pt idx="524">
                  <c:v>-94.55744935111062</c:v>
                </c:pt>
                <c:pt idx="525">
                  <c:v>-94.929518286995858</c:v>
                </c:pt>
                <c:pt idx="526">
                  <c:v>-95.30370957142253</c:v>
                </c:pt>
                <c:pt idx="527">
                  <c:v>-95.680185133984338</c:v>
                </c:pt>
                <c:pt idx="528">
                  <c:v>-96.059105888324453</c:v>
                </c:pt>
                <c:pt idx="529">
                  <c:v>-96.4406316666159</c:v>
                </c:pt>
                <c:pt idx="530">
                  <c:v>-96.824921145901229</c:v>
                </c:pt>
                <c:pt idx="531">
                  <c:v>-97.212131765912872</c:v>
                </c:pt>
                <c:pt idx="532">
                  <c:v>-97.602419637985221</c:v>
                </c:pt>
                <c:pt idx="533">
                  <c:v>-97.995939444677731</c:v>
                </c:pt>
                <c:pt idx="534">
                  <c:v>-98.392844329725634</c:v>
                </c:pt>
                <c:pt idx="535">
                  <c:v>-98.793285777945968</c:v>
                </c:pt>
                <c:pt idx="536">
                  <c:v>-99.197413484731825</c:v>
                </c:pt>
                <c:pt idx="537">
                  <c:v>-99.605375214784033</c:v>
                </c:pt>
                <c:pt idx="538">
                  <c:v>-100.0173166497399</c:v>
                </c:pt>
                <c:pt idx="539">
                  <c:v>-100.43338122438344</c:v>
                </c:pt>
                <c:pt idx="540">
                  <c:v>-100.85370995114314</c:v>
                </c:pt>
                <c:pt idx="541">
                  <c:v>-101.27844123261593</c:v>
                </c:pt>
              </c:numCache>
            </c:numRef>
          </c:yVal>
          <c:smooth val="1"/>
          <c:extLst>
            <c:ext xmlns:c16="http://schemas.microsoft.com/office/drawing/2014/chart" uri="{C3380CC4-5D6E-409C-BE32-E72D297353CC}">
              <c16:uniqueId val="{00000001-8173-45EB-83AD-B179A66292B6}"/>
            </c:ext>
          </c:extLst>
        </c:ser>
        <c:dLbls>
          <c:showLegendKey val="0"/>
          <c:showVal val="0"/>
          <c:showCatName val="0"/>
          <c:showSerName val="0"/>
          <c:showPercent val="0"/>
          <c:showBubbleSize val="0"/>
        </c:dLbls>
        <c:axId val="555537920"/>
        <c:axId val="555536384"/>
      </c:scatterChart>
      <c:valAx>
        <c:axId val="555528192"/>
        <c:scaling>
          <c:logBase val="10"/>
          <c:orientation val="minMax"/>
          <c:max val="2200000"/>
          <c:min val="10"/>
        </c:scaling>
        <c:delete val="0"/>
        <c:axPos val="b"/>
        <c:minorGridlines/>
        <c:title>
          <c:tx>
            <c:rich>
              <a:bodyPr/>
              <a:lstStyle/>
              <a:p>
                <a:pPr>
                  <a:defRPr/>
                </a:pPr>
                <a:r>
                  <a:rPr lang="en-US"/>
                  <a:t>Frequency</a:t>
                </a:r>
                <a:r>
                  <a:rPr lang="en-US" baseline="0"/>
                  <a:t> (Hz)</a:t>
                </a:r>
                <a:endParaRPr lang="en-US"/>
              </a:p>
            </c:rich>
          </c:tx>
          <c:overlay val="0"/>
        </c:title>
        <c:numFmt formatCode="0" sourceLinked="0"/>
        <c:majorTickMark val="out"/>
        <c:minorTickMark val="none"/>
        <c:tickLblPos val="low"/>
        <c:crossAx val="555530112"/>
        <c:crosses val="autoZero"/>
        <c:crossBetween val="midCat"/>
      </c:valAx>
      <c:valAx>
        <c:axId val="555530112"/>
        <c:scaling>
          <c:orientation val="minMax"/>
          <c:max val="40"/>
          <c:min val="-40"/>
        </c:scaling>
        <c:delete val="0"/>
        <c:axPos val="l"/>
        <c:majorGridlines/>
        <c:minorGridlines/>
        <c:title>
          <c:tx>
            <c:rich>
              <a:bodyPr rot="-5400000" vert="horz"/>
              <a:lstStyle/>
              <a:p>
                <a:pPr>
                  <a:defRPr/>
                </a:pPr>
                <a:r>
                  <a:rPr lang="en-US">
                    <a:solidFill>
                      <a:srgbClr val="FF0000"/>
                    </a:solidFill>
                  </a:rPr>
                  <a:t>Gain</a:t>
                </a:r>
                <a:r>
                  <a:rPr lang="en-US" baseline="0">
                    <a:solidFill>
                      <a:srgbClr val="FF0000"/>
                    </a:solidFill>
                  </a:rPr>
                  <a:t> (dB)</a:t>
                </a:r>
                <a:endParaRPr lang="en-US">
                  <a:solidFill>
                    <a:srgbClr val="FF0000"/>
                  </a:solidFill>
                </a:endParaRPr>
              </a:p>
            </c:rich>
          </c:tx>
          <c:overlay val="0"/>
        </c:title>
        <c:numFmt formatCode="General" sourceLinked="0"/>
        <c:majorTickMark val="out"/>
        <c:minorTickMark val="none"/>
        <c:tickLblPos val="nextTo"/>
        <c:txPr>
          <a:bodyPr/>
          <a:lstStyle/>
          <a:p>
            <a:pPr>
              <a:defRPr>
                <a:solidFill>
                  <a:srgbClr val="FF0000"/>
                </a:solidFill>
              </a:defRPr>
            </a:pPr>
            <a:endParaRPr lang="en-US"/>
          </a:p>
        </c:txPr>
        <c:crossAx val="555528192"/>
        <c:crosses val="autoZero"/>
        <c:crossBetween val="midCat"/>
        <c:majorUnit val="20"/>
        <c:minorUnit val="10"/>
      </c:valAx>
      <c:valAx>
        <c:axId val="555536384"/>
        <c:scaling>
          <c:orientation val="minMax"/>
          <c:max val="180"/>
          <c:min val="-180"/>
        </c:scaling>
        <c:delete val="0"/>
        <c:axPos val="r"/>
        <c:numFmt formatCode="General" sourceLinked="1"/>
        <c:majorTickMark val="out"/>
        <c:minorTickMark val="none"/>
        <c:tickLblPos val="nextTo"/>
        <c:txPr>
          <a:bodyPr/>
          <a:lstStyle/>
          <a:p>
            <a:pPr>
              <a:defRPr>
                <a:solidFill>
                  <a:schemeClr val="tx1">
                    <a:lumMod val="95000"/>
                    <a:lumOff val="5000"/>
                  </a:schemeClr>
                </a:solidFill>
              </a:defRPr>
            </a:pPr>
            <a:endParaRPr lang="en-US"/>
          </a:p>
        </c:txPr>
        <c:crossAx val="555537920"/>
        <c:crosses val="max"/>
        <c:crossBetween val="midCat"/>
        <c:majorUnit val="90"/>
        <c:minorUnit val="45"/>
      </c:valAx>
      <c:valAx>
        <c:axId val="555537920"/>
        <c:scaling>
          <c:logBase val="10"/>
          <c:orientation val="minMax"/>
        </c:scaling>
        <c:delete val="1"/>
        <c:axPos val="b"/>
        <c:numFmt formatCode="0.00" sourceLinked="1"/>
        <c:majorTickMark val="out"/>
        <c:minorTickMark val="none"/>
        <c:tickLblPos val="nextTo"/>
        <c:crossAx val="555536384"/>
        <c:crosses val="autoZero"/>
        <c:crossBetween val="midCat"/>
      </c:valAx>
    </c:plotArea>
    <c:plotVisOnly val="1"/>
    <c:dispBlanksAs val="gap"/>
    <c:showDLblsOverMax val="0"/>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l">
              <a:defRPr sz="2400"/>
            </a:pPr>
            <a:r>
              <a:rPr lang="el-GR" sz="2400"/>
              <a:t>η</a:t>
            </a:r>
            <a:endParaRPr lang="en-US" sz="2400"/>
          </a:p>
        </c:rich>
      </c:tx>
      <c:layout>
        <c:manualLayout>
          <c:xMode val="edge"/>
          <c:yMode val="edge"/>
          <c:x val="9.2321838295158831E-2"/>
          <c:y val="6.7069081153588199E-3"/>
        </c:manualLayout>
      </c:layout>
      <c:overlay val="1"/>
    </c:title>
    <c:autoTitleDeleted val="0"/>
    <c:plotArea>
      <c:layout>
        <c:manualLayout>
          <c:layoutTarget val="inner"/>
          <c:xMode val="edge"/>
          <c:yMode val="edge"/>
          <c:x val="9.4343575816580413E-2"/>
          <c:y val="0.12777504924560487"/>
          <c:w val="0.82170691922728745"/>
          <c:h val="0.74982770867653059"/>
        </c:manualLayout>
      </c:layout>
      <c:scatterChart>
        <c:scatterStyle val="smoothMarker"/>
        <c:varyColors val="0"/>
        <c:ser>
          <c:idx val="0"/>
          <c:order val="0"/>
          <c:tx>
            <c:v>Eff</c:v>
          </c:tx>
          <c:spPr>
            <a:ln>
              <a:solidFill>
                <a:srgbClr val="FF0000"/>
              </a:solidFill>
            </a:ln>
          </c:spPr>
          <c:marker>
            <c:symbol val="none"/>
          </c:marker>
          <c:xVal>
            <c:numRef>
              <c:f>Eff_vs_IOUT!$S$7:$S$157</c:f>
              <c:numCache>
                <c:formatCode>General</c:formatCode>
                <c:ptCount val="151"/>
                <c:pt idx="0">
                  <c:v>0</c:v>
                </c:pt>
                <c:pt idx="1">
                  <c:v>0.1</c:v>
                </c:pt>
                <c:pt idx="2">
                  <c:v>0.2</c:v>
                </c:pt>
                <c:pt idx="3">
                  <c:v>0.30000000000000004</c:v>
                </c:pt>
                <c:pt idx="4">
                  <c:v>0.4</c:v>
                </c:pt>
                <c:pt idx="5">
                  <c:v>0.5</c:v>
                </c:pt>
                <c:pt idx="6">
                  <c:v>0.60000000000000009</c:v>
                </c:pt>
                <c:pt idx="7">
                  <c:v>0.70000000000000007</c:v>
                </c:pt>
                <c:pt idx="8">
                  <c:v>0.8</c:v>
                </c:pt>
                <c:pt idx="9">
                  <c:v>0.9</c:v>
                </c:pt>
                <c:pt idx="10">
                  <c:v>1</c:v>
                </c:pt>
                <c:pt idx="11">
                  <c:v>1.1000000000000001</c:v>
                </c:pt>
                <c:pt idx="12">
                  <c:v>1.2000000000000002</c:v>
                </c:pt>
                <c:pt idx="13">
                  <c:v>1.3</c:v>
                </c:pt>
                <c:pt idx="14">
                  <c:v>1.4000000000000001</c:v>
                </c:pt>
                <c:pt idx="15">
                  <c:v>1.5</c:v>
                </c:pt>
                <c:pt idx="16">
                  <c:v>1.6</c:v>
                </c:pt>
                <c:pt idx="17">
                  <c:v>1.7000000000000002</c:v>
                </c:pt>
                <c:pt idx="18">
                  <c:v>1.8</c:v>
                </c:pt>
                <c:pt idx="19">
                  <c:v>1.9000000000000001</c:v>
                </c:pt>
                <c:pt idx="20">
                  <c:v>2</c:v>
                </c:pt>
                <c:pt idx="21">
                  <c:v>2.1</c:v>
                </c:pt>
                <c:pt idx="22">
                  <c:v>2.2000000000000002</c:v>
                </c:pt>
                <c:pt idx="23">
                  <c:v>2.3000000000000003</c:v>
                </c:pt>
                <c:pt idx="24">
                  <c:v>2.4000000000000004</c:v>
                </c:pt>
                <c:pt idx="25">
                  <c:v>2.5</c:v>
                </c:pt>
                <c:pt idx="26">
                  <c:v>2.6</c:v>
                </c:pt>
                <c:pt idx="27">
                  <c:v>2.7</c:v>
                </c:pt>
                <c:pt idx="28">
                  <c:v>2.8000000000000003</c:v>
                </c:pt>
                <c:pt idx="29">
                  <c:v>2.9000000000000004</c:v>
                </c:pt>
                <c:pt idx="30">
                  <c:v>3</c:v>
                </c:pt>
                <c:pt idx="31">
                  <c:v>3.1</c:v>
                </c:pt>
                <c:pt idx="32">
                  <c:v>3.2</c:v>
                </c:pt>
                <c:pt idx="33">
                  <c:v>3.3000000000000003</c:v>
                </c:pt>
                <c:pt idx="34">
                  <c:v>3.4000000000000004</c:v>
                </c:pt>
                <c:pt idx="35">
                  <c:v>3.5</c:v>
                </c:pt>
                <c:pt idx="36">
                  <c:v>3.6</c:v>
                </c:pt>
                <c:pt idx="37">
                  <c:v>3.7</c:v>
                </c:pt>
                <c:pt idx="38">
                  <c:v>3.8000000000000003</c:v>
                </c:pt>
                <c:pt idx="39">
                  <c:v>3.9000000000000004</c:v>
                </c:pt>
                <c:pt idx="40">
                  <c:v>4</c:v>
                </c:pt>
                <c:pt idx="41">
                  <c:v>4.1000000000000005</c:v>
                </c:pt>
                <c:pt idx="42">
                  <c:v>4.2</c:v>
                </c:pt>
                <c:pt idx="43">
                  <c:v>4.3</c:v>
                </c:pt>
                <c:pt idx="44">
                  <c:v>4.4000000000000004</c:v>
                </c:pt>
                <c:pt idx="45">
                  <c:v>4.5</c:v>
                </c:pt>
                <c:pt idx="46">
                  <c:v>4.6000000000000005</c:v>
                </c:pt>
                <c:pt idx="47">
                  <c:v>4.7</c:v>
                </c:pt>
                <c:pt idx="48">
                  <c:v>4.8000000000000007</c:v>
                </c:pt>
                <c:pt idx="49">
                  <c:v>4.9000000000000004</c:v>
                </c:pt>
                <c:pt idx="50">
                  <c:v>5</c:v>
                </c:pt>
                <c:pt idx="51">
                  <c:v>5.1000000000000005</c:v>
                </c:pt>
                <c:pt idx="52">
                  <c:v>5.2</c:v>
                </c:pt>
                <c:pt idx="53">
                  <c:v>5.3000000000000007</c:v>
                </c:pt>
                <c:pt idx="54">
                  <c:v>5.4</c:v>
                </c:pt>
                <c:pt idx="55">
                  <c:v>5.5</c:v>
                </c:pt>
                <c:pt idx="56">
                  <c:v>5.6000000000000005</c:v>
                </c:pt>
                <c:pt idx="57">
                  <c:v>5.7</c:v>
                </c:pt>
                <c:pt idx="58">
                  <c:v>5.8000000000000007</c:v>
                </c:pt>
                <c:pt idx="59">
                  <c:v>5.9</c:v>
                </c:pt>
                <c:pt idx="60">
                  <c:v>6</c:v>
                </c:pt>
                <c:pt idx="61">
                  <c:v>6.1000000000000005</c:v>
                </c:pt>
                <c:pt idx="62">
                  <c:v>6.2</c:v>
                </c:pt>
                <c:pt idx="63">
                  <c:v>6.3000000000000007</c:v>
                </c:pt>
                <c:pt idx="64">
                  <c:v>6.4</c:v>
                </c:pt>
                <c:pt idx="65">
                  <c:v>6.5</c:v>
                </c:pt>
                <c:pt idx="66">
                  <c:v>6.6000000000000005</c:v>
                </c:pt>
                <c:pt idx="67">
                  <c:v>6.7</c:v>
                </c:pt>
                <c:pt idx="68">
                  <c:v>6.8000000000000007</c:v>
                </c:pt>
                <c:pt idx="69">
                  <c:v>6.9</c:v>
                </c:pt>
                <c:pt idx="70">
                  <c:v>7</c:v>
                </c:pt>
                <c:pt idx="71">
                  <c:v>7.1000000000000005</c:v>
                </c:pt>
                <c:pt idx="72">
                  <c:v>7.2</c:v>
                </c:pt>
                <c:pt idx="73">
                  <c:v>7.3000000000000007</c:v>
                </c:pt>
                <c:pt idx="74">
                  <c:v>7.4</c:v>
                </c:pt>
                <c:pt idx="75">
                  <c:v>7.5</c:v>
                </c:pt>
                <c:pt idx="76">
                  <c:v>7.6000000000000005</c:v>
                </c:pt>
                <c:pt idx="77">
                  <c:v>7.7</c:v>
                </c:pt>
                <c:pt idx="78">
                  <c:v>7.8000000000000007</c:v>
                </c:pt>
                <c:pt idx="79">
                  <c:v>7.9</c:v>
                </c:pt>
                <c:pt idx="80">
                  <c:v>8</c:v>
                </c:pt>
                <c:pt idx="81">
                  <c:v>8.1</c:v>
                </c:pt>
                <c:pt idx="82">
                  <c:v>8.2000000000000011</c:v>
                </c:pt>
                <c:pt idx="83">
                  <c:v>8.3000000000000007</c:v>
                </c:pt>
                <c:pt idx="84">
                  <c:v>8.4</c:v>
                </c:pt>
                <c:pt idx="85">
                  <c:v>8.5</c:v>
                </c:pt>
                <c:pt idx="86">
                  <c:v>8.6</c:v>
                </c:pt>
                <c:pt idx="87">
                  <c:v>8.7000000000000011</c:v>
                </c:pt>
                <c:pt idx="88">
                  <c:v>8.8000000000000007</c:v>
                </c:pt>
                <c:pt idx="89">
                  <c:v>8.9</c:v>
                </c:pt>
                <c:pt idx="90">
                  <c:v>9</c:v>
                </c:pt>
                <c:pt idx="91">
                  <c:v>9.1</c:v>
                </c:pt>
                <c:pt idx="92">
                  <c:v>9.2000000000000011</c:v>
                </c:pt>
                <c:pt idx="93">
                  <c:v>9.3000000000000007</c:v>
                </c:pt>
                <c:pt idx="94">
                  <c:v>9.4</c:v>
                </c:pt>
                <c:pt idx="95">
                  <c:v>9.5</c:v>
                </c:pt>
                <c:pt idx="96">
                  <c:v>9.6000000000000014</c:v>
                </c:pt>
                <c:pt idx="97">
                  <c:v>9.7000000000000011</c:v>
                </c:pt>
                <c:pt idx="98">
                  <c:v>9.8000000000000007</c:v>
                </c:pt>
                <c:pt idx="99">
                  <c:v>9.9</c:v>
                </c:pt>
                <c:pt idx="100">
                  <c:v>10</c:v>
                </c:pt>
                <c:pt idx="101">
                  <c:v>10.100000000000001</c:v>
                </c:pt>
                <c:pt idx="102">
                  <c:v>10.200000000000001</c:v>
                </c:pt>
                <c:pt idx="103">
                  <c:v>10.3</c:v>
                </c:pt>
                <c:pt idx="104">
                  <c:v>10.4</c:v>
                </c:pt>
                <c:pt idx="105">
                  <c:v>10.5</c:v>
                </c:pt>
                <c:pt idx="106">
                  <c:v>10.600000000000001</c:v>
                </c:pt>
                <c:pt idx="107">
                  <c:v>10.700000000000001</c:v>
                </c:pt>
                <c:pt idx="108">
                  <c:v>10.8</c:v>
                </c:pt>
                <c:pt idx="109">
                  <c:v>10.9</c:v>
                </c:pt>
                <c:pt idx="110">
                  <c:v>11</c:v>
                </c:pt>
                <c:pt idx="111">
                  <c:v>11.100000000000001</c:v>
                </c:pt>
                <c:pt idx="112">
                  <c:v>11.200000000000001</c:v>
                </c:pt>
                <c:pt idx="113">
                  <c:v>11.3</c:v>
                </c:pt>
                <c:pt idx="114">
                  <c:v>11.4</c:v>
                </c:pt>
                <c:pt idx="115">
                  <c:v>11.5</c:v>
                </c:pt>
                <c:pt idx="116">
                  <c:v>11.600000000000001</c:v>
                </c:pt>
                <c:pt idx="117">
                  <c:v>11.700000000000001</c:v>
                </c:pt>
                <c:pt idx="118">
                  <c:v>11.8</c:v>
                </c:pt>
                <c:pt idx="119">
                  <c:v>11.9</c:v>
                </c:pt>
                <c:pt idx="120">
                  <c:v>12</c:v>
                </c:pt>
                <c:pt idx="121">
                  <c:v>12.100000000000001</c:v>
                </c:pt>
                <c:pt idx="122">
                  <c:v>12.200000000000001</c:v>
                </c:pt>
                <c:pt idx="123">
                  <c:v>12.3</c:v>
                </c:pt>
                <c:pt idx="124">
                  <c:v>12.4</c:v>
                </c:pt>
                <c:pt idx="125">
                  <c:v>12.5</c:v>
                </c:pt>
                <c:pt idx="126">
                  <c:v>12.600000000000001</c:v>
                </c:pt>
                <c:pt idx="127">
                  <c:v>12.700000000000001</c:v>
                </c:pt>
                <c:pt idx="128">
                  <c:v>12.8</c:v>
                </c:pt>
                <c:pt idx="129">
                  <c:v>12.9</c:v>
                </c:pt>
                <c:pt idx="130">
                  <c:v>13</c:v>
                </c:pt>
                <c:pt idx="131">
                  <c:v>13.100000000000001</c:v>
                </c:pt>
                <c:pt idx="132">
                  <c:v>13.200000000000001</c:v>
                </c:pt>
                <c:pt idx="133">
                  <c:v>13.3</c:v>
                </c:pt>
                <c:pt idx="134">
                  <c:v>13.4</c:v>
                </c:pt>
                <c:pt idx="135">
                  <c:v>13.5</c:v>
                </c:pt>
                <c:pt idx="136">
                  <c:v>13.600000000000001</c:v>
                </c:pt>
                <c:pt idx="137">
                  <c:v>13.700000000000001</c:v>
                </c:pt>
                <c:pt idx="138">
                  <c:v>13.8</c:v>
                </c:pt>
                <c:pt idx="139">
                  <c:v>13.9</c:v>
                </c:pt>
                <c:pt idx="140">
                  <c:v>14</c:v>
                </c:pt>
                <c:pt idx="141">
                  <c:v>14.100000000000001</c:v>
                </c:pt>
                <c:pt idx="142">
                  <c:v>14.200000000000001</c:v>
                </c:pt>
                <c:pt idx="143">
                  <c:v>14.3</c:v>
                </c:pt>
                <c:pt idx="144">
                  <c:v>14.4</c:v>
                </c:pt>
                <c:pt idx="145">
                  <c:v>14.5</c:v>
                </c:pt>
                <c:pt idx="146">
                  <c:v>14.600000000000001</c:v>
                </c:pt>
                <c:pt idx="147">
                  <c:v>14.700000000000001</c:v>
                </c:pt>
                <c:pt idx="148">
                  <c:v>14.8</c:v>
                </c:pt>
                <c:pt idx="149">
                  <c:v>14.9</c:v>
                </c:pt>
                <c:pt idx="150">
                  <c:v>15</c:v>
                </c:pt>
              </c:numCache>
            </c:numRef>
          </c:xVal>
          <c:yVal>
            <c:numRef>
              <c:f>Eff_vs_IOUT!$AW$7:$AW$157</c:f>
              <c:numCache>
                <c:formatCode>General</c:formatCode>
                <c:ptCount val="151"/>
                <c:pt idx="0">
                  <c:v>0</c:v>
                </c:pt>
                <c:pt idx="1">
                  <c:v>53.436155743681113</c:v>
                </c:pt>
                <c:pt idx="2">
                  <c:v>67.632828206566529</c:v>
                </c:pt>
                <c:pt idx="3">
                  <c:v>74.151370871490215</c:v>
                </c:pt>
                <c:pt idx="4">
                  <c:v>77.871016719572111</c:v>
                </c:pt>
                <c:pt idx="5">
                  <c:v>80.262958325614747</c:v>
                </c:pt>
                <c:pt idx="6">
                  <c:v>81.922588250678501</c:v>
                </c:pt>
                <c:pt idx="7">
                  <c:v>83.136406555482793</c:v>
                </c:pt>
                <c:pt idx="8">
                  <c:v>84.490341376110422</c:v>
                </c:pt>
                <c:pt idx="9">
                  <c:v>85.669510246206741</c:v>
                </c:pt>
                <c:pt idx="10">
                  <c:v>86.63408778158616</c:v>
                </c:pt>
                <c:pt idx="11">
                  <c:v>87.437072389024166</c:v>
                </c:pt>
                <c:pt idx="12">
                  <c:v>88.115338072752351</c:v>
                </c:pt>
                <c:pt idx="13">
                  <c:v>88.695333158571998</c:v>
                </c:pt>
                <c:pt idx="14">
                  <c:v>89.196521707079725</c:v>
                </c:pt>
                <c:pt idx="15">
                  <c:v>89.633546175789931</c:v>
                </c:pt>
                <c:pt idx="16">
                  <c:v>90.017633349143892</c:v>
                </c:pt>
                <c:pt idx="17">
                  <c:v>90.357535431154574</c:v>
                </c:pt>
                <c:pt idx="18">
                  <c:v>90.660176238383073</c:v>
                </c:pt>
                <c:pt idx="19">
                  <c:v>90.9311049531062</c:v>
                </c:pt>
                <c:pt idx="20">
                  <c:v>91.174821136230335</c:v>
                </c:pt>
                <c:pt idx="21">
                  <c:v>91.395011690172765</c:v>
                </c:pt>
                <c:pt idx="22">
                  <c:v>91.594726398924735</c:v>
                </c:pt>
                <c:pt idx="23">
                  <c:v>91.776509850943526</c:v>
                </c:pt>
                <c:pt idx="24">
                  <c:v>91.94250188610674</c:v>
                </c:pt>
                <c:pt idx="25">
                  <c:v>92.094514993254563</c:v>
                </c:pt>
                <c:pt idx="26">
                  <c:v>92.234094601651677</c:v>
                </c:pt>
                <c:pt idx="27">
                  <c:v>92.362566520497126</c:v>
                </c:pt>
                <c:pt idx="28">
                  <c:v>92.481074612991748</c:v>
                </c:pt>
                <c:pt idx="29">
                  <c:v>92.590610972426873</c:v>
                </c:pt>
                <c:pt idx="30">
                  <c:v>92.692040285375526</c:v>
                </c:pt>
                <c:pt idx="31">
                  <c:v>92.786119647727489</c:v>
                </c:pt>
                <c:pt idx="32">
                  <c:v>92.873514793828264</c:v>
                </c:pt>
                <c:pt idx="33">
                  <c:v>92.954813474013079</c:v>
                </c:pt>
                <c:pt idx="34">
                  <c:v>93.030536548465676</c:v>
                </c:pt>
                <c:pt idx="35">
                  <c:v>93.101147239639062</c:v>
                </c:pt>
                <c:pt idx="36">
                  <c:v>93.167058890236589</c:v>
                </c:pt>
                <c:pt idx="37">
                  <c:v>93.228641500980984</c:v>
                </c:pt>
                <c:pt idx="38">
                  <c:v>93.28622726635956</c:v>
                </c:pt>
                <c:pt idx="39">
                  <c:v>93.340115283055567</c:v>
                </c:pt>
                <c:pt idx="40">
                  <c:v>93.39057557180908</c:v>
                </c:pt>
                <c:pt idx="41">
                  <c:v>93.437852526735256</c:v>
                </c:pt>
                <c:pt idx="42">
                  <c:v>93.482167884986339</c:v>
                </c:pt>
                <c:pt idx="43">
                  <c:v>93.523723292811695</c:v>
                </c:pt>
                <c:pt idx="44">
                  <c:v>93.562702530593384</c:v>
                </c:pt>
                <c:pt idx="45">
                  <c:v>93.59927344858653</c:v>
                </c:pt>
                <c:pt idx="46">
                  <c:v>93.633589656316474</c:v>
                </c:pt>
                <c:pt idx="47">
                  <c:v>93.6657920014475</c:v>
                </c:pt>
                <c:pt idx="48">
                  <c:v>93.696009868108817</c:v>
                </c:pt>
                <c:pt idx="49">
                  <c:v>93.724362319879248</c:v>
                </c:pt>
                <c:pt idx="50">
                  <c:v>93.750959108690495</c:v>
                </c:pt>
                <c:pt idx="51">
                  <c:v>93.775901567647637</c:v>
                </c:pt>
                <c:pt idx="52">
                  <c:v>93.79928340305581</c:v>
                </c:pt>
                <c:pt idx="53">
                  <c:v>93.821191398683467</c:v>
                </c:pt>
                <c:pt idx="54">
                  <c:v>93.84170604340224</c:v>
                </c:pt>
                <c:pt idx="55">
                  <c:v>93.86090209175623</c:v>
                </c:pt>
                <c:pt idx="56">
                  <c:v>93.87884906567605</c:v>
                </c:pt>
                <c:pt idx="57">
                  <c:v>93.895611704423189</c:v>
                </c:pt>
                <c:pt idx="58">
                  <c:v>93.911250368891061</c:v>
                </c:pt>
                <c:pt idx="59">
                  <c:v>93.925821405575263</c:v>
                </c:pt>
                <c:pt idx="60">
                  <c:v>93.939377474829612</c:v>
                </c:pt>
                <c:pt idx="61">
                  <c:v>93.951967847430865</c:v>
                </c:pt>
                <c:pt idx="62">
                  <c:v>93.963638672965033</c:v>
                </c:pt>
                <c:pt idx="63">
                  <c:v>93.974433223110466</c:v>
                </c:pt>
                <c:pt idx="64">
                  <c:v>93.984392112514541</c:v>
                </c:pt>
                <c:pt idx="65">
                  <c:v>93.993553499635695</c:v>
                </c:pt>
                <c:pt idx="66">
                  <c:v>94.001953269638904</c:v>
                </c:pt>
                <c:pt idx="67">
                  <c:v>94.009625201188214</c:v>
                </c:pt>
                <c:pt idx="68">
                  <c:v>94.016601118766616</c:v>
                </c:pt>
                <c:pt idx="69">
                  <c:v>94.022911031967269</c:v>
                </c:pt>
                <c:pt idx="70">
                  <c:v>94.02858326303803</c:v>
                </c:pt>
                <c:pt idx="71">
                  <c:v>94.033644563818925</c:v>
                </c:pt>
                <c:pt idx="72">
                  <c:v>94.038120223087901</c:v>
                </c:pt>
                <c:pt idx="73">
                  <c:v>94.042034165219818</c:v>
                </c:pt>
                <c:pt idx="74">
                  <c:v>94.045409040968593</c:v>
                </c:pt>
                <c:pt idx="75">
                  <c:v>94.048266311095901</c:v>
                </c:pt>
                <c:pt idx="76">
                  <c:v>94.050626323495933</c:v>
                </c:pt>
                <c:pt idx="77">
                  <c:v>94.052508384398635</c:v>
                </c:pt>
                <c:pt idx="78">
                  <c:v>94.053930824175254</c:v>
                </c:pt>
                <c:pt idx="79">
                  <c:v>94.054911058217399</c:v>
                </c:pt>
                <c:pt idx="80">
                  <c:v>94.055465643314861</c:v>
                </c:pt>
                <c:pt idx="81">
                  <c:v>94.055610329915538</c:v>
                </c:pt>
                <c:pt idx="82">
                  <c:v>94.05536011061433</c:v>
                </c:pt>
                <c:pt idx="83">
                  <c:v>94.054729265184477</c:v>
                </c:pt>
                <c:pt idx="84">
                  <c:v>94.053731402435886</c:v>
                </c:pt>
                <c:pt idx="85">
                  <c:v>94.052379499157894</c:v>
                </c:pt>
                <c:pt idx="86">
                  <c:v>94.050685936381029</c:v>
                </c:pt>
                <c:pt idx="87">
                  <c:v>94.048662533170486</c:v>
                </c:pt>
                <c:pt idx="88">
                  <c:v>94.046320578145099</c:v>
                </c:pt>
                <c:pt idx="89">
                  <c:v>94.043670858898508</c:v>
                </c:pt>
                <c:pt idx="90">
                  <c:v>94.040723689483656</c:v>
                </c:pt>
                <c:pt idx="91">
                  <c:v>94.037488936107621</c:v>
                </c:pt>
                <c:pt idx="92">
                  <c:v>94.033976041171314</c:v>
                </c:pt>
                <c:pt idx="93">
                  <c:v>94.030194045777264</c:v>
                </c:pt>
                <c:pt idx="94">
                  <c:v>94.026151610817934</c:v>
                </c:pt>
                <c:pt idx="95">
                  <c:v>94.021857036748045</c:v>
                </c:pt>
                <c:pt idx="96">
                  <c:v>94.017318282135847</c:v>
                </c:pt>
                <c:pt idx="97">
                  <c:v>94.012542981080088</c:v>
                </c:pt>
                <c:pt idx="98">
                  <c:v>94.00753845957324</c:v>
                </c:pt>
                <c:pt idx="99">
                  <c:v>94.002311750884132</c:v>
                </c:pt>
                <c:pt idx="100">
                  <c:v>93.996869610028256</c:v>
                </c:pt>
                <c:pt idx="101">
                  <c:v>93.991218527388071</c:v>
                </c:pt>
                <c:pt idx="102">
                  <c:v>93.985364741540934</c:v>
                </c:pt>
                <c:pt idx="103">
                  <c:v>93.979314251348171</c:v>
                </c:pt>
                <c:pt idx="104">
                  <c:v>93.973072827354159</c:v>
                </c:pt>
                <c:pt idx="105">
                  <c:v>93.966646022541141</c:v>
                </c:pt>
                <c:pt idx="106">
                  <c:v>93.960039182481808</c:v>
                </c:pt>
                <c:pt idx="107">
                  <c:v>93.95325745492859</c:v>
                </c:pt>
                <c:pt idx="108">
                  <c:v>93.946305798875798</c:v>
                </c:pt>
                <c:pt idx="109">
                  <c:v>93.939188993128184</c:v>
                </c:pt>
                <c:pt idx="110">
                  <c:v>93.93191164440691</c:v>
                </c:pt>
                <c:pt idx="111">
                  <c:v>93.924478195021806</c:v>
                </c:pt>
                <c:pt idx="112">
                  <c:v>93.916892930136811</c:v>
                </c:pt>
                <c:pt idx="113">
                  <c:v>93.909159984653627</c:v>
                </c:pt>
                <c:pt idx="114">
                  <c:v>93.901283349736474</c:v>
                </c:pt>
                <c:pt idx="115">
                  <c:v>93.89326687899991</c:v>
                </c:pt>
                <c:pt idx="116">
                  <c:v>93.885114294379761</c:v>
                </c:pt>
                <c:pt idx="117">
                  <c:v>93.876829191705809</c:v>
                </c:pt>
                <c:pt idx="118">
                  <c:v>93.868415045993885</c:v>
                </c:pt>
                <c:pt idx="119">
                  <c:v>93.859875216473768</c:v>
                </c:pt>
                <c:pt idx="120">
                  <c:v>93.851212951367842</c:v>
                </c:pt>
                <c:pt idx="121">
                  <c:v>93.84243139243533</c:v>
                </c:pt>
                <c:pt idx="122">
                  <c:v>93.833533579294894</c:v>
                </c:pt>
                <c:pt idx="123">
                  <c:v>93.824522453538336</c:v>
                </c:pt>
                <c:pt idx="124">
                  <c:v>93.815400862647309</c:v>
                </c:pt>
                <c:pt idx="125">
                  <c:v>93.806171563723296</c:v>
                </c:pt>
                <c:pt idx="126">
                  <c:v>93.796837227042076</c:v>
                </c:pt>
                <c:pt idx="127">
                  <c:v>93.787400439441456</c:v>
                </c:pt>
                <c:pt idx="128">
                  <c:v>93.777863707551589</c:v>
                </c:pt>
                <c:pt idx="129">
                  <c:v>93.768229460876611</c:v>
                </c:pt>
                <c:pt idx="130">
                  <c:v>93.758500054734995</c:v>
                </c:pt>
                <c:pt idx="131">
                  <c:v>93.748677773066731</c:v>
                </c:pt>
                <c:pt idx="132">
                  <c:v>93.738764831113684</c:v>
                </c:pt>
                <c:pt idx="133">
                  <c:v>93.728763377980258</c:v>
                </c:pt>
                <c:pt idx="134">
                  <c:v>93.718675499080334</c:v>
                </c:pt>
                <c:pt idx="135">
                  <c:v>93.708503218476395</c:v>
                </c:pt>
                <c:pt idx="136">
                  <c:v>93.698248501116268</c:v>
                </c:pt>
                <c:pt idx="137">
                  <c:v>93.687913254972671</c:v>
                </c:pt>
                <c:pt idx="138">
                  <c:v>93.677499333090779</c:v>
                </c:pt>
                <c:pt idx="139">
                  <c:v>93.66700853554768</c:v>
                </c:pt>
                <c:pt idx="140">
                  <c:v>93.656442611328913</c:v>
                </c:pt>
                <c:pt idx="141">
                  <c:v>93.645803260125732</c:v>
                </c:pt>
                <c:pt idx="142">
                  <c:v>93.635092134056805</c:v>
                </c:pt>
                <c:pt idx="143">
                  <c:v>93.624310839318568</c:v>
                </c:pt>
                <c:pt idx="144">
                  <c:v>93.61346093776713</c:v>
                </c:pt>
                <c:pt idx="145">
                  <c:v>93.602543948435269</c:v>
                </c:pt>
                <c:pt idx="146">
                  <c:v>93.591561348987767</c:v>
                </c:pt>
                <c:pt idx="147">
                  <c:v>93.580514577117512</c:v>
                </c:pt>
                <c:pt idx="148">
                  <c:v>93.569405031885609</c:v>
                </c:pt>
                <c:pt idx="149">
                  <c:v>93.558234075007931</c:v>
                </c:pt>
                <c:pt idx="150">
                  <c:v>93.547003032090572</c:v>
                </c:pt>
              </c:numCache>
            </c:numRef>
          </c:yVal>
          <c:smooth val="0"/>
          <c:extLst>
            <c:ext xmlns:c16="http://schemas.microsoft.com/office/drawing/2014/chart" uri="{C3380CC4-5D6E-409C-BE32-E72D297353CC}">
              <c16:uniqueId val="{00000000-50A0-4BAE-A18F-D1A285C4A90E}"/>
            </c:ext>
          </c:extLst>
        </c:ser>
        <c:dLbls>
          <c:showLegendKey val="0"/>
          <c:showVal val="0"/>
          <c:showCatName val="0"/>
          <c:showSerName val="0"/>
          <c:showPercent val="0"/>
          <c:showBubbleSize val="0"/>
        </c:dLbls>
        <c:axId val="555642880"/>
        <c:axId val="555644416"/>
      </c:scatterChart>
      <c:scatterChart>
        <c:scatterStyle val="smoothMarker"/>
        <c:varyColors val="0"/>
        <c:ser>
          <c:idx val="1"/>
          <c:order val="1"/>
          <c:tx>
            <c:v>MOSFET</c:v>
          </c:tx>
          <c:spPr>
            <a:ln>
              <a:solidFill>
                <a:schemeClr val="tx2">
                  <a:lumMod val="75000"/>
                </a:schemeClr>
              </a:solidFill>
              <a:prstDash val="dashDot"/>
            </a:ln>
          </c:spPr>
          <c:marker>
            <c:symbol val="none"/>
          </c:marker>
          <c:xVal>
            <c:numRef>
              <c:f>Eff_vs_IOUT!$S$7:$S$157</c:f>
              <c:numCache>
                <c:formatCode>General</c:formatCode>
                <c:ptCount val="151"/>
                <c:pt idx="0">
                  <c:v>0</c:v>
                </c:pt>
                <c:pt idx="1">
                  <c:v>0.1</c:v>
                </c:pt>
                <c:pt idx="2">
                  <c:v>0.2</c:v>
                </c:pt>
                <c:pt idx="3">
                  <c:v>0.30000000000000004</c:v>
                </c:pt>
                <c:pt idx="4">
                  <c:v>0.4</c:v>
                </c:pt>
                <c:pt idx="5">
                  <c:v>0.5</c:v>
                </c:pt>
                <c:pt idx="6">
                  <c:v>0.60000000000000009</c:v>
                </c:pt>
                <c:pt idx="7">
                  <c:v>0.70000000000000007</c:v>
                </c:pt>
                <c:pt idx="8">
                  <c:v>0.8</c:v>
                </c:pt>
                <c:pt idx="9">
                  <c:v>0.9</c:v>
                </c:pt>
                <c:pt idx="10">
                  <c:v>1</c:v>
                </c:pt>
                <c:pt idx="11">
                  <c:v>1.1000000000000001</c:v>
                </c:pt>
                <c:pt idx="12">
                  <c:v>1.2000000000000002</c:v>
                </c:pt>
                <c:pt idx="13">
                  <c:v>1.3</c:v>
                </c:pt>
                <c:pt idx="14">
                  <c:v>1.4000000000000001</c:v>
                </c:pt>
                <c:pt idx="15">
                  <c:v>1.5</c:v>
                </c:pt>
                <c:pt idx="16">
                  <c:v>1.6</c:v>
                </c:pt>
                <c:pt idx="17">
                  <c:v>1.7000000000000002</c:v>
                </c:pt>
                <c:pt idx="18">
                  <c:v>1.8</c:v>
                </c:pt>
                <c:pt idx="19">
                  <c:v>1.9000000000000001</c:v>
                </c:pt>
                <c:pt idx="20">
                  <c:v>2</c:v>
                </c:pt>
                <c:pt idx="21">
                  <c:v>2.1</c:v>
                </c:pt>
                <c:pt idx="22">
                  <c:v>2.2000000000000002</c:v>
                </c:pt>
                <c:pt idx="23">
                  <c:v>2.3000000000000003</c:v>
                </c:pt>
                <c:pt idx="24">
                  <c:v>2.4000000000000004</c:v>
                </c:pt>
                <c:pt idx="25">
                  <c:v>2.5</c:v>
                </c:pt>
                <c:pt idx="26">
                  <c:v>2.6</c:v>
                </c:pt>
                <c:pt idx="27">
                  <c:v>2.7</c:v>
                </c:pt>
                <c:pt idx="28">
                  <c:v>2.8000000000000003</c:v>
                </c:pt>
                <c:pt idx="29">
                  <c:v>2.9000000000000004</c:v>
                </c:pt>
                <c:pt idx="30">
                  <c:v>3</c:v>
                </c:pt>
                <c:pt idx="31">
                  <c:v>3.1</c:v>
                </c:pt>
                <c:pt idx="32">
                  <c:v>3.2</c:v>
                </c:pt>
                <c:pt idx="33">
                  <c:v>3.3000000000000003</c:v>
                </c:pt>
                <c:pt idx="34">
                  <c:v>3.4000000000000004</c:v>
                </c:pt>
                <c:pt idx="35">
                  <c:v>3.5</c:v>
                </c:pt>
                <c:pt idx="36">
                  <c:v>3.6</c:v>
                </c:pt>
                <c:pt idx="37">
                  <c:v>3.7</c:v>
                </c:pt>
                <c:pt idx="38">
                  <c:v>3.8000000000000003</c:v>
                </c:pt>
                <c:pt idx="39">
                  <c:v>3.9000000000000004</c:v>
                </c:pt>
                <c:pt idx="40">
                  <c:v>4</c:v>
                </c:pt>
                <c:pt idx="41">
                  <c:v>4.1000000000000005</c:v>
                </c:pt>
                <c:pt idx="42">
                  <c:v>4.2</c:v>
                </c:pt>
                <c:pt idx="43">
                  <c:v>4.3</c:v>
                </c:pt>
                <c:pt idx="44">
                  <c:v>4.4000000000000004</c:v>
                </c:pt>
                <c:pt idx="45">
                  <c:v>4.5</c:v>
                </c:pt>
                <c:pt idx="46">
                  <c:v>4.6000000000000005</c:v>
                </c:pt>
                <c:pt idx="47">
                  <c:v>4.7</c:v>
                </c:pt>
                <c:pt idx="48">
                  <c:v>4.8000000000000007</c:v>
                </c:pt>
                <c:pt idx="49">
                  <c:v>4.9000000000000004</c:v>
                </c:pt>
                <c:pt idx="50">
                  <c:v>5</c:v>
                </c:pt>
                <c:pt idx="51">
                  <c:v>5.1000000000000005</c:v>
                </c:pt>
                <c:pt idx="52">
                  <c:v>5.2</c:v>
                </c:pt>
                <c:pt idx="53">
                  <c:v>5.3000000000000007</c:v>
                </c:pt>
                <c:pt idx="54">
                  <c:v>5.4</c:v>
                </c:pt>
                <c:pt idx="55">
                  <c:v>5.5</c:v>
                </c:pt>
                <c:pt idx="56">
                  <c:v>5.6000000000000005</c:v>
                </c:pt>
                <c:pt idx="57">
                  <c:v>5.7</c:v>
                </c:pt>
                <c:pt idx="58">
                  <c:v>5.8000000000000007</c:v>
                </c:pt>
                <c:pt idx="59">
                  <c:v>5.9</c:v>
                </c:pt>
                <c:pt idx="60">
                  <c:v>6</c:v>
                </c:pt>
                <c:pt idx="61">
                  <c:v>6.1000000000000005</c:v>
                </c:pt>
                <c:pt idx="62">
                  <c:v>6.2</c:v>
                </c:pt>
                <c:pt idx="63">
                  <c:v>6.3000000000000007</c:v>
                </c:pt>
                <c:pt idx="64">
                  <c:v>6.4</c:v>
                </c:pt>
                <c:pt idx="65">
                  <c:v>6.5</c:v>
                </c:pt>
                <c:pt idx="66">
                  <c:v>6.6000000000000005</c:v>
                </c:pt>
                <c:pt idx="67">
                  <c:v>6.7</c:v>
                </c:pt>
                <c:pt idx="68">
                  <c:v>6.8000000000000007</c:v>
                </c:pt>
                <c:pt idx="69">
                  <c:v>6.9</c:v>
                </c:pt>
                <c:pt idx="70">
                  <c:v>7</c:v>
                </c:pt>
                <c:pt idx="71">
                  <c:v>7.1000000000000005</c:v>
                </c:pt>
                <c:pt idx="72">
                  <c:v>7.2</c:v>
                </c:pt>
                <c:pt idx="73">
                  <c:v>7.3000000000000007</c:v>
                </c:pt>
                <c:pt idx="74">
                  <c:v>7.4</c:v>
                </c:pt>
                <c:pt idx="75">
                  <c:v>7.5</c:v>
                </c:pt>
                <c:pt idx="76">
                  <c:v>7.6000000000000005</c:v>
                </c:pt>
                <c:pt idx="77">
                  <c:v>7.7</c:v>
                </c:pt>
                <c:pt idx="78">
                  <c:v>7.8000000000000007</c:v>
                </c:pt>
                <c:pt idx="79">
                  <c:v>7.9</c:v>
                </c:pt>
                <c:pt idx="80">
                  <c:v>8</c:v>
                </c:pt>
                <c:pt idx="81">
                  <c:v>8.1</c:v>
                </c:pt>
                <c:pt idx="82">
                  <c:v>8.2000000000000011</c:v>
                </c:pt>
                <c:pt idx="83">
                  <c:v>8.3000000000000007</c:v>
                </c:pt>
                <c:pt idx="84">
                  <c:v>8.4</c:v>
                </c:pt>
                <c:pt idx="85">
                  <c:v>8.5</c:v>
                </c:pt>
                <c:pt idx="86">
                  <c:v>8.6</c:v>
                </c:pt>
                <c:pt idx="87">
                  <c:v>8.7000000000000011</c:v>
                </c:pt>
                <c:pt idx="88">
                  <c:v>8.8000000000000007</c:v>
                </c:pt>
                <c:pt idx="89">
                  <c:v>8.9</c:v>
                </c:pt>
                <c:pt idx="90">
                  <c:v>9</c:v>
                </c:pt>
                <c:pt idx="91">
                  <c:v>9.1</c:v>
                </c:pt>
                <c:pt idx="92">
                  <c:v>9.2000000000000011</c:v>
                </c:pt>
                <c:pt idx="93">
                  <c:v>9.3000000000000007</c:v>
                </c:pt>
                <c:pt idx="94">
                  <c:v>9.4</c:v>
                </c:pt>
                <c:pt idx="95">
                  <c:v>9.5</c:v>
                </c:pt>
                <c:pt idx="96">
                  <c:v>9.6000000000000014</c:v>
                </c:pt>
                <c:pt idx="97">
                  <c:v>9.7000000000000011</c:v>
                </c:pt>
                <c:pt idx="98">
                  <c:v>9.8000000000000007</c:v>
                </c:pt>
                <c:pt idx="99">
                  <c:v>9.9</c:v>
                </c:pt>
                <c:pt idx="100">
                  <c:v>10</c:v>
                </c:pt>
                <c:pt idx="101">
                  <c:v>10.100000000000001</c:v>
                </c:pt>
                <c:pt idx="102">
                  <c:v>10.200000000000001</c:v>
                </c:pt>
                <c:pt idx="103">
                  <c:v>10.3</c:v>
                </c:pt>
                <c:pt idx="104">
                  <c:v>10.4</c:v>
                </c:pt>
                <c:pt idx="105">
                  <c:v>10.5</c:v>
                </c:pt>
                <c:pt idx="106">
                  <c:v>10.600000000000001</c:v>
                </c:pt>
                <c:pt idx="107">
                  <c:v>10.700000000000001</c:v>
                </c:pt>
                <c:pt idx="108">
                  <c:v>10.8</c:v>
                </c:pt>
                <c:pt idx="109">
                  <c:v>10.9</c:v>
                </c:pt>
                <c:pt idx="110">
                  <c:v>11</c:v>
                </c:pt>
                <c:pt idx="111">
                  <c:v>11.100000000000001</c:v>
                </c:pt>
                <c:pt idx="112">
                  <c:v>11.200000000000001</c:v>
                </c:pt>
                <c:pt idx="113">
                  <c:v>11.3</c:v>
                </c:pt>
                <c:pt idx="114">
                  <c:v>11.4</c:v>
                </c:pt>
                <c:pt idx="115">
                  <c:v>11.5</c:v>
                </c:pt>
                <c:pt idx="116">
                  <c:v>11.600000000000001</c:v>
                </c:pt>
                <c:pt idx="117">
                  <c:v>11.700000000000001</c:v>
                </c:pt>
                <c:pt idx="118">
                  <c:v>11.8</c:v>
                </c:pt>
                <c:pt idx="119">
                  <c:v>11.9</c:v>
                </c:pt>
                <c:pt idx="120">
                  <c:v>12</c:v>
                </c:pt>
                <c:pt idx="121">
                  <c:v>12.100000000000001</c:v>
                </c:pt>
                <c:pt idx="122">
                  <c:v>12.200000000000001</c:v>
                </c:pt>
                <c:pt idx="123">
                  <c:v>12.3</c:v>
                </c:pt>
                <c:pt idx="124">
                  <c:v>12.4</c:v>
                </c:pt>
                <c:pt idx="125">
                  <c:v>12.5</c:v>
                </c:pt>
                <c:pt idx="126">
                  <c:v>12.600000000000001</c:v>
                </c:pt>
                <c:pt idx="127">
                  <c:v>12.700000000000001</c:v>
                </c:pt>
                <c:pt idx="128">
                  <c:v>12.8</c:v>
                </c:pt>
                <c:pt idx="129">
                  <c:v>12.9</c:v>
                </c:pt>
                <c:pt idx="130">
                  <c:v>13</c:v>
                </c:pt>
                <c:pt idx="131">
                  <c:v>13.100000000000001</c:v>
                </c:pt>
                <c:pt idx="132">
                  <c:v>13.200000000000001</c:v>
                </c:pt>
                <c:pt idx="133">
                  <c:v>13.3</c:v>
                </c:pt>
                <c:pt idx="134">
                  <c:v>13.4</c:v>
                </c:pt>
                <c:pt idx="135">
                  <c:v>13.5</c:v>
                </c:pt>
                <c:pt idx="136">
                  <c:v>13.600000000000001</c:v>
                </c:pt>
                <c:pt idx="137">
                  <c:v>13.700000000000001</c:v>
                </c:pt>
                <c:pt idx="138">
                  <c:v>13.8</c:v>
                </c:pt>
                <c:pt idx="139">
                  <c:v>13.9</c:v>
                </c:pt>
                <c:pt idx="140">
                  <c:v>14</c:v>
                </c:pt>
                <c:pt idx="141">
                  <c:v>14.100000000000001</c:v>
                </c:pt>
                <c:pt idx="142">
                  <c:v>14.200000000000001</c:v>
                </c:pt>
                <c:pt idx="143">
                  <c:v>14.3</c:v>
                </c:pt>
                <c:pt idx="144">
                  <c:v>14.4</c:v>
                </c:pt>
                <c:pt idx="145">
                  <c:v>14.5</c:v>
                </c:pt>
                <c:pt idx="146">
                  <c:v>14.600000000000001</c:v>
                </c:pt>
                <c:pt idx="147">
                  <c:v>14.700000000000001</c:v>
                </c:pt>
                <c:pt idx="148">
                  <c:v>14.8</c:v>
                </c:pt>
                <c:pt idx="149">
                  <c:v>14.9</c:v>
                </c:pt>
                <c:pt idx="150">
                  <c:v>15</c:v>
                </c:pt>
              </c:numCache>
            </c:numRef>
          </c:xVal>
          <c:yVal>
            <c:numRef>
              <c:f>Eff_vs_IOUT!$AI$7:$AI$157</c:f>
              <c:numCache>
                <c:formatCode>General</c:formatCode>
                <c:ptCount val="151"/>
                <c:pt idx="0">
                  <c:v>0</c:v>
                </c:pt>
                <c:pt idx="1">
                  <c:v>6.2749176290096714E-2</c:v>
                </c:pt>
                <c:pt idx="2">
                  <c:v>0.12578815329868173</c:v>
                </c:pt>
                <c:pt idx="3">
                  <c:v>0.18901578781667031</c:v>
                </c:pt>
                <c:pt idx="4">
                  <c:v>0.25239598681030673</c:v>
                </c:pt>
                <c:pt idx="5">
                  <c:v>0.31590789049919488</c:v>
                </c:pt>
                <c:pt idx="6">
                  <c:v>0.37953742433881577</c:v>
                </c:pt>
                <c:pt idx="7">
                  <c:v>0.4432742558480095</c:v>
                </c:pt>
                <c:pt idx="8">
                  <c:v>0.50714222479871174</c:v>
                </c:pt>
                <c:pt idx="9">
                  <c:v>0.57120380289855077</c:v>
                </c:pt>
                <c:pt idx="10">
                  <c:v>0.63546093655394531</c:v>
                </c:pt>
                <c:pt idx="11">
                  <c:v>0.69991362576489535</c:v>
                </c:pt>
                <c:pt idx="12">
                  <c:v>0.76456187053140123</c:v>
                </c:pt>
                <c:pt idx="13">
                  <c:v>0.82940567085346206</c:v>
                </c:pt>
                <c:pt idx="14">
                  <c:v>0.89444502673107906</c:v>
                </c:pt>
                <c:pt idx="15">
                  <c:v>0.95967993816425123</c:v>
                </c:pt>
                <c:pt idx="16">
                  <c:v>1.0251104051529791</c:v>
                </c:pt>
                <c:pt idx="17">
                  <c:v>1.0907364276972626</c:v>
                </c:pt>
                <c:pt idx="18">
                  <c:v>1.1565580057971017</c:v>
                </c:pt>
                <c:pt idx="19">
                  <c:v>1.222575139452496</c:v>
                </c:pt>
                <c:pt idx="20">
                  <c:v>1.2887878286634462</c:v>
                </c:pt>
                <c:pt idx="21">
                  <c:v>1.3551960734299517</c:v>
                </c:pt>
                <c:pt idx="22">
                  <c:v>1.421799873752013</c:v>
                </c:pt>
                <c:pt idx="23">
                  <c:v>1.48859922962963</c:v>
                </c:pt>
                <c:pt idx="24">
                  <c:v>1.5555941410628025</c:v>
                </c:pt>
                <c:pt idx="25">
                  <c:v>1.62278460805153</c:v>
                </c:pt>
                <c:pt idx="26">
                  <c:v>1.6901706305958131</c:v>
                </c:pt>
                <c:pt idx="27">
                  <c:v>1.7577522086956523</c:v>
                </c:pt>
                <c:pt idx="28">
                  <c:v>1.825529342351047</c:v>
                </c:pt>
                <c:pt idx="29">
                  <c:v>1.8935020315619973</c:v>
                </c:pt>
                <c:pt idx="30">
                  <c:v>1.9616702763285025</c:v>
                </c:pt>
                <c:pt idx="31">
                  <c:v>2.0300340766505638</c:v>
                </c:pt>
                <c:pt idx="32">
                  <c:v>2.0985934325281805</c:v>
                </c:pt>
                <c:pt idx="33">
                  <c:v>2.1673483439613528</c:v>
                </c:pt>
                <c:pt idx="34">
                  <c:v>2.236298810950081</c:v>
                </c:pt>
                <c:pt idx="35">
                  <c:v>2.3054448334943642</c:v>
                </c:pt>
                <c:pt idx="36">
                  <c:v>2.374786411594203</c:v>
                </c:pt>
                <c:pt idx="37">
                  <c:v>2.4443235452495977</c:v>
                </c:pt>
                <c:pt idx="38">
                  <c:v>2.5140562344605475</c:v>
                </c:pt>
                <c:pt idx="39">
                  <c:v>2.5839844792270537</c:v>
                </c:pt>
                <c:pt idx="40">
                  <c:v>2.6541082795491149</c:v>
                </c:pt>
                <c:pt idx="41">
                  <c:v>2.7244276354267316</c:v>
                </c:pt>
                <c:pt idx="42">
                  <c:v>2.7949425468599034</c:v>
                </c:pt>
                <c:pt idx="43">
                  <c:v>2.865653013848632</c:v>
                </c:pt>
                <c:pt idx="44">
                  <c:v>2.9365590363929148</c:v>
                </c:pt>
                <c:pt idx="45">
                  <c:v>3.007660614492754</c:v>
                </c:pt>
                <c:pt idx="46">
                  <c:v>3.0789577481481492</c:v>
                </c:pt>
                <c:pt idx="47">
                  <c:v>3.150450437359098</c:v>
                </c:pt>
                <c:pt idx="48">
                  <c:v>3.2221386821256051</c:v>
                </c:pt>
                <c:pt idx="49">
                  <c:v>3.2940224824476649</c:v>
                </c:pt>
                <c:pt idx="50">
                  <c:v>3.3661018383252825</c:v>
                </c:pt>
                <c:pt idx="51">
                  <c:v>3.4383767497584548</c:v>
                </c:pt>
                <c:pt idx="52">
                  <c:v>3.510847216747182</c:v>
                </c:pt>
                <c:pt idx="53">
                  <c:v>3.5835132392914661</c:v>
                </c:pt>
                <c:pt idx="54">
                  <c:v>3.6563748173913044</c:v>
                </c:pt>
                <c:pt idx="55">
                  <c:v>3.7294319510466987</c:v>
                </c:pt>
                <c:pt idx="56">
                  <c:v>3.8026846402576497</c:v>
                </c:pt>
                <c:pt idx="57">
                  <c:v>3.876132885024155</c:v>
                </c:pt>
                <c:pt idx="58">
                  <c:v>3.9497766853462166</c:v>
                </c:pt>
                <c:pt idx="59">
                  <c:v>4.0236160412238338</c:v>
                </c:pt>
                <c:pt idx="60">
                  <c:v>4.0976509526570055</c:v>
                </c:pt>
                <c:pt idx="61">
                  <c:v>4.1718814196457341</c:v>
                </c:pt>
                <c:pt idx="62">
                  <c:v>4.2463074421900169</c:v>
                </c:pt>
                <c:pt idx="63">
                  <c:v>4.3209290202898565</c:v>
                </c:pt>
                <c:pt idx="64">
                  <c:v>4.3957461539452494</c:v>
                </c:pt>
                <c:pt idx="65">
                  <c:v>4.4707588431562</c:v>
                </c:pt>
                <c:pt idx="66">
                  <c:v>4.5459670879227057</c:v>
                </c:pt>
                <c:pt idx="67">
                  <c:v>4.6213708882447664</c:v>
                </c:pt>
                <c:pt idx="68">
                  <c:v>4.6969702441223848</c:v>
                </c:pt>
                <c:pt idx="69">
                  <c:v>4.7727651555555557</c:v>
                </c:pt>
                <c:pt idx="70">
                  <c:v>4.8487556225442834</c:v>
                </c:pt>
                <c:pt idx="71">
                  <c:v>4.9249416450885679</c:v>
                </c:pt>
                <c:pt idx="72">
                  <c:v>5.0013232231884057</c:v>
                </c:pt>
                <c:pt idx="73">
                  <c:v>5.0779003568438004</c:v>
                </c:pt>
                <c:pt idx="74">
                  <c:v>5.154673046054751</c:v>
                </c:pt>
                <c:pt idx="75">
                  <c:v>5.2316412908212557</c:v>
                </c:pt>
                <c:pt idx="76">
                  <c:v>5.3088050911433173</c:v>
                </c:pt>
                <c:pt idx="77">
                  <c:v>5.3861644470209349</c:v>
                </c:pt>
                <c:pt idx="78">
                  <c:v>5.4637193584541066</c:v>
                </c:pt>
                <c:pt idx="79">
                  <c:v>5.5414698254428343</c:v>
                </c:pt>
                <c:pt idx="80">
                  <c:v>5.6194158479871188</c:v>
                </c:pt>
                <c:pt idx="81">
                  <c:v>5.6975574260869566</c:v>
                </c:pt>
                <c:pt idx="82">
                  <c:v>5.7758945597423521</c:v>
                </c:pt>
                <c:pt idx="83">
                  <c:v>5.8544272489533018</c:v>
                </c:pt>
                <c:pt idx="84">
                  <c:v>5.9331554937198066</c:v>
                </c:pt>
                <c:pt idx="85">
                  <c:v>6.0120792940418681</c:v>
                </c:pt>
                <c:pt idx="86">
                  <c:v>6.0911986499194866</c:v>
                </c:pt>
                <c:pt idx="87">
                  <c:v>6.1705135613526592</c:v>
                </c:pt>
                <c:pt idx="88">
                  <c:v>6.2500240283413859</c:v>
                </c:pt>
                <c:pt idx="89">
                  <c:v>6.3297300508856695</c:v>
                </c:pt>
                <c:pt idx="90">
                  <c:v>6.4096316289855082</c:v>
                </c:pt>
                <c:pt idx="91">
                  <c:v>6.4897287626409019</c:v>
                </c:pt>
                <c:pt idx="92">
                  <c:v>6.5700214518518534</c:v>
                </c:pt>
                <c:pt idx="93">
                  <c:v>6.6505096966183572</c:v>
                </c:pt>
                <c:pt idx="94">
                  <c:v>6.7311934969404188</c:v>
                </c:pt>
                <c:pt idx="95">
                  <c:v>6.8120728528180372</c:v>
                </c:pt>
                <c:pt idx="96">
                  <c:v>6.8931477642512098</c:v>
                </c:pt>
                <c:pt idx="97">
                  <c:v>6.9744182312399374</c:v>
                </c:pt>
                <c:pt idx="98">
                  <c:v>7.0558842537842192</c:v>
                </c:pt>
                <c:pt idx="99">
                  <c:v>7.1375458318840588</c:v>
                </c:pt>
                <c:pt idx="100">
                  <c:v>7.2194029655394534</c:v>
                </c:pt>
                <c:pt idx="101">
                  <c:v>7.3014556547504048</c:v>
                </c:pt>
                <c:pt idx="102">
                  <c:v>7.3837038995169095</c:v>
                </c:pt>
                <c:pt idx="103">
                  <c:v>7.4661476998389702</c:v>
                </c:pt>
                <c:pt idx="104">
                  <c:v>7.5487870557165859</c:v>
                </c:pt>
                <c:pt idx="105">
                  <c:v>7.6316219671497594</c:v>
                </c:pt>
                <c:pt idx="106">
                  <c:v>7.7146524341384879</c:v>
                </c:pt>
                <c:pt idx="107">
                  <c:v>7.7978784566827724</c:v>
                </c:pt>
                <c:pt idx="108">
                  <c:v>7.8813000347826092</c:v>
                </c:pt>
                <c:pt idx="109">
                  <c:v>7.9649171684380047</c:v>
                </c:pt>
                <c:pt idx="110">
                  <c:v>8.0487298576489525</c:v>
                </c:pt>
                <c:pt idx="111">
                  <c:v>8.1327381024154608</c:v>
                </c:pt>
                <c:pt idx="112">
                  <c:v>8.2169419027375206</c:v>
                </c:pt>
                <c:pt idx="113">
                  <c:v>8.3013412586151372</c:v>
                </c:pt>
                <c:pt idx="114">
                  <c:v>8.3859361700483106</c:v>
                </c:pt>
                <c:pt idx="115">
                  <c:v>8.4707266370370391</c:v>
                </c:pt>
                <c:pt idx="116">
                  <c:v>8.5557126595813227</c:v>
                </c:pt>
                <c:pt idx="117">
                  <c:v>8.6408942376811613</c:v>
                </c:pt>
                <c:pt idx="118">
                  <c:v>8.7262713713365549</c:v>
                </c:pt>
                <c:pt idx="119">
                  <c:v>8.8118440605475037</c:v>
                </c:pt>
                <c:pt idx="120">
                  <c:v>8.8976123053140093</c:v>
                </c:pt>
                <c:pt idx="121">
                  <c:v>8.9835761056360717</c:v>
                </c:pt>
                <c:pt idx="122">
                  <c:v>9.0697354615136909</c:v>
                </c:pt>
                <c:pt idx="123">
                  <c:v>9.1560903729468617</c:v>
                </c:pt>
                <c:pt idx="124">
                  <c:v>9.2426408399355893</c:v>
                </c:pt>
                <c:pt idx="125">
                  <c:v>9.3293868624798719</c:v>
                </c:pt>
                <c:pt idx="126">
                  <c:v>9.4163284405797132</c:v>
                </c:pt>
                <c:pt idx="127">
                  <c:v>9.503465574235106</c:v>
                </c:pt>
                <c:pt idx="128">
                  <c:v>9.5907982634460538</c:v>
                </c:pt>
                <c:pt idx="129">
                  <c:v>9.678326508212562</c:v>
                </c:pt>
                <c:pt idx="130">
                  <c:v>9.7660503085346235</c:v>
                </c:pt>
                <c:pt idx="131">
                  <c:v>9.8539696644122383</c:v>
                </c:pt>
                <c:pt idx="132">
                  <c:v>9.9420845758454117</c:v>
                </c:pt>
                <c:pt idx="133">
                  <c:v>10.03039504283414</c:v>
                </c:pt>
                <c:pt idx="134">
                  <c:v>10.11890106537842</c:v>
                </c:pt>
                <c:pt idx="135">
                  <c:v>10.207602643478262</c:v>
                </c:pt>
                <c:pt idx="136">
                  <c:v>10.296499777133658</c:v>
                </c:pt>
                <c:pt idx="137">
                  <c:v>10.385592466344605</c:v>
                </c:pt>
                <c:pt idx="138">
                  <c:v>10.474880711111112</c:v>
                </c:pt>
                <c:pt idx="139">
                  <c:v>10.564364511433173</c:v>
                </c:pt>
                <c:pt idx="140">
                  <c:v>10.65404386731079</c:v>
                </c:pt>
                <c:pt idx="141">
                  <c:v>10.743918778743961</c:v>
                </c:pt>
                <c:pt idx="142">
                  <c:v>10.83398924573269</c:v>
                </c:pt>
                <c:pt idx="143">
                  <c:v>10.924255268276973</c:v>
                </c:pt>
                <c:pt idx="144">
                  <c:v>11.014716846376812</c:v>
                </c:pt>
                <c:pt idx="145">
                  <c:v>11.105373980032208</c:v>
                </c:pt>
                <c:pt idx="146">
                  <c:v>11.196226669243156</c:v>
                </c:pt>
                <c:pt idx="147">
                  <c:v>11.287274914009664</c:v>
                </c:pt>
                <c:pt idx="148">
                  <c:v>11.378518714331724</c:v>
                </c:pt>
                <c:pt idx="149">
                  <c:v>11.469958070209341</c:v>
                </c:pt>
                <c:pt idx="150">
                  <c:v>11.561592981642512</c:v>
                </c:pt>
              </c:numCache>
            </c:numRef>
          </c:yVal>
          <c:smooth val="1"/>
          <c:extLst>
            <c:ext xmlns:c16="http://schemas.microsoft.com/office/drawing/2014/chart" uri="{C3380CC4-5D6E-409C-BE32-E72D297353CC}">
              <c16:uniqueId val="{00000001-50A0-4BAE-A18F-D1A285C4A90E}"/>
            </c:ext>
          </c:extLst>
        </c:ser>
        <c:ser>
          <c:idx val="2"/>
          <c:order val="2"/>
          <c:tx>
            <c:v>Diode</c:v>
          </c:tx>
          <c:spPr>
            <a:ln>
              <a:solidFill>
                <a:schemeClr val="bg2">
                  <a:lumMod val="50000"/>
                </a:schemeClr>
              </a:solidFill>
              <a:prstDash val="sysDash"/>
            </a:ln>
          </c:spPr>
          <c:marker>
            <c:symbol val="none"/>
          </c:marker>
          <c:xVal>
            <c:numRef>
              <c:f>Eff_vs_IOUT!$S$7:$S$157</c:f>
              <c:numCache>
                <c:formatCode>General</c:formatCode>
                <c:ptCount val="151"/>
                <c:pt idx="0">
                  <c:v>0</c:v>
                </c:pt>
                <c:pt idx="1">
                  <c:v>0.1</c:v>
                </c:pt>
                <c:pt idx="2">
                  <c:v>0.2</c:v>
                </c:pt>
                <c:pt idx="3">
                  <c:v>0.30000000000000004</c:v>
                </c:pt>
                <c:pt idx="4">
                  <c:v>0.4</c:v>
                </c:pt>
                <c:pt idx="5">
                  <c:v>0.5</c:v>
                </c:pt>
                <c:pt idx="6">
                  <c:v>0.60000000000000009</c:v>
                </c:pt>
                <c:pt idx="7">
                  <c:v>0.70000000000000007</c:v>
                </c:pt>
                <c:pt idx="8">
                  <c:v>0.8</c:v>
                </c:pt>
                <c:pt idx="9">
                  <c:v>0.9</c:v>
                </c:pt>
                <c:pt idx="10">
                  <c:v>1</c:v>
                </c:pt>
                <c:pt idx="11">
                  <c:v>1.1000000000000001</c:v>
                </c:pt>
                <c:pt idx="12">
                  <c:v>1.2000000000000002</c:v>
                </c:pt>
                <c:pt idx="13">
                  <c:v>1.3</c:v>
                </c:pt>
                <c:pt idx="14">
                  <c:v>1.4000000000000001</c:v>
                </c:pt>
                <c:pt idx="15">
                  <c:v>1.5</c:v>
                </c:pt>
                <c:pt idx="16">
                  <c:v>1.6</c:v>
                </c:pt>
                <c:pt idx="17">
                  <c:v>1.7000000000000002</c:v>
                </c:pt>
                <c:pt idx="18">
                  <c:v>1.8</c:v>
                </c:pt>
                <c:pt idx="19">
                  <c:v>1.9000000000000001</c:v>
                </c:pt>
                <c:pt idx="20">
                  <c:v>2</c:v>
                </c:pt>
                <c:pt idx="21">
                  <c:v>2.1</c:v>
                </c:pt>
                <c:pt idx="22">
                  <c:v>2.2000000000000002</c:v>
                </c:pt>
                <c:pt idx="23">
                  <c:v>2.3000000000000003</c:v>
                </c:pt>
                <c:pt idx="24">
                  <c:v>2.4000000000000004</c:v>
                </c:pt>
                <c:pt idx="25">
                  <c:v>2.5</c:v>
                </c:pt>
                <c:pt idx="26">
                  <c:v>2.6</c:v>
                </c:pt>
                <c:pt idx="27">
                  <c:v>2.7</c:v>
                </c:pt>
                <c:pt idx="28">
                  <c:v>2.8000000000000003</c:v>
                </c:pt>
                <c:pt idx="29">
                  <c:v>2.9000000000000004</c:v>
                </c:pt>
                <c:pt idx="30">
                  <c:v>3</c:v>
                </c:pt>
                <c:pt idx="31">
                  <c:v>3.1</c:v>
                </c:pt>
                <c:pt idx="32">
                  <c:v>3.2</c:v>
                </c:pt>
                <c:pt idx="33">
                  <c:v>3.3000000000000003</c:v>
                </c:pt>
                <c:pt idx="34">
                  <c:v>3.4000000000000004</c:v>
                </c:pt>
                <c:pt idx="35">
                  <c:v>3.5</c:v>
                </c:pt>
                <c:pt idx="36">
                  <c:v>3.6</c:v>
                </c:pt>
                <c:pt idx="37">
                  <c:v>3.7</c:v>
                </c:pt>
                <c:pt idx="38">
                  <c:v>3.8000000000000003</c:v>
                </c:pt>
                <c:pt idx="39">
                  <c:v>3.9000000000000004</c:v>
                </c:pt>
                <c:pt idx="40">
                  <c:v>4</c:v>
                </c:pt>
                <c:pt idx="41">
                  <c:v>4.1000000000000005</c:v>
                </c:pt>
                <c:pt idx="42">
                  <c:v>4.2</c:v>
                </c:pt>
                <c:pt idx="43">
                  <c:v>4.3</c:v>
                </c:pt>
                <c:pt idx="44">
                  <c:v>4.4000000000000004</c:v>
                </c:pt>
                <c:pt idx="45">
                  <c:v>4.5</c:v>
                </c:pt>
                <c:pt idx="46">
                  <c:v>4.6000000000000005</c:v>
                </c:pt>
                <c:pt idx="47">
                  <c:v>4.7</c:v>
                </c:pt>
                <c:pt idx="48">
                  <c:v>4.8000000000000007</c:v>
                </c:pt>
                <c:pt idx="49">
                  <c:v>4.9000000000000004</c:v>
                </c:pt>
                <c:pt idx="50">
                  <c:v>5</c:v>
                </c:pt>
                <c:pt idx="51">
                  <c:v>5.1000000000000005</c:v>
                </c:pt>
                <c:pt idx="52">
                  <c:v>5.2</c:v>
                </c:pt>
                <c:pt idx="53">
                  <c:v>5.3000000000000007</c:v>
                </c:pt>
                <c:pt idx="54">
                  <c:v>5.4</c:v>
                </c:pt>
                <c:pt idx="55">
                  <c:v>5.5</c:v>
                </c:pt>
                <c:pt idx="56">
                  <c:v>5.6000000000000005</c:v>
                </c:pt>
                <c:pt idx="57">
                  <c:v>5.7</c:v>
                </c:pt>
                <c:pt idx="58">
                  <c:v>5.8000000000000007</c:v>
                </c:pt>
                <c:pt idx="59">
                  <c:v>5.9</c:v>
                </c:pt>
                <c:pt idx="60">
                  <c:v>6</c:v>
                </c:pt>
                <c:pt idx="61">
                  <c:v>6.1000000000000005</c:v>
                </c:pt>
                <c:pt idx="62">
                  <c:v>6.2</c:v>
                </c:pt>
                <c:pt idx="63">
                  <c:v>6.3000000000000007</c:v>
                </c:pt>
                <c:pt idx="64">
                  <c:v>6.4</c:v>
                </c:pt>
                <c:pt idx="65">
                  <c:v>6.5</c:v>
                </c:pt>
                <c:pt idx="66">
                  <c:v>6.6000000000000005</c:v>
                </c:pt>
                <c:pt idx="67">
                  <c:v>6.7</c:v>
                </c:pt>
                <c:pt idx="68">
                  <c:v>6.8000000000000007</c:v>
                </c:pt>
                <c:pt idx="69">
                  <c:v>6.9</c:v>
                </c:pt>
                <c:pt idx="70">
                  <c:v>7</c:v>
                </c:pt>
                <c:pt idx="71">
                  <c:v>7.1000000000000005</c:v>
                </c:pt>
                <c:pt idx="72">
                  <c:v>7.2</c:v>
                </c:pt>
                <c:pt idx="73">
                  <c:v>7.3000000000000007</c:v>
                </c:pt>
                <c:pt idx="74">
                  <c:v>7.4</c:v>
                </c:pt>
                <c:pt idx="75">
                  <c:v>7.5</c:v>
                </c:pt>
                <c:pt idx="76">
                  <c:v>7.6000000000000005</c:v>
                </c:pt>
                <c:pt idx="77">
                  <c:v>7.7</c:v>
                </c:pt>
                <c:pt idx="78">
                  <c:v>7.8000000000000007</c:v>
                </c:pt>
                <c:pt idx="79">
                  <c:v>7.9</c:v>
                </c:pt>
                <c:pt idx="80">
                  <c:v>8</c:v>
                </c:pt>
                <c:pt idx="81">
                  <c:v>8.1</c:v>
                </c:pt>
                <c:pt idx="82">
                  <c:v>8.2000000000000011</c:v>
                </c:pt>
                <c:pt idx="83">
                  <c:v>8.3000000000000007</c:v>
                </c:pt>
                <c:pt idx="84">
                  <c:v>8.4</c:v>
                </c:pt>
                <c:pt idx="85">
                  <c:v>8.5</c:v>
                </c:pt>
                <c:pt idx="86">
                  <c:v>8.6</c:v>
                </c:pt>
                <c:pt idx="87">
                  <c:v>8.7000000000000011</c:v>
                </c:pt>
                <c:pt idx="88">
                  <c:v>8.8000000000000007</c:v>
                </c:pt>
                <c:pt idx="89">
                  <c:v>8.9</c:v>
                </c:pt>
                <c:pt idx="90">
                  <c:v>9</c:v>
                </c:pt>
                <c:pt idx="91">
                  <c:v>9.1</c:v>
                </c:pt>
                <c:pt idx="92">
                  <c:v>9.2000000000000011</c:v>
                </c:pt>
                <c:pt idx="93">
                  <c:v>9.3000000000000007</c:v>
                </c:pt>
                <c:pt idx="94">
                  <c:v>9.4</c:v>
                </c:pt>
                <c:pt idx="95">
                  <c:v>9.5</c:v>
                </c:pt>
                <c:pt idx="96">
                  <c:v>9.6000000000000014</c:v>
                </c:pt>
                <c:pt idx="97">
                  <c:v>9.7000000000000011</c:v>
                </c:pt>
                <c:pt idx="98">
                  <c:v>9.8000000000000007</c:v>
                </c:pt>
                <c:pt idx="99">
                  <c:v>9.9</c:v>
                </c:pt>
                <c:pt idx="100">
                  <c:v>10</c:v>
                </c:pt>
                <c:pt idx="101">
                  <c:v>10.100000000000001</c:v>
                </c:pt>
                <c:pt idx="102">
                  <c:v>10.200000000000001</c:v>
                </c:pt>
                <c:pt idx="103">
                  <c:v>10.3</c:v>
                </c:pt>
                <c:pt idx="104">
                  <c:v>10.4</c:v>
                </c:pt>
                <c:pt idx="105">
                  <c:v>10.5</c:v>
                </c:pt>
                <c:pt idx="106">
                  <c:v>10.600000000000001</c:v>
                </c:pt>
                <c:pt idx="107">
                  <c:v>10.700000000000001</c:v>
                </c:pt>
                <c:pt idx="108">
                  <c:v>10.8</c:v>
                </c:pt>
                <c:pt idx="109">
                  <c:v>10.9</c:v>
                </c:pt>
                <c:pt idx="110">
                  <c:v>11</c:v>
                </c:pt>
                <c:pt idx="111">
                  <c:v>11.100000000000001</c:v>
                </c:pt>
                <c:pt idx="112">
                  <c:v>11.200000000000001</c:v>
                </c:pt>
                <c:pt idx="113">
                  <c:v>11.3</c:v>
                </c:pt>
                <c:pt idx="114">
                  <c:v>11.4</c:v>
                </c:pt>
                <c:pt idx="115">
                  <c:v>11.5</c:v>
                </c:pt>
                <c:pt idx="116">
                  <c:v>11.600000000000001</c:v>
                </c:pt>
                <c:pt idx="117">
                  <c:v>11.700000000000001</c:v>
                </c:pt>
                <c:pt idx="118">
                  <c:v>11.8</c:v>
                </c:pt>
                <c:pt idx="119">
                  <c:v>11.9</c:v>
                </c:pt>
                <c:pt idx="120">
                  <c:v>12</c:v>
                </c:pt>
                <c:pt idx="121">
                  <c:v>12.100000000000001</c:v>
                </c:pt>
                <c:pt idx="122">
                  <c:v>12.200000000000001</c:v>
                </c:pt>
                <c:pt idx="123">
                  <c:v>12.3</c:v>
                </c:pt>
                <c:pt idx="124">
                  <c:v>12.4</c:v>
                </c:pt>
                <c:pt idx="125">
                  <c:v>12.5</c:v>
                </c:pt>
                <c:pt idx="126">
                  <c:v>12.600000000000001</c:v>
                </c:pt>
                <c:pt idx="127">
                  <c:v>12.700000000000001</c:v>
                </c:pt>
                <c:pt idx="128">
                  <c:v>12.8</c:v>
                </c:pt>
                <c:pt idx="129">
                  <c:v>12.9</c:v>
                </c:pt>
                <c:pt idx="130">
                  <c:v>13</c:v>
                </c:pt>
                <c:pt idx="131">
                  <c:v>13.100000000000001</c:v>
                </c:pt>
                <c:pt idx="132">
                  <c:v>13.200000000000001</c:v>
                </c:pt>
                <c:pt idx="133">
                  <c:v>13.3</c:v>
                </c:pt>
                <c:pt idx="134">
                  <c:v>13.4</c:v>
                </c:pt>
                <c:pt idx="135">
                  <c:v>13.5</c:v>
                </c:pt>
                <c:pt idx="136">
                  <c:v>13.600000000000001</c:v>
                </c:pt>
                <c:pt idx="137">
                  <c:v>13.700000000000001</c:v>
                </c:pt>
                <c:pt idx="138">
                  <c:v>13.8</c:v>
                </c:pt>
                <c:pt idx="139">
                  <c:v>13.9</c:v>
                </c:pt>
                <c:pt idx="140">
                  <c:v>14</c:v>
                </c:pt>
                <c:pt idx="141">
                  <c:v>14.100000000000001</c:v>
                </c:pt>
                <c:pt idx="142">
                  <c:v>14.200000000000001</c:v>
                </c:pt>
                <c:pt idx="143">
                  <c:v>14.3</c:v>
                </c:pt>
                <c:pt idx="144">
                  <c:v>14.4</c:v>
                </c:pt>
                <c:pt idx="145">
                  <c:v>14.5</c:v>
                </c:pt>
                <c:pt idx="146">
                  <c:v>14.600000000000001</c:v>
                </c:pt>
                <c:pt idx="147">
                  <c:v>14.700000000000001</c:v>
                </c:pt>
                <c:pt idx="148">
                  <c:v>14.8</c:v>
                </c:pt>
                <c:pt idx="149">
                  <c:v>14.9</c:v>
                </c:pt>
                <c:pt idx="150">
                  <c:v>15</c:v>
                </c:pt>
              </c:numCache>
            </c:numRef>
          </c:xVal>
          <c:yVal>
            <c:numRef>
              <c:f>Eff_vs_IOUT!$AO$7:$AO$157</c:f>
              <c:numCache>
                <c:formatCode>General</c:formatCode>
                <c:ptCount val="151"/>
                <c:pt idx="0">
                  <c:v>0</c:v>
                </c:pt>
                <c:pt idx="1">
                  <c:v>1.4019464007307174</c:v>
                </c:pt>
                <c:pt idx="2">
                  <c:v>1.4147613163653279</c:v>
                </c:pt>
                <c:pt idx="3">
                  <c:v>1.4251007671071851</c:v>
                </c:pt>
                <c:pt idx="4">
                  <c:v>1.4342411851737544</c:v>
                </c:pt>
                <c:pt idx="5">
                  <c:v>1.442666666666667</c:v>
                </c:pt>
                <c:pt idx="6">
                  <c:v>1.4506204209703342</c:v>
                </c:pt>
                <c:pt idx="7">
                  <c:v>1.4582439682807136</c:v>
                </c:pt>
                <c:pt idx="8">
                  <c:v>1.4657877333333336</c:v>
                </c:pt>
                <c:pt idx="9">
                  <c:v>1.4736144000000002</c:v>
                </c:pt>
                <c:pt idx="10">
                  <c:v>1.4817344000000003</c:v>
                </c:pt>
                <c:pt idx="11">
                  <c:v>1.4901477333333335</c:v>
                </c:pt>
                <c:pt idx="12">
                  <c:v>1.4988544000000004</c:v>
                </c:pt>
                <c:pt idx="13">
                  <c:v>1.5078544</c:v>
                </c:pt>
                <c:pt idx="14">
                  <c:v>1.5171477333333336</c:v>
                </c:pt>
                <c:pt idx="15">
                  <c:v>1.5267344000000003</c:v>
                </c:pt>
                <c:pt idx="16">
                  <c:v>1.5366144000000002</c:v>
                </c:pt>
                <c:pt idx="17">
                  <c:v>1.5467877333333335</c:v>
                </c:pt>
                <c:pt idx="18">
                  <c:v>1.5572544000000004</c:v>
                </c:pt>
                <c:pt idx="19">
                  <c:v>1.5680144000000003</c:v>
                </c:pt>
                <c:pt idx="20">
                  <c:v>1.5790677333333336</c:v>
                </c:pt>
                <c:pt idx="21">
                  <c:v>1.5904144000000004</c:v>
                </c:pt>
                <c:pt idx="22">
                  <c:v>1.6020544000000003</c:v>
                </c:pt>
                <c:pt idx="23">
                  <c:v>1.6139877333333337</c:v>
                </c:pt>
                <c:pt idx="24">
                  <c:v>1.6262144000000003</c:v>
                </c:pt>
                <c:pt idx="25">
                  <c:v>1.6387344000000001</c:v>
                </c:pt>
                <c:pt idx="26">
                  <c:v>1.6515477333333335</c:v>
                </c:pt>
                <c:pt idx="27">
                  <c:v>1.6646544000000003</c:v>
                </c:pt>
                <c:pt idx="28">
                  <c:v>1.6780544000000002</c:v>
                </c:pt>
                <c:pt idx="29">
                  <c:v>1.6917477333333337</c:v>
                </c:pt>
                <c:pt idx="30">
                  <c:v>1.7057344000000003</c:v>
                </c:pt>
                <c:pt idx="31">
                  <c:v>1.7200144000000004</c:v>
                </c:pt>
                <c:pt idx="32">
                  <c:v>1.7345877333333337</c:v>
                </c:pt>
                <c:pt idx="33">
                  <c:v>1.7494544000000001</c:v>
                </c:pt>
                <c:pt idx="34">
                  <c:v>1.7646144000000004</c:v>
                </c:pt>
                <c:pt idx="35">
                  <c:v>1.7800677333333337</c:v>
                </c:pt>
                <c:pt idx="36">
                  <c:v>1.7958144000000003</c:v>
                </c:pt>
                <c:pt idx="37">
                  <c:v>1.8118544000000003</c:v>
                </c:pt>
                <c:pt idx="38">
                  <c:v>1.8281877333333336</c:v>
                </c:pt>
                <c:pt idx="39">
                  <c:v>1.8448144000000002</c:v>
                </c:pt>
                <c:pt idx="40">
                  <c:v>1.8617344000000002</c:v>
                </c:pt>
                <c:pt idx="41">
                  <c:v>1.8789477333333338</c:v>
                </c:pt>
                <c:pt idx="42">
                  <c:v>1.8964544000000001</c:v>
                </c:pt>
                <c:pt idx="43">
                  <c:v>1.9142544000000004</c:v>
                </c:pt>
                <c:pt idx="44">
                  <c:v>1.9323477333333337</c:v>
                </c:pt>
                <c:pt idx="45">
                  <c:v>1.9507344000000002</c:v>
                </c:pt>
                <c:pt idx="46">
                  <c:v>1.9694144000000005</c:v>
                </c:pt>
                <c:pt idx="47">
                  <c:v>1.9883877333333335</c:v>
                </c:pt>
                <c:pt idx="48">
                  <c:v>2.0076544000000003</c:v>
                </c:pt>
                <c:pt idx="49">
                  <c:v>2.0272144000000001</c:v>
                </c:pt>
                <c:pt idx="50">
                  <c:v>2.0470677333333338</c:v>
                </c:pt>
                <c:pt idx="51">
                  <c:v>2.0672144000000006</c:v>
                </c:pt>
                <c:pt idx="52">
                  <c:v>2.0876544000000004</c:v>
                </c:pt>
                <c:pt idx="53">
                  <c:v>2.1083877333333336</c:v>
                </c:pt>
                <c:pt idx="54">
                  <c:v>2.1294143999999999</c:v>
                </c:pt>
                <c:pt idx="55">
                  <c:v>2.1507344000000002</c:v>
                </c:pt>
                <c:pt idx="56">
                  <c:v>2.1723477333333339</c:v>
                </c:pt>
                <c:pt idx="57">
                  <c:v>2.1942544000000002</c:v>
                </c:pt>
                <c:pt idx="58">
                  <c:v>2.2164544000000004</c:v>
                </c:pt>
                <c:pt idx="59">
                  <c:v>2.2389477333333336</c:v>
                </c:pt>
                <c:pt idx="60">
                  <c:v>2.2617343999999999</c:v>
                </c:pt>
                <c:pt idx="61">
                  <c:v>2.2848144000000001</c:v>
                </c:pt>
                <c:pt idx="62">
                  <c:v>2.3081877333333338</c:v>
                </c:pt>
                <c:pt idx="63">
                  <c:v>2.3318544000000005</c:v>
                </c:pt>
                <c:pt idx="64">
                  <c:v>2.3558144000000003</c:v>
                </c:pt>
                <c:pt idx="65">
                  <c:v>2.3800677333333335</c:v>
                </c:pt>
                <c:pt idx="66">
                  <c:v>2.4046144000000003</c:v>
                </c:pt>
                <c:pt idx="67">
                  <c:v>2.4294544</c:v>
                </c:pt>
                <c:pt idx="68">
                  <c:v>2.4545877333333337</c:v>
                </c:pt>
                <c:pt idx="69">
                  <c:v>2.4800144000000004</c:v>
                </c:pt>
                <c:pt idx="70">
                  <c:v>2.5057344000000001</c:v>
                </c:pt>
                <c:pt idx="71">
                  <c:v>2.5317477333333342</c:v>
                </c:pt>
                <c:pt idx="72">
                  <c:v>2.5580544000000001</c:v>
                </c:pt>
                <c:pt idx="73">
                  <c:v>2.5846544000000002</c:v>
                </c:pt>
                <c:pt idx="74">
                  <c:v>2.6115477333333335</c:v>
                </c:pt>
                <c:pt idx="75">
                  <c:v>2.6387344000000001</c:v>
                </c:pt>
                <c:pt idx="76">
                  <c:v>2.6662144000000003</c:v>
                </c:pt>
                <c:pt idx="77">
                  <c:v>2.6939877333333335</c:v>
                </c:pt>
                <c:pt idx="78">
                  <c:v>2.7220544000000002</c:v>
                </c:pt>
                <c:pt idx="79">
                  <c:v>2.7504144000000004</c:v>
                </c:pt>
                <c:pt idx="80">
                  <c:v>2.779067733333334</c:v>
                </c:pt>
                <c:pt idx="81">
                  <c:v>2.8080144000000002</c:v>
                </c:pt>
                <c:pt idx="82">
                  <c:v>2.8372544000000008</c:v>
                </c:pt>
                <c:pt idx="83">
                  <c:v>2.866787733333334</c:v>
                </c:pt>
                <c:pt idx="84">
                  <c:v>2.8966144000000003</c:v>
                </c:pt>
                <c:pt idx="85">
                  <c:v>2.9267344</c:v>
                </c:pt>
                <c:pt idx="86">
                  <c:v>2.9571477333333336</c:v>
                </c:pt>
                <c:pt idx="87">
                  <c:v>2.9878544000000011</c:v>
                </c:pt>
                <c:pt idx="88">
                  <c:v>3.0188544000000004</c:v>
                </c:pt>
                <c:pt idx="89">
                  <c:v>3.0501477333333336</c:v>
                </c:pt>
                <c:pt idx="90">
                  <c:v>3.0817344000000002</c:v>
                </c:pt>
                <c:pt idx="91">
                  <c:v>3.1136144000000008</c:v>
                </c:pt>
                <c:pt idx="92">
                  <c:v>3.1457877333333339</c:v>
                </c:pt>
                <c:pt idx="93">
                  <c:v>3.1782544000000001</c:v>
                </c:pt>
                <c:pt idx="94">
                  <c:v>3.2110144000000007</c:v>
                </c:pt>
                <c:pt idx="95">
                  <c:v>3.2440677333333343</c:v>
                </c:pt>
                <c:pt idx="96">
                  <c:v>3.2774144000000009</c:v>
                </c:pt>
                <c:pt idx="97">
                  <c:v>3.3110544000000006</c:v>
                </c:pt>
                <c:pt idx="98">
                  <c:v>3.3449877333333333</c:v>
                </c:pt>
                <c:pt idx="99">
                  <c:v>3.3792144000000004</c:v>
                </c:pt>
                <c:pt idx="100">
                  <c:v>3.4137344000000005</c:v>
                </c:pt>
                <c:pt idx="101">
                  <c:v>3.4485477333333336</c:v>
                </c:pt>
                <c:pt idx="102">
                  <c:v>3.4836544000000012</c:v>
                </c:pt>
                <c:pt idx="103">
                  <c:v>3.5190544000000008</c:v>
                </c:pt>
                <c:pt idx="104">
                  <c:v>3.554747733333333</c:v>
                </c:pt>
                <c:pt idx="105">
                  <c:v>3.5907344000000005</c:v>
                </c:pt>
                <c:pt idx="106">
                  <c:v>3.6270144000000002</c:v>
                </c:pt>
                <c:pt idx="107">
                  <c:v>3.6635877333333338</c:v>
                </c:pt>
                <c:pt idx="108">
                  <c:v>3.7004544000000008</c:v>
                </c:pt>
                <c:pt idx="109">
                  <c:v>3.7376144000000004</c:v>
                </c:pt>
                <c:pt idx="110">
                  <c:v>3.7750677333333331</c:v>
                </c:pt>
                <c:pt idx="111">
                  <c:v>3.8128144000000006</c:v>
                </c:pt>
                <c:pt idx="112">
                  <c:v>3.8508544000000007</c:v>
                </c:pt>
                <c:pt idx="113">
                  <c:v>3.8891877333333333</c:v>
                </c:pt>
                <c:pt idx="114">
                  <c:v>3.9278144000000004</c:v>
                </c:pt>
                <c:pt idx="115">
                  <c:v>3.9667344000000009</c:v>
                </c:pt>
                <c:pt idx="116">
                  <c:v>4.0059477333333344</c:v>
                </c:pt>
                <c:pt idx="117">
                  <c:v>4.0454544000000014</c:v>
                </c:pt>
                <c:pt idx="118">
                  <c:v>4.0852544000000011</c:v>
                </c:pt>
                <c:pt idx="119">
                  <c:v>4.1253477333333324</c:v>
                </c:pt>
                <c:pt idx="120">
                  <c:v>4.1657344000000007</c:v>
                </c:pt>
                <c:pt idx="121">
                  <c:v>4.2064144000000008</c:v>
                </c:pt>
                <c:pt idx="122">
                  <c:v>4.2473877333333334</c:v>
                </c:pt>
                <c:pt idx="123">
                  <c:v>4.2886544000000004</c:v>
                </c:pt>
                <c:pt idx="124">
                  <c:v>4.3302144</c:v>
                </c:pt>
                <c:pt idx="125">
                  <c:v>4.3720677333333331</c:v>
                </c:pt>
                <c:pt idx="126">
                  <c:v>4.4142144000000014</c:v>
                </c:pt>
                <c:pt idx="127">
                  <c:v>4.4566544000000006</c:v>
                </c:pt>
                <c:pt idx="128">
                  <c:v>4.4993877333333341</c:v>
                </c:pt>
                <c:pt idx="129">
                  <c:v>4.5424144000000002</c:v>
                </c:pt>
                <c:pt idx="130">
                  <c:v>4.5857343999999998</c:v>
                </c:pt>
                <c:pt idx="131">
                  <c:v>4.6293477333333328</c:v>
                </c:pt>
                <c:pt idx="132">
                  <c:v>4.6732544000000003</c:v>
                </c:pt>
                <c:pt idx="133">
                  <c:v>4.7174544000000012</c:v>
                </c:pt>
                <c:pt idx="134">
                  <c:v>4.761947733333332</c:v>
                </c:pt>
                <c:pt idx="135">
                  <c:v>4.8067343999999999</c:v>
                </c:pt>
                <c:pt idx="136">
                  <c:v>4.8518143999999994</c:v>
                </c:pt>
                <c:pt idx="137">
                  <c:v>4.8971877333333325</c:v>
                </c:pt>
                <c:pt idx="138">
                  <c:v>4.9428543999999999</c:v>
                </c:pt>
                <c:pt idx="139">
                  <c:v>4.9888144000000008</c:v>
                </c:pt>
                <c:pt idx="140">
                  <c:v>5.0350677333333325</c:v>
                </c:pt>
                <c:pt idx="141">
                  <c:v>5.0816143999999994</c:v>
                </c:pt>
                <c:pt idx="142">
                  <c:v>5.1284544000000016</c:v>
                </c:pt>
                <c:pt idx="143">
                  <c:v>5.1755877333333329</c:v>
                </c:pt>
                <c:pt idx="144">
                  <c:v>5.2230144000000003</c:v>
                </c:pt>
                <c:pt idx="145">
                  <c:v>5.2707343999999994</c:v>
                </c:pt>
                <c:pt idx="146">
                  <c:v>5.3187477333333328</c:v>
                </c:pt>
                <c:pt idx="147">
                  <c:v>5.3670543999999998</c:v>
                </c:pt>
                <c:pt idx="148">
                  <c:v>5.4156544000000002</c:v>
                </c:pt>
                <c:pt idx="149">
                  <c:v>5.4645477333333323</c:v>
                </c:pt>
                <c:pt idx="150">
                  <c:v>5.5137344000000006</c:v>
                </c:pt>
              </c:numCache>
            </c:numRef>
          </c:yVal>
          <c:smooth val="1"/>
          <c:extLst>
            <c:ext xmlns:c16="http://schemas.microsoft.com/office/drawing/2014/chart" uri="{C3380CC4-5D6E-409C-BE32-E72D297353CC}">
              <c16:uniqueId val="{00000002-50A0-4BAE-A18F-D1A285C4A90E}"/>
            </c:ext>
          </c:extLst>
        </c:ser>
        <c:ser>
          <c:idx val="3"/>
          <c:order val="3"/>
          <c:tx>
            <c:v>RCS</c:v>
          </c:tx>
          <c:spPr>
            <a:ln>
              <a:solidFill>
                <a:schemeClr val="accent5">
                  <a:lumMod val="75000"/>
                </a:schemeClr>
              </a:solidFill>
              <a:prstDash val="lgDashDotDot"/>
            </a:ln>
          </c:spPr>
          <c:marker>
            <c:symbol val="none"/>
          </c:marker>
          <c:xVal>
            <c:numRef>
              <c:f>Eff_vs_IOUT!$S$7:$S$157</c:f>
              <c:numCache>
                <c:formatCode>General</c:formatCode>
                <c:ptCount val="151"/>
                <c:pt idx="0">
                  <c:v>0</c:v>
                </c:pt>
                <c:pt idx="1">
                  <c:v>0.1</c:v>
                </c:pt>
                <c:pt idx="2">
                  <c:v>0.2</c:v>
                </c:pt>
                <c:pt idx="3">
                  <c:v>0.30000000000000004</c:v>
                </c:pt>
                <c:pt idx="4">
                  <c:v>0.4</c:v>
                </c:pt>
                <c:pt idx="5">
                  <c:v>0.5</c:v>
                </c:pt>
                <c:pt idx="6">
                  <c:v>0.60000000000000009</c:v>
                </c:pt>
                <c:pt idx="7">
                  <c:v>0.70000000000000007</c:v>
                </c:pt>
                <c:pt idx="8">
                  <c:v>0.8</c:v>
                </c:pt>
                <c:pt idx="9">
                  <c:v>0.9</c:v>
                </c:pt>
                <c:pt idx="10">
                  <c:v>1</c:v>
                </c:pt>
                <c:pt idx="11">
                  <c:v>1.1000000000000001</c:v>
                </c:pt>
                <c:pt idx="12">
                  <c:v>1.2000000000000002</c:v>
                </c:pt>
                <c:pt idx="13">
                  <c:v>1.3</c:v>
                </c:pt>
                <c:pt idx="14">
                  <c:v>1.4000000000000001</c:v>
                </c:pt>
                <c:pt idx="15">
                  <c:v>1.5</c:v>
                </c:pt>
                <c:pt idx="16">
                  <c:v>1.6</c:v>
                </c:pt>
                <c:pt idx="17">
                  <c:v>1.7000000000000002</c:v>
                </c:pt>
                <c:pt idx="18">
                  <c:v>1.8</c:v>
                </c:pt>
                <c:pt idx="19">
                  <c:v>1.9000000000000001</c:v>
                </c:pt>
                <c:pt idx="20">
                  <c:v>2</c:v>
                </c:pt>
                <c:pt idx="21">
                  <c:v>2.1</c:v>
                </c:pt>
                <c:pt idx="22">
                  <c:v>2.2000000000000002</c:v>
                </c:pt>
                <c:pt idx="23">
                  <c:v>2.3000000000000003</c:v>
                </c:pt>
                <c:pt idx="24">
                  <c:v>2.4000000000000004</c:v>
                </c:pt>
                <c:pt idx="25">
                  <c:v>2.5</c:v>
                </c:pt>
                <c:pt idx="26">
                  <c:v>2.6</c:v>
                </c:pt>
                <c:pt idx="27">
                  <c:v>2.7</c:v>
                </c:pt>
                <c:pt idx="28">
                  <c:v>2.8000000000000003</c:v>
                </c:pt>
                <c:pt idx="29">
                  <c:v>2.9000000000000004</c:v>
                </c:pt>
                <c:pt idx="30">
                  <c:v>3</c:v>
                </c:pt>
                <c:pt idx="31">
                  <c:v>3.1</c:v>
                </c:pt>
                <c:pt idx="32">
                  <c:v>3.2</c:v>
                </c:pt>
                <c:pt idx="33">
                  <c:v>3.3000000000000003</c:v>
                </c:pt>
                <c:pt idx="34">
                  <c:v>3.4000000000000004</c:v>
                </c:pt>
                <c:pt idx="35">
                  <c:v>3.5</c:v>
                </c:pt>
                <c:pt idx="36">
                  <c:v>3.6</c:v>
                </c:pt>
                <c:pt idx="37">
                  <c:v>3.7</c:v>
                </c:pt>
                <c:pt idx="38">
                  <c:v>3.8000000000000003</c:v>
                </c:pt>
                <c:pt idx="39">
                  <c:v>3.9000000000000004</c:v>
                </c:pt>
                <c:pt idx="40">
                  <c:v>4</c:v>
                </c:pt>
                <c:pt idx="41">
                  <c:v>4.1000000000000005</c:v>
                </c:pt>
                <c:pt idx="42">
                  <c:v>4.2</c:v>
                </c:pt>
                <c:pt idx="43">
                  <c:v>4.3</c:v>
                </c:pt>
                <c:pt idx="44">
                  <c:v>4.4000000000000004</c:v>
                </c:pt>
                <c:pt idx="45">
                  <c:v>4.5</c:v>
                </c:pt>
                <c:pt idx="46">
                  <c:v>4.6000000000000005</c:v>
                </c:pt>
                <c:pt idx="47">
                  <c:v>4.7</c:v>
                </c:pt>
                <c:pt idx="48">
                  <c:v>4.8000000000000007</c:v>
                </c:pt>
                <c:pt idx="49">
                  <c:v>4.9000000000000004</c:v>
                </c:pt>
                <c:pt idx="50">
                  <c:v>5</c:v>
                </c:pt>
                <c:pt idx="51">
                  <c:v>5.1000000000000005</c:v>
                </c:pt>
                <c:pt idx="52">
                  <c:v>5.2</c:v>
                </c:pt>
                <c:pt idx="53">
                  <c:v>5.3000000000000007</c:v>
                </c:pt>
                <c:pt idx="54">
                  <c:v>5.4</c:v>
                </c:pt>
                <c:pt idx="55">
                  <c:v>5.5</c:v>
                </c:pt>
                <c:pt idx="56">
                  <c:v>5.6000000000000005</c:v>
                </c:pt>
                <c:pt idx="57">
                  <c:v>5.7</c:v>
                </c:pt>
                <c:pt idx="58">
                  <c:v>5.8000000000000007</c:v>
                </c:pt>
                <c:pt idx="59">
                  <c:v>5.9</c:v>
                </c:pt>
                <c:pt idx="60">
                  <c:v>6</c:v>
                </c:pt>
                <c:pt idx="61">
                  <c:v>6.1000000000000005</c:v>
                </c:pt>
                <c:pt idx="62">
                  <c:v>6.2</c:v>
                </c:pt>
                <c:pt idx="63">
                  <c:v>6.3000000000000007</c:v>
                </c:pt>
                <c:pt idx="64">
                  <c:v>6.4</c:v>
                </c:pt>
                <c:pt idx="65">
                  <c:v>6.5</c:v>
                </c:pt>
                <c:pt idx="66">
                  <c:v>6.6000000000000005</c:v>
                </c:pt>
                <c:pt idx="67">
                  <c:v>6.7</c:v>
                </c:pt>
                <c:pt idx="68">
                  <c:v>6.8000000000000007</c:v>
                </c:pt>
                <c:pt idx="69">
                  <c:v>6.9</c:v>
                </c:pt>
                <c:pt idx="70">
                  <c:v>7</c:v>
                </c:pt>
                <c:pt idx="71">
                  <c:v>7.1000000000000005</c:v>
                </c:pt>
                <c:pt idx="72">
                  <c:v>7.2</c:v>
                </c:pt>
                <c:pt idx="73">
                  <c:v>7.3000000000000007</c:v>
                </c:pt>
                <c:pt idx="74">
                  <c:v>7.4</c:v>
                </c:pt>
                <c:pt idx="75">
                  <c:v>7.5</c:v>
                </c:pt>
                <c:pt idx="76">
                  <c:v>7.6000000000000005</c:v>
                </c:pt>
                <c:pt idx="77">
                  <c:v>7.7</c:v>
                </c:pt>
                <c:pt idx="78">
                  <c:v>7.8000000000000007</c:v>
                </c:pt>
                <c:pt idx="79">
                  <c:v>7.9</c:v>
                </c:pt>
                <c:pt idx="80">
                  <c:v>8</c:v>
                </c:pt>
                <c:pt idx="81">
                  <c:v>8.1</c:v>
                </c:pt>
                <c:pt idx="82">
                  <c:v>8.2000000000000011</c:v>
                </c:pt>
                <c:pt idx="83">
                  <c:v>8.3000000000000007</c:v>
                </c:pt>
                <c:pt idx="84">
                  <c:v>8.4</c:v>
                </c:pt>
                <c:pt idx="85">
                  <c:v>8.5</c:v>
                </c:pt>
                <c:pt idx="86">
                  <c:v>8.6</c:v>
                </c:pt>
                <c:pt idx="87">
                  <c:v>8.7000000000000011</c:v>
                </c:pt>
                <c:pt idx="88">
                  <c:v>8.8000000000000007</c:v>
                </c:pt>
                <c:pt idx="89">
                  <c:v>8.9</c:v>
                </c:pt>
                <c:pt idx="90">
                  <c:v>9</c:v>
                </c:pt>
                <c:pt idx="91">
                  <c:v>9.1</c:v>
                </c:pt>
                <c:pt idx="92">
                  <c:v>9.2000000000000011</c:v>
                </c:pt>
                <c:pt idx="93">
                  <c:v>9.3000000000000007</c:v>
                </c:pt>
                <c:pt idx="94">
                  <c:v>9.4</c:v>
                </c:pt>
                <c:pt idx="95">
                  <c:v>9.5</c:v>
                </c:pt>
                <c:pt idx="96">
                  <c:v>9.6000000000000014</c:v>
                </c:pt>
                <c:pt idx="97">
                  <c:v>9.7000000000000011</c:v>
                </c:pt>
                <c:pt idx="98">
                  <c:v>9.8000000000000007</c:v>
                </c:pt>
                <c:pt idx="99">
                  <c:v>9.9</c:v>
                </c:pt>
                <c:pt idx="100">
                  <c:v>10</c:v>
                </c:pt>
                <c:pt idx="101">
                  <c:v>10.100000000000001</c:v>
                </c:pt>
                <c:pt idx="102">
                  <c:v>10.200000000000001</c:v>
                </c:pt>
                <c:pt idx="103">
                  <c:v>10.3</c:v>
                </c:pt>
                <c:pt idx="104">
                  <c:v>10.4</c:v>
                </c:pt>
                <c:pt idx="105">
                  <c:v>10.5</c:v>
                </c:pt>
                <c:pt idx="106">
                  <c:v>10.600000000000001</c:v>
                </c:pt>
                <c:pt idx="107">
                  <c:v>10.700000000000001</c:v>
                </c:pt>
                <c:pt idx="108">
                  <c:v>10.8</c:v>
                </c:pt>
                <c:pt idx="109">
                  <c:v>10.9</c:v>
                </c:pt>
                <c:pt idx="110">
                  <c:v>11</c:v>
                </c:pt>
                <c:pt idx="111">
                  <c:v>11.100000000000001</c:v>
                </c:pt>
                <c:pt idx="112">
                  <c:v>11.200000000000001</c:v>
                </c:pt>
                <c:pt idx="113">
                  <c:v>11.3</c:v>
                </c:pt>
                <c:pt idx="114">
                  <c:v>11.4</c:v>
                </c:pt>
                <c:pt idx="115">
                  <c:v>11.5</c:v>
                </c:pt>
                <c:pt idx="116">
                  <c:v>11.600000000000001</c:v>
                </c:pt>
                <c:pt idx="117">
                  <c:v>11.700000000000001</c:v>
                </c:pt>
                <c:pt idx="118">
                  <c:v>11.8</c:v>
                </c:pt>
                <c:pt idx="119">
                  <c:v>11.9</c:v>
                </c:pt>
                <c:pt idx="120">
                  <c:v>12</c:v>
                </c:pt>
                <c:pt idx="121">
                  <c:v>12.100000000000001</c:v>
                </c:pt>
                <c:pt idx="122">
                  <c:v>12.200000000000001</c:v>
                </c:pt>
                <c:pt idx="123">
                  <c:v>12.3</c:v>
                </c:pt>
                <c:pt idx="124">
                  <c:v>12.4</c:v>
                </c:pt>
                <c:pt idx="125">
                  <c:v>12.5</c:v>
                </c:pt>
                <c:pt idx="126">
                  <c:v>12.600000000000001</c:v>
                </c:pt>
                <c:pt idx="127">
                  <c:v>12.700000000000001</c:v>
                </c:pt>
                <c:pt idx="128">
                  <c:v>12.8</c:v>
                </c:pt>
                <c:pt idx="129">
                  <c:v>12.9</c:v>
                </c:pt>
                <c:pt idx="130">
                  <c:v>13</c:v>
                </c:pt>
                <c:pt idx="131">
                  <c:v>13.100000000000001</c:v>
                </c:pt>
                <c:pt idx="132">
                  <c:v>13.200000000000001</c:v>
                </c:pt>
                <c:pt idx="133">
                  <c:v>13.3</c:v>
                </c:pt>
                <c:pt idx="134">
                  <c:v>13.4</c:v>
                </c:pt>
                <c:pt idx="135">
                  <c:v>13.5</c:v>
                </c:pt>
                <c:pt idx="136">
                  <c:v>13.600000000000001</c:v>
                </c:pt>
                <c:pt idx="137">
                  <c:v>13.700000000000001</c:v>
                </c:pt>
                <c:pt idx="138">
                  <c:v>13.8</c:v>
                </c:pt>
                <c:pt idx="139">
                  <c:v>13.9</c:v>
                </c:pt>
                <c:pt idx="140">
                  <c:v>14</c:v>
                </c:pt>
                <c:pt idx="141">
                  <c:v>14.100000000000001</c:v>
                </c:pt>
                <c:pt idx="142">
                  <c:v>14.200000000000001</c:v>
                </c:pt>
                <c:pt idx="143">
                  <c:v>14.3</c:v>
                </c:pt>
                <c:pt idx="144">
                  <c:v>14.4</c:v>
                </c:pt>
                <c:pt idx="145">
                  <c:v>14.5</c:v>
                </c:pt>
                <c:pt idx="146">
                  <c:v>14.600000000000001</c:v>
                </c:pt>
                <c:pt idx="147">
                  <c:v>14.700000000000001</c:v>
                </c:pt>
                <c:pt idx="148">
                  <c:v>14.8</c:v>
                </c:pt>
                <c:pt idx="149">
                  <c:v>14.9</c:v>
                </c:pt>
                <c:pt idx="150">
                  <c:v>15</c:v>
                </c:pt>
              </c:numCache>
            </c:numRef>
          </c:xVal>
          <c:yVal>
            <c:numRef>
              <c:f>Eff_vs_IOUT!$AP$7:$AP$157</c:f>
              <c:numCache>
                <c:formatCode>General</c:formatCode>
                <c:ptCount val="151"/>
                <c:pt idx="0">
                  <c:v>0</c:v>
                </c:pt>
                <c:pt idx="1">
                  <c:v>1.4907119849998595E-4</c:v>
                </c:pt>
                <c:pt idx="2">
                  <c:v>4.2163702135578394E-4</c:v>
                </c:pt>
                <c:pt idx="3">
                  <c:v>7.7459666924148331E-4</c:v>
                </c:pt>
                <c:pt idx="4">
                  <c:v>1.1925695879998872E-3</c:v>
                </c:pt>
                <c:pt idx="5">
                  <c:v>1.6666666666666661E-3</c:v>
                </c:pt>
                <c:pt idx="6">
                  <c:v>2.1908902300206653E-3</c:v>
                </c:pt>
                <c:pt idx="7">
                  <c:v>2.7608372321131554E-3</c:v>
                </c:pt>
                <c:pt idx="8">
                  <c:v>3.3866666666666659E-3</c:v>
                </c:pt>
                <c:pt idx="9">
                  <c:v>4.0949999999999997E-3</c:v>
                </c:pt>
                <c:pt idx="10">
                  <c:v>4.8866666666666676E-3</c:v>
                </c:pt>
                <c:pt idx="11">
                  <c:v>5.7616666666666667E-3</c:v>
                </c:pt>
                <c:pt idx="12">
                  <c:v>6.7200000000000046E-3</c:v>
                </c:pt>
                <c:pt idx="13">
                  <c:v>7.7616666666666667E-3</c:v>
                </c:pt>
                <c:pt idx="14">
                  <c:v>8.8866666666666677E-3</c:v>
                </c:pt>
                <c:pt idx="15">
                  <c:v>1.0095000000000002E-2</c:v>
                </c:pt>
                <c:pt idx="16">
                  <c:v>1.1386666666666668E-2</c:v>
                </c:pt>
                <c:pt idx="17">
                  <c:v>1.2761666666666669E-2</c:v>
                </c:pt>
                <c:pt idx="18">
                  <c:v>1.4220000000000003E-2</c:v>
                </c:pt>
                <c:pt idx="19">
                  <c:v>1.5761666666666667E-2</c:v>
                </c:pt>
                <c:pt idx="20">
                  <c:v>1.7386666666666672E-2</c:v>
                </c:pt>
                <c:pt idx="21">
                  <c:v>1.9095000000000001E-2</c:v>
                </c:pt>
                <c:pt idx="22">
                  <c:v>2.0886666666666664E-2</c:v>
                </c:pt>
                <c:pt idx="23">
                  <c:v>2.2761666666666677E-2</c:v>
                </c:pt>
                <c:pt idx="24">
                  <c:v>2.4720000000000013E-2</c:v>
                </c:pt>
                <c:pt idx="25">
                  <c:v>2.6761666666666677E-2</c:v>
                </c:pt>
                <c:pt idx="26">
                  <c:v>2.8886666666666665E-2</c:v>
                </c:pt>
                <c:pt idx="27">
                  <c:v>3.1094999999999998E-2</c:v>
                </c:pt>
                <c:pt idx="28">
                  <c:v>3.3386666666666669E-2</c:v>
                </c:pt>
                <c:pt idx="29">
                  <c:v>3.5761666666666685E-2</c:v>
                </c:pt>
                <c:pt idx="30">
                  <c:v>3.8220000000000004E-2</c:v>
                </c:pt>
                <c:pt idx="31">
                  <c:v>4.0761666666666668E-2</c:v>
                </c:pt>
                <c:pt idx="32">
                  <c:v>4.3386666666666664E-2</c:v>
                </c:pt>
                <c:pt idx="33">
                  <c:v>4.6095000000000004E-2</c:v>
                </c:pt>
                <c:pt idx="34">
                  <c:v>4.8886666666666655E-2</c:v>
                </c:pt>
                <c:pt idx="35">
                  <c:v>5.176166666666665E-2</c:v>
                </c:pt>
                <c:pt idx="36">
                  <c:v>5.4719999999999998E-2</c:v>
                </c:pt>
                <c:pt idx="37">
                  <c:v>5.7761666666666676E-2</c:v>
                </c:pt>
                <c:pt idx="38">
                  <c:v>6.0886666666666658E-2</c:v>
                </c:pt>
                <c:pt idx="39">
                  <c:v>6.4094999999999985E-2</c:v>
                </c:pt>
                <c:pt idx="40">
                  <c:v>6.7386666666666678E-2</c:v>
                </c:pt>
                <c:pt idx="41">
                  <c:v>7.0761666666666681E-2</c:v>
                </c:pt>
                <c:pt idx="42">
                  <c:v>7.4220000000000008E-2</c:v>
                </c:pt>
                <c:pt idx="43">
                  <c:v>7.7761666666666673E-2</c:v>
                </c:pt>
                <c:pt idx="44">
                  <c:v>8.1386666666666663E-2</c:v>
                </c:pt>
                <c:pt idx="45">
                  <c:v>8.5095000000000004E-2</c:v>
                </c:pt>
                <c:pt idx="46">
                  <c:v>8.8886666666666697E-2</c:v>
                </c:pt>
                <c:pt idx="47">
                  <c:v>9.2761666666666659E-2</c:v>
                </c:pt>
                <c:pt idx="48">
                  <c:v>9.672000000000007E-2</c:v>
                </c:pt>
                <c:pt idx="49">
                  <c:v>0.10076166666666665</c:v>
                </c:pt>
                <c:pt idx="50">
                  <c:v>0.1048866666666667</c:v>
                </c:pt>
                <c:pt idx="51">
                  <c:v>0.10909500000000005</c:v>
                </c:pt>
                <c:pt idx="52">
                  <c:v>0.11338666666666666</c:v>
                </c:pt>
                <c:pt idx="53">
                  <c:v>0.11776166666666668</c:v>
                </c:pt>
                <c:pt idx="54">
                  <c:v>0.12221999999999998</c:v>
                </c:pt>
                <c:pt idx="55">
                  <c:v>0.12676166666666666</c:v>
                </c:pt>
                <c:pt idx="56">
                  <c:v>0.13138666666666671</c:v>
                </c:pt>
                <c:pt idx="57">
                  <c:v>0.13609500000000002</c:v>
                </c:pt>
                <c:pt idx="58">
                  <c:v>0.14088666666666669</c:v>
                </c:pt>
                <c:pt idx="59">
                  <c:v>0.14576166666666671</c:v>
                </c:pt>
                <c:pt idx="60">
                  <c:v>0.15071999999999999</c:v>
                </c:pt>
                <c:pt idx="61">
                  <c:v>0.15576166666666671</c:v>
                </c:pt>
                <c:pt idx="62">
                  <c:v>0.16088666666666668</c:v>
                </c:pt>
                <c:pt idx="63">
                  <c:v>0.16609500000000008</c:v>
                </c:pt>
                <c:pt idx="64">
                  <c:v>0.17138666666666669</c:v>
                </c:pt>
                <c:pt idx="65">
                  <c:v>0.17676166666666671</c:v>
                </c:pt>
                <c:pt idx="66">
                  <c:v>0.18222000000000002</c:v>
                </c:pt>
                <c:pt idx="67">
                  <c:v>0.18776166666666663</c:v>
                </c:pt>
                <c:pt idx="68">
                  <c:v>0.19338666666666662</c:v>
                </c:pt>
                <c:pt idx="69">
                  <c:v>0.19909499999999994</c:v>
                </c:pt>
                <c:pt idx="70">
                  <c:v>0.20488666666666661</c:v>
                </c:pt>
                <c:pt idx="71">
                  <c:v>0.21076166666666668</c:v>
                </c:pt>
                <c:pt idx="72">
                  <c:v>0.21672</c:v>
                </c:pt>
                <c:pt idx="73">
                  <c:v>0.22276166666666664</c:v>
                </c:pt>
                <c:pt idx="74">
                  <c:v>0.22888666666666665</c:v>
                </c:pt>
                <c:pt idx="75">
                  <c:v>0.235095</c:v>
                </c:pt>
                <c:pt idx="76">
                  <c:v>0.24138666666666664</c:v>
                </c:pt>
                <c:pt idx="77">
                  <c:v>0.24776166666666669</c:v>
                </c:pt>
                <c:pt idx="78">
                  <c:v>0.25422</c:v>
                </c:pt>
                <c:pt idx="79">
                  <c:v>0.26076166666666656</c:v>
                </c:pt>
                <c:pt idx="80">
                  <c:v>0.26738666666666666</c:v>
                </c:pt>
                <c:pt idx="81">
                  <c:v>0.27409500000000003</c:v>
                </c:pt>
                <c:pt idx="82">
                  <c:v>0.28088666666666678</c:v>
                </c:pt>
                <c:pt idx="83">
                  <c:v>0.28776166666666664</c:v>
                </c:pt>
                <c:pt idx="84">
                  <c:v>0.29471999999999993</c:v>
                </c:pt>
                <c:pt idx="85">
                  <c:v>0.30176166666666665</c:v>
                </c:pt>
                <c:pt idx="86">
                  <c:v>0.3088866666666667</c:v>
                </c:pt>
                <c:pt idx="87">
                  <c:v>0.31609500000000013</c:v>
                </c:pt>
                <c:pt idx="88">
                  <c:v>0.32338666666666666</c:v>
                </c:pt>
                <c:pt idx="89">
                  <c:v>0.33076166666666668</c:v>
                </c:pt>
                <c:pt idx="90">
                  <c:v>0.33821999999999997</c:v>
                </c:pt>
                <c:pt idx="91">
                  <c:v>0.34576166666666663</c:v>
                </c:pt>
                <c:pt idx="92">
                  <c:v>0.35338666666666674</c:v>
                </c:pt>
                <c:pt idx="93">
                  <c:v>0.361095</c:v>
                </c:pt>
                <c:pt idx="94">
                  <c:v>0.36888666666666664</c:v>
                </c:pt>
                <c:pt idx="95">
                  <c:v>0.37676166666666666</c:v>
                </c:pt>
                <c:pt idx="96">
                  <c:v>0.38472000000000012</c:v>
                </c:pt>
                <c:pt idx="97">
                  <c:v>0.39276166666666673</c:v>
                </c:pt>
                <c:pt idx="98">
                  <c:v>0.40088666666666661</c:v>
                </c:pt>
                <c:pt idx="99">
                  <c:v>0.40909500000000004</c:v>
                </c:pt>
                <c:pt idx="100">
                  <c:v>0.41738666666666668</c:v>
                </c:pt>
                <c:pt idx="101">
                  <c:v>0.42576166666666682</c:v>
                </c:pt>
                <c:pt idx="102">
                  <c:v>0.43422000000000011</c:v>
                </c:pt>
                <c:pt idx="103">
                  <c:v>0.44276166666666672</c:v>
                </c:pt>
                <c:pt idx="104">
                  <c:v>0.45138666666666666</c:v>
                </c:pt>
                <c:pt idx="105">
                  <c:v>0.46009500000000003</c:v>
                </c:pt>
                <c:pt idx="106">
                  <c:v>0.46888666666666673</c:v>
                </c:pt>
                <c:pt idx="107">
                  <c:v>0.47776166666666681</c:v>
                </c:pt>
                <c:pt idx="108">
                  <c:v>0.4867200000000001</c:v>
                </c:pt>
                <c:pt idx="109">
                  <c:v>0.49576166666666677</c:v>
                </c:pt>
                <c:pt idx="110">
                  <c:v>0.50488666666666671</c:v>
                </c:pt>
                <c:pt idx="111">
                  <c:v>0.5140950000000003</c:v>
                </c:pt>
                <c:pt idx="112">
                  <c:v>0.52338666666666678</c:v>
                </c:pt>
                <c:pt idx="113">
                  <c:v>0.53276166666666669</c:v>
                </c:pt>
                <c:pt idx="114">
                  <c:v>0.54222000000000004</c:v>
                </c:pt>
                <c:pt idx="115">
                  <c:v>0.55176166666666682</c:v>
                </c:pt>
                <c:pt idx="116">
                  <c:v>0.56138666666666681</c:v>
                </c:pt>
                <c:pt idx="117">
                  <c:v>0.57109500000000024</c:v>
                </c:pt>
                <c:pt idx="118">
                  <c:v>0.58088666666666688</c:v>
                </c:pt>
                <c:pt idx="119">
                  <c:v>0.59076166666666674</c:v>
                </c:pt>
                <c:pt idx="120">
                  <c:v>0.60072000000000003</c:v>
                </c:pt>
                <c:pt idx="121">
                  <c:v>0.61076166666666676</c:v>
                </c:pt>
                <c:pt idx="122">
                  <c:v>0.62088666666666692</c:v>
                </c:pt>
                <c:pt idx="123">
                  <c:v>0.63109500000000007</c:v>
                </c:pt>
                <c:pt idx="124">
                  <c:v>0.64138666666666688</c:v>
                </c:pt>
                <c:pt idx="125">
                  <c:v>0.65176166666666668</c:v>
                </c:pt>
                <c:pt idx="126">
                  <c:v>0.66222000000000025</c:v>
                </c:pt>
                <c:pt idx="127">
                  <c:v>0.6727616666666667</c:v>
                </c:pt>
                <c:pt idx="128">
                  <c:v>0.6833866666666667</c:v>
                </c:pt>
                <c:pt idx="129">
                  <c:v>0.69409500000000002</c:v>
                </c:pt>
                <c:pt idx="130">
                  <c:v>0.70488666666666677</c:v>
                </c:pt>
                <c:pt idx="131">
                  <c:v>0.71576166666666663</c:v>
                </c:pt>
                <c:pt idx="132">
                  <c:v>0.72672000000000014</c:v>
                </c:pt>
                <c:pt idx="133">
                  <c:v>0.73776166666666665</c:v>
                </c:pt>
                <c:pt idx="134">
                  <c:v>0.74888666666666659</c:v>
                </c:pt>
                <c:pt idx="135">
                  <c:v>0.76009500000000008</c:v>
                </c:pt>
                <c:pt idx="136">
                  <c:v>0.77138666666666678</c:v>
                </c:pt>
                <c:pt idx="137">
                  <c:v>0.78276166666666669</c:v>
                </c:pt>
                <c:pt idx="138">
                  <c:v>0.79422000000000004</c:v>
                </c:pt>
                <c:pt idx="139">
                  <c:v>0.80576166666666671</c:v>
                </c:pt>
                <c:pt idx="140">
                  <c:v>0.81738666666666659</c:v>
                </c:pt>
                <c:pt idx="141">
                  <c:v>0.82909500000000003</c:v>
                </c:pt>
                <c:pt idx="142">
                  <c:v>0.84088666666666689</c:v>
                </c:pt>
                <c:pt idx="143">
                  <c:v>0.85276166666666664</c:v>
                </c:pt>
                <c:pt idx="144">
                  <c:v>0.86472000000000004</c:v>
                </c:pt>
                <c:pt idx="145">
                  <c:v>0.87676166666666677</c:v>
                </c:pt>
                <c:pt idx="146">
                  <c:v>0.88888666666666682</c:v>
                </c:pt>
                <c:pt idx="147">
                  <c:v>0.90109500000000009</c:v>
                </c:pt>
                <c:pt idx="148">
                  <c:v>0.91338666666666668</c:v>
                </c:pt>
                <c:pt idx="149">
                  <c:v>0.9257616666666667</c:v>
                </c:pt>
                <c:pt idx="150">
                  <c:v>0.93822000000000016</c:v>
                </c:pt>
              </c:numCache>
            </c:numRef>
          </c:yVal>
          <c:smooth val="1"/>
          <c:extLst>
            <c:ext xmlns:c16="http://schemas.microsoft.com/office/drawing/2014/chart" uri="{C3380CC4-5D6E-409C-BE32-E72D297353CC}">
              <c16:uniqueId val="{00000003-50A0-4BAE-A18F-D1A285C4A90E}"/>
            </c:ext>
          </c:extLst>
        </c:ser>
        <c:dLbls>
          <c:showLegendKey val="0"/>
          <c:showVal val="0"/>
          <c:showCatName val="0"/>
          <c:showSerName val="0"/>
          <c:showPercent val="0"/>
          <c:showBubbleSize val="0"/>
        </c:dLbls>
        <c:axId val="555656704"/>
        <c:axId val="555646336"/>
      </c:scatterChart>
      <c:valAx>
        <c:axId val="555642880"/>
        <c:scaling>
          <c:orientation val="minMax"/>
        </c:scaling>
        <c:delete val="0"/>
        <c:axPos val="b"/>
        <c:majorGridlines/>
        <c:numFmt formatCode="General" sourceLinked="1"/>
        <c:majorTickMark val="out"/>
        <c:minorTickMark val="none"/>
        <c:tickLblPos val="nextTo"/>
        <c:crossAx val="555644416"/>
        <c:crosses val="autoZero"/>
        <c:crossBetween val="midCat"/>
      </c:valAx>
      <c:valAx>
        <c:axId val="555644416"/>
        <c:scaling>
          <c:orientation val="minMax"/>
          <c:max val="100"/>
          <c:min val="60"/>
        </c:scaling>
        <c:delete val="0"/>
        <c:axPos val="l"/>
        <c:majorGridlines/>
        <c:title>
          <c:tx>
            <c:rich>
              <a:bodyPr rot="-5400000" vert="horz"/>
              <a:lstStyle/>
              <a:p>
                <a:pPr>
                  <a:defRPr sz="1400"/>
                </a:pPr>
                <a:r>
                  <a:rPr lang="en-US" sz="1400"/>
                  <a:t>Efficiency</a:t>
                </a:r>
                <a:r>
                  <a:rPr lang="en-US" sz="1400" baseline="0"/>
                  <a:t> (%)</a:t>
                </a:r>
                <a:endParaRPr lang="en-US" sz="1400"/>
              </a:p>
            </c:rich>
          </c:tx>
          <c:overlay val="0"/>
        </c:title>
        <c:numFmt formatCode="General" sourceLinked="1"/>
        <c:majorTickMark val="out"/>
        <c:minorTickMark val="none"/>
        <c:tickLblPos val="nextTo"/>
        <c:crossAx val="555642880"/>
        <c:crosses val="autoZero"/>
        <c:crossBetween val="midCat"/>
      </c:valAx>
      <c:valAx>
        <c:axId val="555646336"/>
        <c:scaling>
          <c:orientation val="minMax"/>
        </c:scaling>
        <c:delete val="0"/>
        <c:axPos val="r"/>
        <c:title>
          <c:tx>
            <c:rich>
              <a:bodyPr rot="-5400000" vert="horz"/>
              <a:lstStyle/>
              <a:p>
                <a:pPr>
                  <a:defRPr sz="1400"/>
                </a:pPr>
                <a:r>
                  <a:rPr lang="en-US" sz="1400"/>
                  <a:t>Losses</a:t>
                </a:r>
                <a:r>
                  <a:rPr lang="en-US" sz="1400" baseline="0"/>
                  <a:t> (W)</a:t>
                </a:r>
                <a:endParaRPr lang="en-US" sz="1400"/>
              </a:p>
            </c:rich>
          </c:tx>
          <c:overlay val="0"/>
        </c:title>
        <c:numFmt formatCode="General" sourceLinked="1"/>
        <c:majorTickMark val="out"/>
        <c:minorTickMark val="none"/>
        <c:tickLblPos val="nextTo"/>
        <c:crossAx val="555656704"/>
        <c:crosses val="max"/>
        <c:crossBetween val="midCat"/>
      </c:valAx>
      <c:valAx>
        <c:axId val="555656704"/>
        <c:scaling>
          <c:orientation val="minMax"/>
        </c:scaling>
        <c:delete val="1"/>
        <c:axPos val="b"/>
        <c:title>
          <c:tx>
            <c:rich>
              <a:bodyPr/>
              <a:lstStyle/>
              <a:p>
                <a:pPr>
                  <a:defRPr/>
                </a:pPr>
                <a:r>
                  <a:rPr lang="en-US"/>
                  <a:t>Loac</a:t>
                </a:r>
                <a:r>
                  <a:rPr lang="en-US" baseline="0"/>
                  <a:t> Current (A)</a:t>
                </a:r>
                <a:endParaRPr lang="en-US"/>
              </a:p>
            </c:rich>
          </c:tx>
          <c:overlay val="0"/>
        </c:title>
        <c:numFmt formatCode="General" sourceLinked="1"/>
        <c:majorTickMark val="out"/>
        <c:minorTickMark val="none"/>
        <c:tickLblPos val="nextTo"/>
        <c:crossAx val="555646336"/>
        <c:crosses val="autoZero"/>
        <c:crossBetween val="midCat"/>
      </c:valAx>
    </c:plotArea>
    <c:legend>
      <c:legendPos val="r"/>
      <c:layout>
        <c:manualLayout>
          <c:xMode val="edge"/>
          <c:yMode val="edge"/>
          <c:x val="0.51894403926190358"/>
          <c:y val="6.4862204724409449E-3"/>
          <c:w val="0.39609572935704079"/>
          <c:h val="0.12183653099700564"/>
        </c:manualLayout>
      </c:layout>
      <c:overlay val="1"/>
    </c:legend>
    <c:plotVisOnly val="1"/>
    <c:dispBlanksAs val="gap"/>
    <c:showDLblsOverMax val="0"/>
  </c:chart>
  <c:spPr>
    <a:ln>
      <a:noFill/>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l">
              <a:defRPr sz="2400"/>
            </a:pPr>
            <a:r>
              <a:rPr lang="el-GR" sz="2400"/>
              <a:t>η</a:t>
            </a:r>
            <a:endParaRPr lang="en-US" sz="2400"/>
          </a:p>
        </c:rich>
      </c:tx>
      <c:layout>
        <c:manualLayout>
          <c:xMode val="edge"/>
          <c:yMode val="edge"/>
          <c:x val="9.2321838295158831E-2"/>
          <c:y val="6.7069081153588199E-3"/>
        </c:manualLayout>
      </c:layout>
      <c:overlay val="1"/>
    </c:title>
    <c:autoTitleDeleted val="0"/>
    <c:plotArea>
      <c:layout>
        <c:manualLayout>
          <c:layoutTarget val="inner"/>
          <c:xMode val="edge"/>
          <c:yMode val="edge"/>
          <c:x val="9.4343575816580413E-2"/>
          <c:y val="0.12777504924560487"/>
          <c:w val="0.82170691922728745"/>
          <c:h val="0.74982770867653059"/>
        </c:manualLayout>
      </c:layout>
      <c:scatterChart>
        <c:scatterStyle val="smoothMarker"/>
        <c:varyColors val="0"/>
        <c:ser>
          <c:idx val="0"/>
          <c:order val="0"/>
          <c:tx>
            <c:v>Eff</c:v>
          </c:tx>
          <c:spPr>
            <a:ln>
              <a:solidFill>
                <a:srgbClr val="FF0000"/>
              </a:solidFill>
            </a:ln>
          </c:spPr>
          <c:marker>
            <c:symbol val="none"/>
          </c:marker>
          <c:xVal>
            <c:numRef>
              <c:f>Eff_vs_IOUT!$S$7:$S$157</c:f>
              <c:numCache>
                <c:formatCode>General</c:formatCode>
                <c:ptCount val="151"/>
                <c:pt idx="0">
                  <c:v>0</c:v>
                </c:pt>
                <c:pt idx="1">
                  <c:v>0.1</c:v>
                </c:pt>
                <c:pt idx="2">
                  <c:v>0.2</c:v>
                </c:pt>
                <c:pt idx="3">
                  <c:v>0.30000000000000004</c:v>
                </c:pt>
                <c:pt idx="4">
                  <c:v>0.4</c:v>
                </c:pt>
                <c:pt idx="5">
                  <c:v>0.5</c:v>
                </c:pt>
                <c:pt idx="6">
                  <c:v>0.60000000000000009</c:v>
                </c:pt>
                <c:pt idx="7">
                  <c:v>0.70000000000000007</c:v>
                </c:pt>
                <c:pt idx="8">
                  <c:v>0.8</c:v>
                </c:pt>
                <c:pt idx="9">
                  <c:v>0.9</c:v>
                </c:pt>
                <c:pt idx="10">
                  <c:v>1</c:v>
                </c:pt>
                <c:pt idx="11">
                  <c:v>1.1000000000000001</c:v>
                </c:pt>
                <c:pt idx="12">
                  <c:v>1.2000000000000002</c:v>
                </c:pt>
                <c:pt idx="13">
                  <c:v>1.3</c:v>
                </c:pt>
                <c:pt idx="14">
                  <c:v>1.4000000000000001</c:v>
                </c:pt>
                <c:pt idx="15">
                  <c:v>1.5</c:v>
                </c:pt>
                <c:pt idx="16">
                  <c:v>1.6</c:v>
                </c:pt>
                <c:pt idx="17">
                  <c:v>1.7000000000000002</c:v>
                </c:pt>
                <c:pt idx="18">
                  <c:v>1.8</c:v>
                </c:pt>
                <c:pt idx="19">
                  <c:v>1.9000000000000001</c:v>
                </c:pt>
                <c:pt idx="20">
                  <c:v>2</c:v>
                </c:pt>
                <c:pt idx="21">
                  <c:v>2.1</c:v>
                </c:pt>
                <c:pt idx="22">
                  <c:v>2.2000000000000002</c:v>
                </c:pt>
                <c:pt idx="23">
                  <c:v>2.3000000000000003</c:v>
                </c:pt>
                <c:pt idx="24">
                  <c:v>2.4000000000000004</c:v>
                </c:pt>
                <c:pt idx="25">
                  <c:v>2.5</c:v>
                </c:pt>
                <c:pt idx="26">
                  <c:v>2.6</c:v>
                </c:pt>
                <c:pt idx="27">
                  <c:v>2.7</c:v>
                </c:pt>
                <c:pt idx="28">
                  <c:v>2.8000000000000003</c:v>
                </c:pt>
                <c:pt idx="29">
                  <c:v>2.9000000000000004</c:v>
                </c:pt>
                <c:pt idx="30">
                  <c:v>3</c:v>
                </c:pt>
                <c:pt idx="31">
                  <c:v>3.1</c:v>
                </c:pt>
                <c:pt idx="32">
                  <c:v>3.2</c:v>
                </c:pt>
                <c:pt idx="33">
                  <c:v>3.3000000000000003</c:v>
                </c:pt>
                <c:pt idx="34">
                  <c:v>3.4000000000000004</c:v>
                </c:pt>
                <c:pt idx="35">
                  <c:v>3.5</c:v>
                </c:pt>
                <c:pt idx="36">
                  <c:v>3.6</c:v>
                </c:pt>
                <c:pt idx="37">
                  <c:v>3.7</c:v>
                </c:pt>
                <c:pt idx="38">
                  <c:v>3.8000000000000003</c:v>
                </c:pt>
                <c:pt idx="39">
                  <c:v>3.9000000000000004</c:v>
                </c:pt>
                <c:pt idx="40">
                  <c:v>4</c:v>
                </c:pt>
                <c:pt idx="41">
                  <c:v>4.1000000000000005</c:v>
                </c:pt>
                <c:pt idx="42">
                  <c:v>4.2</c:v>
                </c:pt>
                <c:pt idx="43">
                  <c:v>4.3</c:v>
                </c:pt>
                <c:pt idx="44">
                  <c:v>4.4000000000000004</c:v>
                </c:pt>
                <c:pt idx="45">
                  <c:v>4.5</c:v>
                </c:pt>
                <c:pt idx="46">
                  <c:v>4.6000000000000005</c:v>
                </c:pt>
                <c:pt idx="47">
                  <c:v>4.7</c:v>
                </c:pt>
                <c:pt idx="48">
                  <c:v>4.8000000000000007</c:v>
                </c:pt>
                <c:pt idx="49">
                  <c:v>4.9000000000000004</c:v>
                </c:pt>
                <c:pt idx="50">
                  <c:v>5</c:v>
                </c:pt>
                <c:pt idx="51">
                  <c:v>5.1000000000000005</c:v>
                </c:pt>
                <c:pt idx="52">
                  <c:v>5.2</c:v>
                </c:pt>
                <c:pt idx="53">
                  <c:v>5.3000000000000007</c:v>
                </c:pt>
                <c:pt idx="54">
                  <c:v>5.4</c:v>
                </c:pt>
                <c:pt idx="55">
                  <c:v>5.5</c:v>
                </c:pt>
                <c:pt idx="56">
                  <c:v>5.6000000000000005</c:v>
                </c:pt>
                <c:pt idx="57">
                  <c:v>5.7</c:v>
                </c:pt>
                <c:pt idx="58">
                  <c:v>5.8000000000000007</c:v>
                </c:pt>
                <c:pt idx="59">
                  <c:v>5.9</c:v>
                </c:pt>
                <c:pt idx="60">
                  <c:v>6</c:v>
                </c:pt>
                <c:pt idx="61">
                  <c:v>6.1000000000000005</c:v>
                </c:pt>
                <c:pt idx="62">
                  <c:v>6.2</c:v>
                </c:pt>
                <c:pt idx="63">
                  <c:v>6.3000000000000007</c:v>
                </c:pt>
                <c:pt idx="64">
                  <c:v>6.4</c:v>
                </c:pt>
                <c:pt idx="65">
                  <c:v>6.5</c:v>
                </c:pt>
                <c:pt idx="66">
                  <c:v>6.6000000000000005</c:v>
                </c:pt>
                <c:pt idx="67">
                  <c:v>6.7</c:v>
                </c:pt>
                <c:pt idx="68">
                  <c:v>6.8000000000000007</c:v>
                </c:pt>
                <c:pt idx="69">
                  <c:v>6.9</c:v>
                </c:pt>
                <c:pt idx="70">
                  <c:v>7</c:v>
                </c:pt>
                <c:pt idx="71">
                  <c:v>7.1000000000000005</c:v>
                </c:pt>
                <c:pt idx="72">
                  <c:v>7.2</c:v>
                </c:pt>
                <c:pt idx="73">
                  <c:v>7.3000000000000007</c:v>
                </c:pt>
                <c:pt idx="74">
                  <c:v>7.4</c:v>
                </c:pt>
                <c:pt idx="75">
                  <c:v>7.5</c:v>
                </c:pt>
                <c:pt idx="76">
                  <c:v>7.6000000000000005</c:v>
                </c:pt>
                <c:pt idx="77">
                  <c:v>7.7</c:v>
                </c:pt>
                <c:pt idx="78">
                  <c:v>7.8000000000000007</c:v>
                </c:pt>
                <c:pt idx="79">
                  <c:v>7.9</c:v>
                </c:pt>
                <c:pt idx="80">
                  <c:v>8</c:v>
                </c:pt>
                <c:pt idx="81">
                  <c:v>8.1</c:v>
                </c:pt>
                <c:pt idx="82">
                  <c:v>8.2000000000000011</c:v>
                </c:pt>
                <c:pt idx="83">
                  <c:v>8.3000000000000007</c:v>
                </c:pt>
                <c:pt idx="84">
                  <c:v>8.4</c:v>
                </c:pt>
                <c:pt idx="85">
                  <c:v>8.5</c:v>
                </c:pt>
                <c:pt idx="86">
                  <c:v>8.6</c:v>
                </c:pt>
                <c:pt idx="87">
                  <c:v>8.7000000000000011</c:v>
                </c:pt>
                <c:pt idx="88">
                  <c:v>8.8000000000000007</c:v>
                </c:pt>
                <c:pt idx="89">
                  <c:v>8.9</c:v>
                </c:pt>
                <c:pt idx="90">
                  <c:v>9</c:v>
                </c:pt>
                <c:pt idx="91">
                  <c:v>9.1</c:v>
                </c:pt>
                <c:pt idx="92">
                  <c:v>9.2000000000000011</c:v>
                </c:pt>
                <c:pt idx="93">
                  <c:v>9.3000000000000007</c:v>
                </c:pt>
                <c:pt idx="94">
                  <c:v>9.4</c:v>
                </c:pt>
                <c:pt idx="95">
                  <c:v>9.5</c:v>
                </c:pt>
                <c:pt idx="96">
                  <c:v>9.6000000000000014</c:v>
                </c:pt>
                <c:pt idx="97">
                  <c:v>9.7000000000000011</c:v>
                </c:pt>
                <c:pt idx="98">
                  <c:v>9.8000000000000007</c:v>
                </c:pt>
                <c:pt idx="99">
                  <c:v>9.9</c:v>
                </c:pt>
                <c:pt idx="100">
                  <c:v>10</c:v>
                </c:pt>
                <c:pt idx="101">
                  <c:v>10.100000000000001</c:v>
                </c:pt>
                <c:pt idx="102">
                  <c:v>10.200000000000001</c:v>
                </c:pt>
                <c:pt idx="103">
                  <c:v>10.3</c:v>
                </c:pt>
                <c:pt idx="104">
                  <c:v>10.4</c:v>
                </c:pt>
                <c:pt idx="105">
                  <c:v>10.5</c:v>
                </c:pt>
                <c:pt idx="106">
                  <c:v>10.600000000000001</c:v>
                </c:pt>
                <c:pt idx="107">
                  <c:v>10.700000000000001</c:v>
                </c:pt>
                <c:pt idx="108">
                  <c:v>10.8</c:v>
                </c:pt>
                <c:pt idx="109">
                  <c:v>10.9</c:v>
                </c:pt>
                <c:pt idx="110">
                  <c:v>11</c:v>
                </c:pt>
                <c:pt idx="111">
                  <c:v>11.100000000000001</c:v>
                </c:pt>
                <c:pt idx="112">
                  <c:v>11.200000000000001</c:v>
                </c:pt>
                <c:pt idx="113">
                  <c:v>11.3</c:v>
                </c:pt>
                <c:pt idx="114">
                  <c:v>11.4</c:v>
                </c:pt>
                <c:pt idx="115">
                  <c:v>11.5</c:v>
                </c:pt>
                <c:pt idx="116">
                  <c:v>11.600000000000001</c:v>
                </c:pt>
                <c:pt idx="117">
                  <c:v>11.700000000000001</c:v>
                </c:pt>
                <c:pt idx="118">
                  <c:v>11.8</c:v>
                </c:pt>
                <c:pt idx="119">
                  <c:v>11.9</c:v>
                </c:pt>
                <c:pt idx="120">
                  <c:v>12</c:v>
                </c:pt>
                <c:pt idx="121">
                  <c:v>12.100000000000001</c:v>
                </c:pt>
                <c:pt idx="122">
                  <c:v>12.200000000000001</c:v>
                </c:pt>
                <c:pt idx="123">
                  <c:v>12.3</c:v>
                </c:pt>
                <c:pt idx="124">
                  <c:v>12.4</c:v>
                </c:pt>
                <c:pt idx="125">
                  <c:v>12.5</c:v>
                </c:pt>
                <c:pt idx="126">
                  <c:v>12.600000000000001</c:v>
                </c:pt>
                <c:pt idx="127">
                  <c:v>12.700000000000001</c:v>
                </c:pt>
                <c:pt idx="128">
                  <c:v>12.8</c:v>
                </c:pt>
                <c:pt idx="129">
                  <c:v>12.9</c:v>
                </c:pt>
                <c:pt idx="130">
                  <c:v>13</c:v>
                </c:pt>
                <c:pt idx="131">
                  <c:v>13.100000000000001</c:v>
                </c:pt>
                <c:pt idx="132">
                  <c:v>13.200000000000001</c:v>
                </c:pt>
                <c:pt idx="133">
                  <c:v>13.3</c:v>
                </c:pt>
                <c:pt idx="134">
                  <c:v>13.4</c:v>
                </c:pt>
                <c:pt idx="135">
                  <c:v>13.5</c:v>
                </c:pt>
                <c:pt idx="136">
                  <c:v>13.600000000000001</c:v>
                </c:pt>
                <c:pt idx="137">
                  <c:v>13.700000000000001</c:v>
                </c:pt>
                <c:pt idx="138">
                  <c:v>13.8</c:v>
                </c:pt>
                <c:pt idx="139">
                  <c:v>13.9</c:v>
                </c:pt>
                <c:pt idx="140">
                  <c:v>14</c:v>
                </c:pt>
                <c:pt idx="141">
                  <c:v>14.100000000000001</c:v>
                </c:pt>
                <c:pt idx="142">
                  <c:v>14.200000000000001</c:v>
                </c:pt>
                <c:pt idx="143">
                  <c:v>14.3</c:v>
                </c:pt>
                <c:pt idx="144">
                  <c:v>14.4</c:v>
                </c:pt>
                <c:pt idx="145">
                  <c:v>14.5</c:v>
                </c:pt>
                <c:pt idx="146">
                  <c:v>14.600000000000001</c:v>
                </c:pt>
                <c:pt idx="147">
                  <c:v>14.700000000000001</c:v>
                </c:pt>
                <c:pt idx="148">
                  <c:v>14.8</c:v>
                </c:pt>
                <c:pt idx="149">
                  <c:v>14.9</c:v>
                </c:pt>
                <c:pt idx="150">
                  <c:v>15</c:v>
                </c:pt>
              </c:numCache>
            </c:numRef>
          </c:xVal>
          <c:yVal>
            <c:numRef>
              <c:f>Eff_vs_IOUT!$AW$7:$AW$157</c:f>
              <c:numCache>
                <c:formatCode>General</c:formatCode>
                <c:ptCount val="151"/>
                <c:pt idx="0">
                  <c:v>0</c:v>
                </c:pt>
                <c:pt idx="1">
                  <c:v>53.436155743681113</c:v>
                </c:pt>
                <c:pt idx="2">
                  <c:v>67.632828206566529</c:v>
                </c:pt>
                <c:pt idx="3">
                  <c:v>74.151370871490215</c:v>
                </c:pt>
                <c:pt idx="4">
                  <c:v>77.871016719572111</c:v>
                </c:pt>
                <c:pt idx="5">
                  <c:v>80.262958325614747</c:v>
                </c:pt>
                <c:pt idx="6">
                  <c:v>81.922588250678501</c:v>
                </c:pt>
                <c:pt idx="7">
                  <c:v>83.136406555482793</c:v>
                </c:pt>
                <c:pt idx="8">
                  <c:v>84.490341376110422</c:v>
                </c:pt>
                <c:pt idx="9">
                  <c:v>85.669510246206741</c:v>
                </c:pt>
                <c:pt idx="10">
                  <c:v>86.63408778158616</c:v>
                </c:pt>
                <c:pt idx="11">
                  <c:v>87.437072389024166</c:v>
                </c:pt>
                <c:pt idx="12">
                  <c:v>88.115338072752351</c:v>
                </c:pt>
                <c:pt idx="13">
                  <c:v>88.695333158571998</c:v>
                </c:pt>
                <c:pt idx="14">
                  <c:v>89.196521707079725</c:v>
                </c:pt>
                <c:pt idx="15">
                  <c:v>89.633546175789931</c:v>
                </c:pt>
                <c:pt idx="16">
                  <c:v>90.017633349143892</c:v>
                </c:pt>
                <c:pt idx="17">
                  <c:v>90.357535431154574</c:v>
                </c:pt>
                <c:pt idx="18">
                  <c:v>90.660176238383073</c:v>
                </c:pt>
                <c:pt idx="19">
                  <c:v>90.9311049531062</c:v>
                </c:pt>
                <c:pt idx="20">
                  <c:v>91.174821136230335</c:v>
                </c:pt>
                <c:pt idx="21">
                  <c:v>91.395011690172765</c:v>
                </c:pt>
                <c:pt idx="22">
                  <c:v>91.594726398924735</c:v>
                </c:pt>
                <c:pt idx="23">
                  <c:v>91.776509850943526</c:v>
                </c:pt>
                <c:pt idx="24">
                  <c:v>91.94250188610674</c:v>
                </c:pt>
                <c:pt idx="25">
                  <c:v>92.094514993254563</c:v>
                </c:pt>
                <c:pt idx="26">
                  <c:v>92.234094601651677</c:v>
                </c:pt>
                <c:pt idx="27">
                  <c:v>92.362566520497126</c:v>
                </c:pt>
                <c:pt idx="28">
                  <c:v>92.481074612991748</c:v>
                </c:pt>
                <c:pt idx="29">
                  <c:v>92.590610972426873</c:v>
                </c:pt>
                <c:pt idx="30">
                  <c:v>92.692040285375526</c:v>
                </c:pt>
                <c:pt idx="31">
                  <c:v>92.786119647727489</c:v>
                </c:pt>
                <c:pt idx="32">
                  <c:v>92.873514793828264</c:v>
                </c:pt>
                <c:pt idx="33">
                  <c:v>92.954813474013079</c:v>
                </c:pt>
                <c:pt idx="34">
                  <c:v>93.030536548465676</c:v>
                </c:pt>
                <c:pt idx="35">
                  <c:v>93.101147239639062</c:v>
                </c:pt>
                <c:pt idx="36">
                  <c:v>93.167058890236589</c:v>
                </c:pt>
                <c:pt idx="37">
                  <c:v>93.228641500980984</c:v>
                </c:pt>
                <c:pt idx="38">
                  <c:v>93.28622726635956</c:v>
                </c:pt>
                <c:pt idx="39">
                  <c:v>93.340115283055567</c:v>
                </c:pt>
                <c:pt idx="40">
                  <c:v>93.39057557180908</c:v>
                </c:pt>
                <c:pt idx="41">
                  <c:v>93.437852526735256</c:v>
                </c:pt>
                <c:pt idx="42">
                  <c:v>93.482167884986339</c:v>
                </c:pt>
                <c:pt idx="43">
                  <c:v>93.523723292811695</c:v>
                </c:pt>
                <c:pt idx="44">
                  <c:v>93.562702530593384</c:v>
                </c:pt>
                <c:pt idx="45">
                  <c:v>93.59927344858653</c:v>
                </c:pt>
                <c:pt idx="46">
                  <c:v>93.633589656316474</c:v>
                </c:pt>
                <c:pt idx="47">
                  <c:v>93.6657920014475</c:v>
                </c:pt>
                <c:pt idx="48">
                  <c:v>93.696009868108817</c:v>
                </c:pt>
                <c:pt idx="49">
                  <c:v>93.724362319879248</c:v>
                </c:pt>
                <c:pt idx="50">
                  <c:v>93.750959108690495</c:v>
                </c:pt>
                <c:pt idx="51">
                  <c:v>93.775901567647637</c:v>
                </c:pt>
                <c:pt idx="52">
                  <c:v>93.79928340305581</c:v>
                </c:pt>
                <c:pt idx="53">
                  <c:v>93.821191398683467</c:v>
                </c:pt>
                <c:pt idx="54">
                  <c:v>93.84170604340224</c:v>
                </c:pt>
                <c:pt idx="55">
                  <c:v>93.86090209175623</c:v>
                </c:pt>
                <c:pt idx="56">
                  <c:v>93.87884906567605</c:v>
                </c:pt>
                <c:pt idx="57">
                  <c:v>93.895611704423189</c:v>
                </c:pt>
                <c:pt idx="58">
                  <c:v>93.911250368891061</c:v>
                </c:pt>
                <c:pt idx="59">
                  <c:v>93.925821405575263</c:v>
                </c:pt>
                <c:pt idx="60">
                  <c:v>93.939377474829612</c:v>
                </c:pt>
                <c:pt idx="61">
                  <c:v>93.951967847430865</c:v>
                </c:pt>
                <c:pt idx="62">
                  <c:v>93.963638672965033</c:v>
                </c:pt>
                <c:pt idx="63">
                  <c:v>93.974433223110466</c:v>
                </c:pt>
                <c:pt idx="64">
                  <c:v>93.984392112514541</c:v>
                </c:pt>
                <c:pt idx="65">
                  <c:v>93.993553499635695</c:v>
                </c:pt>
                <c:pt idx="66">
                  <c:v>94.001953269638904</c:v>
                </c:pt>
                <c:pt idx="67">
                  <c:v>94.009625201188214</c:v>
                </c:pt>
                <c:pt idx="68">
                  <c:v>94.016601118766616</c:v>
                </c:pt>
                <c:pt idx="69">
                  <c:v>94.022911031967269</c:v>
                </c:pt>
                <c:pt idx="70">
                  <c:v>94.02858326303803</c:v>
                </c:pt>
                <c:pt idx="71">
                  <c:v>94.033644563818925</c:v>
                </c:pt>
                <c:pt idx="72">
                  <c:v>94.038120223087901</c:v>
                </c:pt>
                <c:pt idx="73">
                  <c:v>94.042034165219818</c:v>
                </c:pt>
                <c:pt idx="74">
                  <c:v>94.045409040968593</c:v>
                </c:pt>
                <c:pt idx="75">
                  <c:v>94.048266311095901</c:v>
                </c:pt>
                <c:pt idx="76">
                  <c:v>94.050626323495933</c:v>
                </c:pt>
                <c:pt idx="77">
                  <c:v>94.052508384398635</c:v>
                </c:pt>
                <c:pt idx="78">
                  <c:v>94.053930824175254</c:v>
                </c:pt>
                <c:pt idx="79">
                  <c:v>94.054911058217399</c:v>
                </c:pt>
                <c:pt idx="80">
                  <c:v>94.055465643314861</c:v>
                </c:pt>
                <c:pt idx="81">
                  <c:v>94.055610329915538</c:v>
                </c:pt>
                <c:pt idx="82">
                  <c:v>94.05536011061433</c:v>
                </c:pt>
                <c:pt idx="83">
                  <c:v>94.054729265184477</c:v>
                </c:pt>
                <c:pt idx="84">
                  <c:v>94.053731402435886</c:v>
                </c:pt>
                <c:pt idx="85">
                  <c:v>94.052379499157894</c:v>
                </c:pt>
                <c:pt idx="86">
                  <c:v>94.050685936381029</c:v>
                </c:pt>
                <c:pt idx="87">
                  <c:v>94.048662533170486</c:v>
                </c:pt>
                <c:pt idx="88">
                  <c:v>94.046320578145099</c:v>
                </c:pt>
                <c:pt idx="89">
                  <c:v>94.043670858898508</c:v>
                </c:pt>
                <c:pt idx="90">
                  <c:v>94.040723689483656</c:v>
                </c:pt>
                <c:pt idx="91">
                  <c:v>94.037488936107621</c:v>
                </c:pt>
                <c:pt idx="92">
                  <c:v>94.033976041171314</c:v>
                </c:pt>
                <c:pt idx="93">
                  <c:v>94.030194045777264</c:v>
                </c:pt>
                <c:pt idx="94">
                  <c:v>94.026151610817934</c:v>
                </c:pt>
                <c:pt idx="95">
                  <c:v>94.021857036748045</c:v>
                </c:pt>
                <c:pt idx="96">
                  <c:v>94.017318282135847</c:v>
                </c:pt>
                <c:pt idx="97">
                  <c:v>94.012542981080088</c:v>
                </c:pt>
                <c:pt idx="98">
                  <c:v>94.00753845957324</c:v>
                </c:pt>
                <c:pt idx="99">
                  <c:v>94.002311750884132</c:v>
                </c:pt>
                <c:pt idx="100">
                  <c:v>93.996869610028256</c:v>
                </c:pt>
                <c:pt idx="101">
                  <c:v>93.991218527388071</c:v>
                </c:pt>
                <c:pt idx="102">
                  <c:v>93.985364741540934</c:v>
                </c:pt>
                <c:pt idx="103">
                  <c:v>93.979314251348171</c:v>
                </c:pt>
                <c:pt idx="104">
                  <c:v>93.973072827354159</c:v>
                </c:pt>
                <c:pt idx="105">
                  <c:v>93.966646022541141</c:v>
                </c:pt>
                <c:pt idx="106">
                  <c:v>93.960039182481808</c:v>
                </c:pt>
                <c:pt idx="107">
                  <c:v>93.95325745492859</c:v>
                </c:pt>
                <c:pt idx="108">
                  <c:v>93.946305798875798</c:v>
                </c:pt>
                <c:pt idx="109">
                  <c:v>93.939188993128184</c:v>
                </c:pt>
                <c:pt idx="110">
                  <c:v>93.93191164440691</c:v>
                </c:pt>
                <c:pt idx="111">
                  <c:v>93.924478195021806</c:v>
                </c:pt>
                <c:pt idx="112">
                  <c:v>93.916892930136811</c:v>
                </c:pt>
                <c:pt idx="113">
                  <c:v>93.909159984653627</c:v>
                </c:pt>
                <c:pt idx="114">
                  <c:v>93.901283349736474</c:v>
                </c:pt>
                <c:pt idx="115">
                  <c:v>93.89326687899991</c:v>
                </c:pt>
                <c:pt idx="116">
                  <c:v>93.885114294379761</c:v>
                </c:pt>
                <c:pt idx="117">
                  <c:v>93.876829191705809</c:v>
                </c:pt>
                <c:pt idx="118">
                  <c:v>93.868415045993885</c:v>
                </c:pt>
                <c:pt idx="119">
                  <c:v>93.859875216473768</c:v>
                </c:pt>
                <c:pt idx="120">
                  <c:v>93.851212951367842</c:v>
                </c:pt>
                <c:pt idx="121">
                  <c:v>93.84243139243533</c:v>
                </c:pt>
                <c:pt idx="122">
                  <c:v>93.833533579294894</c:v>
                </c:pt>
                <c:pt idx="123">
                  <c:v>93.824522453538336</c:v>
                </c:pt>
                <c:pt idx="124">
                  <c:v>93.815400862647309</c:v>
                </c:pt>
                <c:pt idx="125">
                  <c:v>93.806171563723296</c:v>
                </c:pt>
                <c:pt idx="126">
                  <c:v>93.796837227042076</c:v>
                </c:pt>
                <c:pt idx="127">
                  <c:v>93.787400439441456</c:v>
                </c:pt>
                <c:pt idx="128">
                  <c:v>93.777863707551589</c:v>
                </c:pt>
                <c:pt idx="129">
                  <c:v>93.768229460876611</c:v>
                </c:pt>
                <c:pt idx="130">
                  <c:v>93.758500054734995</c:v>
                </c:pt>
                <c:pt idx="131">
                  <c:v>93.748677773066731</c:v>
                </c:pt>
                <c:pt idx="132">
                  <c:v>93.738764831113684</c:v>
                </c:pt>
                <c:pt idx="133">
                  <c:v>93.728763377980258</c:v>
                </c:pt>
                <c:pt idx="134">
                  <c:v>93.718675499080334</c:v>
                </c:pt>
                <c:pt idx="135">
                  <c:v>93.708503218476395</c:v>
                </c:pt>
                <c:pt idx="136">
                  <c:v>93.698248501116268</c:v>
                </c:pt>
                <c:pt idx="137">
                  <c:v>93.687913254972671</c:v>
                </c:pt>
                <c:pt idx="138">
                  <c:v>93.677499333090779</c:v>
                </c:pt>
                <c:pt idx="139">
                  <c:v>93.66700853554768</c:v>
                </c:pt>
                <c:pt idx="140">
                  <c:v>93.656442611328913</c:v>
                </c:pt>
                <c:pt idx="141">
                  <c:v>93.645803260125732</c:v>
                </c:pt>
                <c:pt idx="142">
                  <c:v>93.635092134056805</c:v>
                </c:pt>
                <c:pt idx="143">
                  <c:v>93.624310839318568</c:v>
                </c:pt>
                <c:pt idx="144">
                  <c:v>93.61346093776713</c:v>
                </c:pt>
                <c:pt idx="145">
                  <c:v>93.602543948435269</c:v>
                </c:pt>
                <c:pt idx="146">
                  <c:v>93.591561348987767</c:v>
                </c:pt>
                <c:pt idx="147">
                  <c:v>93.580514577117512</c:v>
                </c:pt>
                <c:pt idx="148">
                  <c:v>93.569405031885609</c:v>
                </c:pt>
                <c:pt idx="149">
                  <c:v>93.558234075007931</c:v>
                </c:pt>
                <c:pt idx="150">
                  <c:v>93.547003032090572</c:v>
                </c:pt>
              </c:numCache>
            </c:numRef>
          </c:yVal>
          <c:smooth val="0"/>
          <c:extLst>
            <c:ext xmlns:c16="http://schemas.microsoft.com/office/drawing/2014/chart" uri="{C3380CC4-5D6E-409C-BE32-E72D297353CC}">
              <c16:uniqueId val="{00000000-7DAF-432D-B540-E0424C156B7E}"/>
            </c:ext>
          </c:extLst>
        </c:ser>
        <c:dLbls>
          <c:showLegendKey val="0"/>
          <c:showVal val="0"/>
          <c:showCatName val="0"/>
          <c:showSerName val="0"/>
          <c:showPercent val="0"/>
          <c:showBubbleSize val="0"/>
        </c:dLbls>
        <c:axId val="522488064"/>
        <c:axId val="522489856"/>
      </c:scatterChart>
      <c:scatterChart>
        <c:scatterStyle val="smoothMarker"/>
        <c:varyColors val="0"/>
        <c:ser>
          <c:idx val="1"/>
          <c:order val="1"/>
          <c:tx>
            <c:v>LS MOSFET</c:v>
          </c:tx>
          <c:spPr>
            <a:ln>
              <a:solidFill>
                <a:schemeClr val="tx2">
                  <a:lumMod val="75000"/>
                </a:schemeClr>
              </a:solidFill>
              <a:prstDash val="dashDot"/>
            </a:ln>
          </c:spPr>
          <c:marker>
            <c:symbol val="none"/>
          </c:marker>
          <c:xVal>
            <c:numRef>
              <c:f>Eff_vs_IOUT!$S$7:$S$157</c:f>
              <c:numCache>
                <c:formatCode>General</c:formatCode>
                <c:ptCount val="151"/>
                <c:pt idx="0">
                  <c:v>0</c:v>
                </c:pt>
                <c:pt idx="1">
                  <c:v>0.1</c:v>
                </c:pt>
                <c:pt idx="2">
                  <c:v>0.2</c:v>
                </c:pt>
                <c:pt idx="3">
                  <c:v>0.30000000000000004</c:v>
                </c:pt>
                <c:pt idx="4">
                  <c:v>0.4</c:v>
                </c:pt>
                <c:pt idx="5">
                  <c:v>0.5</c:v>
                </c:pt>
                <c:pt idx="6">
                  <c:v>0.60000000000000009</c:v>
                </c:pt>
                <c:pt idx="7">
                  <c:v>0.70000000000000007</c:v>
                </c:pt>
                <c:pt idx="8">
                  <c:v>0.8</c:v>
                </c:pt>
                <c:pt idx="9">
                  <c:v>0.9</c:v>
                </c:pt>
                <c:pt idx="10">
                  <c:v>1</c:v>
                </c:pt>
                <c:pt idx="11">
                  <c:v>1.1000000000000001</c:v>
                </c:pt>
                <c:pt idx="12">
                  <c:v>1.2000000000000002</c:v>
                </c:pt>
                <c:pt idx="13">
                  <c:v>1.3</c:v>
                </c:pt>
                <c:pt idx="14">
                  <c:v>1.4000000000000001</c:v>
                </c:pt>
                <c:pt idx="15">
                  <c:v>1.5</c:v>
                </c:pt>
                <c:pt idx="16">
                  <c:v>1.6</c:v>
                </c:pt>
                <c:pt idx="17">
                  <c:v>1.7000000000000002</c:v>
                </c:pt>
                <c:pt idx="18">
                  <c:v>1.8</c:v>
                </c:pt>
                <c:pt idx="19">
                  <c:v>1.9000000000000001</c:v>
                </c:pt>
                <c:pt idx="20">
                  <c:v>2</c:v>
                </c:pt>
                <c:pt idx="21">
                  <c:v>2.1</c:v>
                </c:pt>
                <c:pt idx="22">
                  <c:v>2.2000000000000002</c:v>
                </c:pt>
                <c:pt idx="23">
                  <c:v>2.3000000000000003</c:v>
                </c:pt>
                <c:pt idx="24">
                  <c:v>2.4000000000000004</c:v>
                </c:pt>
                <c:pt idx="25">
                  <c:v>2.5</c:v>
                </c:pt>
                <c:pt idx="26">
                  <c:v>2.6</c:v>
                </c:pt>
                <c:pt idx="27">
                  <c:v>2.7</c:v>
                </c:pt>
                <c:pt idx="28">
                  <c:v>2.8000000000000003</c:v>
                </c:pt>
                <c:pt idx="29">
                  <c:v>2.9000000000000004</c:v>
                </c:pt>
                <c:pt idx="30">
                  <c:v>3</c:v>
                </c:pt>
                <c:pt idx="31">
                  <c:v>3.1</c:v>
                </c:pt>
                <c:pt idx="32">
                  <c:v>3.2</c:v>
                </c:pt>
                <c:pt idx="33">
                  <c:v>3.3000000000000003</c:v>
                </c:pt>
                <c:pt idx="34">
                  <c:v>3.4000000000000004</c:v>
                </c:pt>
                <c:pt idx="35">
                  <c:v>3.5</c:v>
                </c:pt>
                <c:pt idx="36">
                  <c:v>3.6</c:v>
                </c:pt>
                <c:pt idx="37">
                  <c:v>3.7</c:v>
                </c:pt>
                <c:pt idx="38">
                  <c:v>3.8000000000000003</c:v>
                </c:pt>
                <c:pt idx="39">
                  <c:v>3.9000000000000004</c:v>
                </c:pt>
                <c:pt idx="40">
                  <c:v>4</c:v>
                </c:pt>
                <c:pt idx="41">
                  <c:v>4.1000000000000005</c:v>
                </c:pt>
                <c:pt idx="42">
                  <c:v>4.2</c:v>
                </c:pt>
                <c:pt idx="43">
                  <c:v>4.3</c:v>
                </c:pt>
                <c:pt idx="44">
                  <c:v>4.4000000000000004</c:v>
                </c:pt>
                <c:pt idx="45">
                  <c:v>4.5</c:v>
                </c:pt>
                <c:pt idx="46">
                  <c:v>4.6000000000000005</c:v>
                </c:pt>
                <c:pt idx="47">
                  <c:v>4.7</c:v>
                </c:pt>
                <c:pt idx="48">
                  <c:v>4.8000000000000007</c:v>
                </c:pt>
                <c:pt idx="49">
                  <c:v>4.9000000000000004</c:v>
                </c:pt>
                <c:pt idx="50">
                  <c:v>5</c:v>
                </c:pt>
                <c:pt idx="51">
                  <c:v>5.1000000000000005</c:v>
                </c:pt>
                <c:pt idx="52">
                  <c:v>5.2</c:v>
                </c:pt>
                <c:pt idx="53">
                  <c:v>5.3000000000000007</c:v>
                </c:pt>
                <c:pt idx="54">
                  <c:v>5.4</c:v>
                </c:pt>
                <c:pt idx="55">
                  <c:v>5.5</c:v>
                </c:pt>
                <c:pt idx="56">
                  <c:v>5.6000000000000005</c:v>
                </c:pt>
                <c:pt idx="57">
                  <c:v>5.7</c:v>
                </c:pt>
                <c:pt idx="58">
                  <c:v>5.8000000000000007</c:v>
                </c:pt>
                <c:pt idx="59">
                  <c:v>5.9</c:v>
                </c:pt>
                <c:pt idx="60">
                  <c:v>6</c:v>
                </c:pt>
                <c:pt idx="61">
                  <c:v>6.1000000000000005</c:v>
                </c:pt>
                <c:pt idx="62">
                  <c:v>6.2</c:v>
                </c:pt>
                <c:pt idx="63">
                  <c:v>6.3000000000000007</c:v>
                </c:pt>
                <c:pt idx="64">
                  <c:v>6.4</c:v>
                </c:pt>
                <c:pt idx="65">
                  <c:v>6.5</c:v>
                </c:pt>
                <c:pt idx="66">
                  <c:v>6.6000000000000005</c:v>
                </c:pt>
                <c:pt idx="67">
                  <c:v>6.7</c:v>
                </c:pt>
                <c:pt idx="68">
                  <c:v>6.8000000000000007</c:v>
                </c:pt>
                <c:pt idx="69">
                  <c:v>6.9</c:v>
                </c:pt>
                <c:pt idx="70">
                  <c:v>7</c:v>
                </c:pt>
                <c:pt idx="71">
                  <c:v>7.1000000000000005</c:v>
                </c:pt>
                <c:pt idx="72">
                  <c:v>7.2</c:v>
                </c:pt>
                <c:pt idx="73">
                  <c:v>7.3000000000000007</c:v>
                </c:pt>
                <c:pt idx="74">
                  <c:v>7.4</c:v>
                </c:pt>
                <c:pt idx="75">
                  <c:v>7.5</c:v>
                </c:pt>
                <c:pt idx="76">
                  <c:v>7.6000000000000005</c:v>
                </c:pt>
                <c:pt idx="77">
                  <c:v>7.7</c:v>
                </c:pt>
                <c:pt idx="78">
                  <c:v>7.8000000000000007</c:v>
                </c:pt>
                <c:pt idx="79">
                  <c:v>7.9</c:v>
                </c:pt>
                <c:pt idx="80">
                  <c:v>8</c:v>
                </c:pt>
                <c:pt idx="81">
                  <c:v>8.1</c:v>
                </c:pt>
                <c:pt idx="82">
                  <c:v>8.2000000000000011</c:v>
                </c:pt>
                <c:pt idx="83">
                  <c:v>8.3000000000000007</c:v>
                </c:pt>
                <c:pt idx="84">
                  <c:v>8.4</c:v>
                </c:pt>
                <c:pt idx="85">
                  <c:v>8.5</c:v>
                </c:pt>
                <c:pt idx="86">
                  <c:v>8.6</c:v>
                </c:pt>
                <c:pt idx="87">
                  <c:v>8.7000000000000011</c:v>
                </c:pt>
                <c:pt idx="88">
                  <c:v>8.8000000000000007</c:v>
                </c:pt>
                <c:pt idx="89">
                  <c:v>8.9</c:v>
                </c:pt>
                <c:pt idx="90">
                  <c:v>9</c:v>
                </c:pt>
                <c:pt idx="91">
                  <c:v>9.1</c:v>
                </c:pt>
                <c:pt idx="92">
                  <c:v>9.2000000000000011</c:v>
                </c:pt>
                <c:pt idx="93">
                  <c:v>9.3000000000000007</c:v>
                </c:pt>
                <c:pt idx="94">
                  <c:v>9.4</c:v>
                </c:pt>
                <c:pt idx="95">
                  <c:v>9.5</c:v>
                </c:pt>
                <c:pt idx="96">
                  <c:v>9.6000000000000014</c:v>
                </c:pt>
                <c:pt idx="97">
                  <c:v>9.7000000000000011</c:v>
                </c:pt>
                <c:pt idx="98">
                  <c:v>9.8000000000000007</c:v>
                </c:pt>
                <c:pt idx="99">
                  <c:v>9.9</c:v>
                </c:pt>
                <c:pt idx="100">
                  <c:v>10</c:v>
                </c:pt>
                <c:pt idx="101">
                  <c:v>10.100000000000001</c:v>
                </c:pt>
                <c:pt idx="102">
                  <c:v>10.200000000000001</c:v>
                </c:pt>
                <c:pt idx="103">
                  <c:v>10.3</c:v>
                </c:pt>
                <c:pt idx="104">
                  <c:v>10.4</c:v>
                </c:pt>
                <c:pt idx="105">
                  <c:v>10.5</c:v>
                </c:pt>
                <c:pt idx="106">
                  <c:v>10.600000000000001</c:v>
                </c:pt>
                <c:pt idx="107">
                  <c:v>10.700000000000001</c:v>
                </c:pt>
                <c:pt idx="108">
                  <c:v>10.8</c:v>
                </c:pt>
                <c:pt idx="109">
                  <c:v>10.9</c:v>
                </c:pt>
                <c:pt idx="110">
                  <c:v>11</c:v>
                </c:pt>
                <c:pt idx="111">
                  <c:v>11.100000000000001</c:v>
                </c:pt>
                <c:pt idx="112">
                  <c:v>11.200000000000001</c:v>
                </c:pt>
                <c:pt idx="113">
                  <c:v>11.3</c:v>
                </c:pt>
                <c:pt idx="114">
                  <c:v>11.4</c:v>
                </c:pt>
                <c:pt idx="115">
                  <c:v>11.5</c:v>
                </c:pt>
                <c:pt idx="116">
                  <c:v>11.600000000000001</c:v>
                </c:pt>
                <c:pt idx="117">
                  <c:v>11.700000000000001</c:v>
                </c:pt>
                <c:pt idx="118">
                  <c:v>11.8</c:v>
                </c:pt>
                <c:pt idx="119">
                  <c:v>11.9</c:v>
                </c:pt>
                <c:pt idx="120">
                  <c:v>12</c:v>
                </c:pt>
                <c:pt idx="121">
                  <c:v>12.100000000000001</c:v>
                </c:pt>
                <c:pt idx="122">
                  <c:v>12.200000000000001</c:v>
                </c:pt>
                <c:pt idx="123">
                  <c:v>12.3</c:v>
                </c:pt>
                <c:pt idx="124">
                  <c:v>12.4</c:v>
                </c:pt>
                <c:pt idx="125">
                  <c:v>12.5</c:v>
                </c:pt>
                <c:pt idx="126">
                  <c:v>12.600000000000001</c:v>
                </c:pt>
                <c:pt idx="127">
                  <c:v>12.700000000000001</c:v>
                </c:pt>
                <c:pt idx="128">
                  <c:v>12.8</c:v>
                </c:pt>
                <c:pt idx="129">
                  <c:v>12.9</c:v>
                </c:pt>
                <c:pt idx="130">
                  <c:v>13</c:v>
                </c:pt>
                <c:pt idx="131">
                  <c:v>13.100000000000001</c:v>
                </c:pt>
                <c:pt idx="132">
                  <c:v>13.200000000000001</c:v>
                </c:pt>
                <c:pt idx="133">
                  <c:v>13.3</c:v>
                </c:pt>
                <c:pt idx="134">
                  <c:v>13.4</c:v>
                </c:pt>
                <c:pt idx="135">
                  <c:v>13.5</c:v>
                </c:pt>
                <c:pt idx="136">
                  <c:v>13.600000000000001</c:v>
                </c:pt>
                <c:pt idx="137">
                  <c:v>13.700000000000001</c:v>
                </c:pt>
                <c:pt idx="138">
                  <c:v>13.8</c:v>
                </c:pt>
                <c:pt idx="139">
                  <c:v>13.9</c:v>
                </c:pt>
                <c:pt idx="140">
                  <c:v>14</c:v>
                </c:pt>
                <c:pt idx="141">
                  <c:v>14.100000000000001</c:v>
                </c:pt>
                <c:pt idx="142">
                  <c:v>14.200000000000001</c:v>
                </c:pt>
                <c:pt idx="143">
                  <c:v>14.3</c:v>
                </c:pt>
                <c:pt idx="144">
                  <c:v>14.4</c:v>
                </c:pt>
                <c:pt idx="145">
                  <c:v>14.5</c:v>
                </c:pt>
                <c:pt idx="146">
                  <c:v>14.600000000000001</c:v>
                </c:pt>
                <c:pt idx="147">
                  <c:v>14.700000000000001</c:v>
                </c:pt>
                <c:pt idx="148">
                  <c:v>14.8</c:v>
                </c:pt>
                <c:pt idx="149">
                  <c:v>14.9</c:v>
                </c:pt>
                <c:pt idx="150">
                  <c:v>15</c:v>
                </c:pt>
              </c:numCache>
            </c:numRef>
          </c:xVal>
          <c:yVal>
            <c:numRef>
              <c:f>Eff_vs_IOUT!$AI$7:$AI$157</c:f>
              <c:numCache>
                <c:formatCode>General</c:formatCode>
                <c:ptCount val="151"/>
                <c:pt idx="0">
                  <c:v>0</c:v>
                </c:pt>
                <c:pt idx="1">
                  <c:v>6.2749176290096714E-2</c:v>
                </c:pt>
                <c:pt idx="2">
                  <c:v>0.12578815329868173</c:v>
                </c:pt>
                <c:pt idx="3">
                  <c:v>0.18901578781667031</c:v>
                </c:pt>
                <c:pt idx="4">
                  <c:v>0.25239598681030673</c:v>
                </c:pt>
                <c:pt idx="5">
                  <c:v>0.31590789049919488</c:v>
                </c:pt>
                <c:pt idx="6">
                  <c:v>0.37953742433881577</c:v>
                </c:pt>
                <c:pt idx="7">
                  <c:v>0.4432742558480095</c:v>
                </c:pt>
                <c:pt idx="8">
                  <c:v>0.50714222479871174</c:v>
                </c:pt>
                <c:pt idx="9">
                  <c:v>0.57120380289855077</c:v>
                </c:pt>
                <c:pt idx="10">
                  <c:v>0.63546093655394531</c:v>
                </c:pt>
                <c:pt idx="11">
                  <c:v>0.69991362576489535</c:v>
                </c:pt>
                <c:pt idx="12">
                  <c:v>0.76456187053140123</c:v>
                </c:pt>
                <c:pt idx="13">
                  <c:v>0.82940567085346206</c:v>
                </c:pt>
                <c:pt idx="14">
                  <c:v>0.89444502673107906</c:v>
                </c:pt>
                <c:pt idx="15">
                  <c:v>0.95967993816425123</c:v>
                </c:pt>
                <c:pt idx="16">
                  <c:v>1.0251104051529791</c:v>
                </c:pt>
                <c:pt idx="17">
                  <c:v>1.0907364276972626</c:v>
                </c:pt>
                <c:pt idx="18">
                  <c:v>1.1565580057971017</c:v>
                </c:pt>
                <c:pt idx="19">
                  <c:v>1.222575139452496</c:v>
                </c:pt>
                <c:pt idx="20">
                  <c:v>1.2887878286634462</c:v>
                </c:pt>
                <c:pt idx="21">
                  <c:v>1.3551960734299517</c:v>
                </c:pt>
                <c:pt idx="22">
                  <c:v>1.421799873752013</c:v>
                </c:pt>
                <c:pt idx="23">
                  <c:v>1.48859922962963</c:v>
                </c:pt>
                <c:pt idx="24">
                  <c:v>1.5555941410628025</c:v>
                </c:pt>
                <c:pt idx="25">
                  <c:v>1.62278460805153</c:v>
                </c:pt>
                <c:pt idx="26">
                  <c:v>1.6901706305958131</c:v>
                </c:pt>
                <c:pt idx="27">
                  <c:v>1.7577522086956523</c:v>
                </c:pt>
                <c:pt idx="28">
                  <c:v>1.825529342351047</c:v>
                </c:pt>
                <c:pt idx="29">
                  <c:v>1.8935020315619973</c:v>
                </c:pt>
                <c:pt idx="30">
                  <c:v>1.9616702763285025</c:v>
                </c:pt>
                <c:pt idx="31">
                  <c:v>2.0300340766505638</c:v>
                </c:pt>
                <c:pt idx="32">
                  <c:v>2.0985934325281805</c:v>
                </c:pt>
                <c:pt idx="33">
                  <c:v>2.1673483439613528</c:v>
                </c:pt>
                <c:pt idx="34">
                  <c:v>2.236298810950081</c:v>
                </c:pt>
                <c:pt idx="35">
                  <c:v>2.3054448334943642</c:v>
                </c:pt>
                <c:pt idx="36">
                  <c:v>2.374786411594203</c:v>
                </c:pt>
                <c:pt idx="37">
                  <c:v>2.4443235452495977</c:v>
                </c:pt>
                <c:pt idx="38">
                  <c:v>2.5140562344605475</c:v>
                </c:pt>
                <c:pt idx="39">
                  <c:v>2.5839844792270537</c:v>
                </c:pt>
                <c:pt idx="40">
                  <c:v>2.6541082795491149</c:v>
                </c:pt>
                <c:pt idx="41">
                  <c:v>2.7244276354267316</c:v>
                </c:pt>
                <c:pt idx="42">
                  <c:v>2.7949425468599034</c:v>
                </c:pt>
                <c:pt idx="43">
                  <c:v>2.865653013848632</c:v>
                </c:pt>
                <c:pt idx="44">
                  <c:v>2.9365590363929148</c:v>
                </c:pt>
                <c:pt idx="45">
                  <c:v>3.007660614492754</c:v>
                </c:pt>
                <c:pt idx="46">
                  <c:v>3.0789577481481492</c:v>
                </c:pt>
                <c:pt idx="47">
                  <c:v>3.150450437359098</c:v>
                </c:pt>
                <c:pt idx="48">
                  <c:v>3.2221386821256051</c:v>
                </c:pt>
                <c:pt idx="49">
                  <c:v>3.2940224824476649</c:v>
                </c:pt>
                <c:pt idx="50">
                  <c:v>3.3661018383252825</c:v>
                </c:pt>
                <c:pt idx="51">
                  <c:v>3.4383767497584548</c:v>
                </c:pt>
                <c:pt idx="52">
                  <c:v>3.510847216747182</c:v>
                </c:pt>
                <c:pt idx="53">
                  <c:v>3.5835132392914661</c:v>
                </c:pt>
                <c:pt idx="54">
                  <c:v>3.6563748173913044</c:v>
                </c:pt>
                <c:pt idx="55">
                  <c:v>3.7294319510466987</c:v>
                </c:pt>
                <c:pt idx="56">
                  <c:v>3.8026846402576497</c:v>
                </c:pt>
                <c:pt idx="57">
                  <c:v>3.876132885024155</c:v>
                </c:pt>
                <c:pt idx="58">
                  <c:v>3.9497766853462166</c:v>
                </c:pt>
                <c:pt idx="59">
                  <c:v>4.0236160412238338</c:v>
                </c:pt>
                <c:pt idx="60">
                  <c:v>4.0976509526570055</c:v>
                </c:pt>
                <c:pt idx="61">
                  <c:v>4.1718814196457341</c:v>
                </c:pt>
                <c:pt idx="62">
                  <c:v>4.2463074421900169</c:v>
                </c:pt>
                <c:pt idx="63">
                  <c:v>4.3209290202898565</c:v>
                </c:pt>
                <c:pt idx="64">
                  <c:v>4.3957461539452494</c:v>
                </c:pt>
                <c:pt idx="65">
                  <c:v>4.4707588431562</c:v>
                </c:pt>
                <c:pt idx="66">
                  <c:v>4.5459670879227057</c:v>
                </c:pt>
                <c:pt idx="67">
                  <c:v>4.6213708882447664</c:v>
                </c:pt>
                <c:pt idx="68">
                  <c:v>4.6969702441223848</c:v>
                </c:pt>
                <c:pt idx="69">
                  <c:v>4.7727651555555557</c:v>
                </c:pt>
                <c:pt idx="70">
                  <c:v>4.8487556225442834</c:v>
                </c:pt>
                <c:pt idx="71">
                  <c:v>4.9249416450885679</c:v>
                </c:pt>
                <c:pt idx="72">
                  <c:v>5.0013232231884057</c:v>
                </c:pt>
                <c:pt idx="73">
                  <c:v>5.0779003568438004</c:v>
                </c:pt>
                <c:pt idx="74">
                  <c:v>5.154673046054751</c:v>
                </c:pt>
                <c:pt idx="75">
                  <c:v>5.2316412908212557</c:v>
                </c:pt>
                <c:pt idx="76">
                  <c:v>5.3088050911433173</c:v>
                </c:pt>
                <c:pt idx="77">
                  <c:v>5.3861644470209349</c:v>
                </c:pt>
                <c:pt idx="78">
                  <c:v>5.4637193584541066</c:v>
                </c:pt>
                <c:pt idx="79">
                  <c:v>5.5414698254428343</c:v>
                </c:pt>
                <c:pt idx="80">
                  <c:v>5.6194158479871188</c:v>
                </c:pt>
                <c:pt idx="81">
                  <c:v>5.6975574260869566</c:v>
                </c:pt>
                <c:pt idx="82">
                  <c:v>5.7758945597423521</c:v>
                </c:pt>
                <c:pt idx="83">
                  <c:v>5.8544272489533018</c:v>
                </c:pt>
                <c:pt idx="84">
                  <c:v>5.9331554937198066</c:v>
                </c:pt>
                <c:pt idx="85">
                  <c:v>6.0120792940418681</c:v>
                </c:pt>
                <c:pt idx="86">
                  <c:v>6.0911986499194866</c:v>
                </c:pt>
                <c:pt idx="87">
                  <c:v>6.1705135613526592</c:v>
                </c:pt>
                <c:pt idx="88">
                  <c:v>6.2500240283413859</c:v>
                </c:pt>
                <c:pt idx="89">
                  <c:v>6.3297300508856695</c:v>
                </c:pt>
                <c:pt idx="90">
                  <c:v>6.4096316289855082</c:v>
                </c:pt>
                <c:pt idx="91">
                  <c:v>6.4897287626409019</c:v>
                </c:pt>
                <c:pt idx="92">
                  <c:v>6.5700214518518534</c:v>
                </c:pt>
                <c:pt idx="93">
                  <c:v>6.6505096966183572</c:v>
                </c:pt>
                <c:pt idx="94">
                  <c:v>6.7311934969404188</c:v>
                </c:pt>
                <c:pt idx="95">
                  <c:v>6.8120728528180372</c:v>
                </c:pt>
                <c:pt idx="96">
                  <c:v>6.8931477642512098</c:v>
                </c:pt>
                <c:pt idx="97">
                  <c:v>6.9744182312399374</c:v>
                </c:pt>
                <c:pt idx="98">
                  <c:v>7.0558842537842192</c:v>
                </c:pt>
                <c:pt idx="99">
                  <c:v>7.1375458318840588</c:v>
                </c:pt>
                <c:pt idx="100">
                  <c:v>7.2194029655394534</c:v>
                </c:pt>
                <c:pt idx="101">
                  <c:v>7.3014556547504048</c:v>
                </c:pt>
                <c:pt idx="102">
                  <c:v>7.3837038995169095</c:v>
                </c:pt>
                <c:pt idx="103">
                  <c:v>7.4661476998389702</c:v>
                </c:pt>
                <c:pt idx="104">
                  <c:v>7.5487870557165859</c:v>
                </c:pt>
                <c:pt idx="105">
                  <c:v>7.6316219671497594</c:v>
                </c:pt>
                <c:pt idx="106">
                  <c:v>7.7146524341384879</c:v>
                </c:pt>
                <c:pt idx="107">
                  <c:v>7.7978784566827724</c:v>
                </c:pt>
                <c:pt idx="108">
                  <c:v>7.8813000347826092</c:v>
                </c:pt>
                <c:pt idx="109">
                  <c:v>7.9649171684380047</c:v>
                </c:pt>
                <c:pt idx="110">
                  <c:v>8.0487298576489525</c:v>
                </c:pt>
                <c:pt idx="111">
                  <c:v>8.1327381024154608</c:v>
                </c:pt>
                <c:pt idx="112">
                  <c:v>8.2169419027375206</c:v>
                </c:pt>
                <c:pt idx="113">
                  <c:v>8.3013412586151372</c:v>
                </c:pt>
                <c:pt idx="114">
                  <c:v>8.3859361700483106</c:v>
                </c:pt>
                <c:pt idx="115">
                  <c:v>8.4707266370370391</c:v>
                </c:pt>
                <c:pt idx="116">
                  <c:v>8.5557126595813227</c:v>
                </c:pt>
                <c:pt idx="117">
                  <c:v>8.6408942376811613</c:v>
                </c:pt>
                <c:pt idx="118">
                  <c:v>8.7262713713365549</c:v>
                </c:pt>
                <c:pt idx="119">
                  <c:v>8.8118440605475037</c:v>
                </c:pt>
                <c:pt idx="120">
                  <c:v>8.8976123053140093</c:v>
                </c:pt>
                <c:pt idx="121">
                  <c:v>8.9835761056360717</c:v>
                </c:pt>
                <c:pt idx="122">
                  <c:v>9.0697354615136909</c:v>
                </c:pt>
                <c:pt idx="123">
                  <c:v>9.1560903729468617</c:v>
                </c:pt>
                <c:pt idx="124">
                  <c:v>9.2426408399355893</c:v>
                </c:pt>
                <c:pt idx="125">
                  <c:v>9.3293868624798719</c:v>
                </c:pt>
                <c:pt idx="126">
                  <c:v>9.4163284405797132</c:v>
                </c:pt>
                <c:pt idx="127">
                  <c:v>9.503465574235106</c:v>
                </c:pt>
                <c:pt idx="128">
                  <c:v>9.5907982634460538</c:v>
                </c:pt>
                <c:pt idx="129">
                  <c:v>9.678326508212562</c:v>
                </c:pt>
                <c:pt idx="130">
                  <c:v>9.7660503085346235</c:v>
                </c:pt>
                <c:pt idx="131">
                  <c:v>9.8539696644122383</c:v>
                </c:pt>
                <c:pt idx="132">
                  <c:v>9.9420845758454117</c:v>
                </c:pt>
                <c:pt idx="133">
                  <c:v>10.03039504283414</c:v>
                </c:pt>
                <c:pt idx="134">
                  <c:v>10.11890106537842</c:v>
                </c:pt>
                <c:pt idx="135">
                  <c:v>10.207602643478262</c:v>
                </c:pt>
                <c:pt idx="136">
                  <c:v>10.296499777133658</c:v>
                </c:pt>
                <c:pt idx="137">
                  <c:v>10.385592466344605</c:v>
                </c:pt>
                <c:pt idx="138">
                  <c:v>10.474880711111112</c:v>
                </c:pt>
                <c:pt idx="139">
                  <c:v>10.564364511433173</c:v>
                </c:pt>
                <c:pt idx="140">
                  <c:v>10.65404386731079</c:v>
                </c:pt>
                <c:pt idx="141">
                  <c:v>10.743918778743961</c:v>
                </c:pt>
                <c:pt idx="142">
                  <c:v>10.83398924573269</c:v>
                </c:pt>
                <c:pt idx="143">
                  <c:v>10.924255268276973</c:v>
                </c:pt>
                <c:pt idx="144">
                  <c:v>11.014716846376812</c:v>
                </c:pt>
                <c:pt idx="145">
                  <c:v>11.105373980032208</c:v>
                </c:pt>
                <c:pt idx="146">
                  <c:v>11.196226669243156</c:v>
                </c:pt>
                <c:pt idx="147">
                  <c:v>11.287274914009664</c:v>
                </c:pt>
                <c:pt idx="148">
                  <c:v>11.378518714331724</c:v>
                </c:pt>
                <c:pt idx="149">
                  <c:v>11.469958070209341</c:v>
                </c:pt>
                <c:pt idx="150">
                  <c:v>11.561592981642512</c:v>
                </c:pt>
              </c:numCache>
            </c:numRef>
          </c:yVal>
          <c:smooth val="1"/>
          <c:extLst>
            <c:ext xmlns:c16="http://schemas.microsoft.com/office/drawing/2014/chart" uri="{C3380CC4-5D6E-409C-BE32-E72D297353CC}">
              <c16:uniqueId val="{00000001-7DAF-432D-B540-E0424C156B7E}"/>
            </c:ext>
          </c:extLst>
        </c:ser>
        <c:ser>
          <c:idx val="2"/>
          <c:order val="2"/>
          <c:tx>
            <c:v>HS MOSFET</c:v>
          </c:tx>
          <c:spPr>
            <a:ln>
              <a:solidFill>
                <a:schemeClr val="bg2">
                  <a:lumMod val="50000"/>
                </a:schemeClr>
              </a:solidFill>
              <a:prstDash val="sysDash"/>
            </a:ln>
          </c:spPr>
          <c:marker>
            <c:symbol val="none"/>
          </c:marker>
          <c:xVal>
            <c:numRef>
              <c:f>Eff_vs_IOUT!$S$7:$S$157</c:f>
              <c:numCache>
                <c:formatCode>General</c:formatCode>
                <c:ptCount val="151"/>
                <c:pt idx="0">
                  <c:v>0</c:v>
                </c:pt>
                <c:pt idx="1">
                  <c:v>0.1</c:v>
                </c:pt>
                <c:pt idx="2">
                  <c:v>0.2</c:v>
                </c:pt>
                <c:pt idx="3">
                  <c:v>0.30000000000000004</c:v>
                </c:pt>
                <c:pt idx="4">
                  <c:v>0.4</c:v>
                </c:pt>
                <c:pt idx="5">
                  <c:v>0.5</c:v>
                </c:pt>
                <c:pt idx="6">
                  <c:v>0.60000000000000009</c:v>
                </c:pt>
                <c:pt idx="7">
                  <c:v>0.70000000000000007</c:v>
                </c:pt>
                <c:pt idx="8">
                  <c:v>0.8</c:v>
                </c:pt>
                <c:pt idx="9">
                  <c:v>0.9</c:v>
                </c:pt>
                <c:pt idx="10">
                  <c:v>1</c:v>
                </c:pt>
                <c:pt idx="11">
                  <c:v>1.1000000000000001</c:v>
                </c:pt>
                <c:pt idx="12">
                  <c:v>1.2000000000000002</c:v>
                </c:pt>
                <c:pt idx="13">
                  <c:v>1.3</c:v>
                </c:pt>
                <c:pt idx="14">
                  <c:v>1.4000000000000001</c:v>
                </c:pt>
                <c:pt idx="15">
                  <c:v>1.5</c:v>
                </c:pt>
                <c:pt idx="16">
                  <c:v>1.6</c:v>
                </c:pt>
                <c:pt idx="17">
                  <c:v>1.7000000000000002</c:v>
                </c:pt>
                <c:pt idx="18">
                  <c:v>1.8</c:v>
                </c:pt>
                <c:pt idx="19">
                  <c:v>1.9000000000000001</c:v>
                </c:pt>
                <c:pt idx="20">
                  <c:v>2</c:v>
                </c:pt>
                <c:pt idx="21">
                  <c:v>2.1</c:v>
                </c:pt>
                <c:pt idx="22">
                  <c:v>2.2000000000000002</c:v>
                </c:pt>
                <c:pt idx="23">
                  <c:v>2.3000000000000003</c:v>
                </c:pt>
                <c:pt idx="24">
                  <c:v>2.4000000000000004</c:v>
                </c:pt>
                <c:pt idx="25">
                  <c:v>2.5</c:v>
                </c:pt>
                <c:pt idx="26">
                  <c:v>2.6</c:v>
                </c:pt>
                <c:pt idx="27">
                  <c:v>2.7</c:v>
                </c:pt>
                <c:pt idx="28">
                  <c:v>2.8000000000000003</c:v>
                </c:pt>
                <c:pt idx="29">
                  <c:v>2.9000000000000004</c:v>
                </c:pt>
                <c:pt idx="30">
                  <c:v>3</c:v>
                </c:pt>
                <c:pt idx="31">
                  <c:v>3.1</c:v>
                </c:pt>
                <c:pt idx="32">
                  <c:v>3.2</c:v>
                </c:pt>
                <c:pt idx="33">
                  <c:v>3.3000000000000003</c:v>
                </c:pt>
                <c:pt idx="34">
                  <c:v>3.4000000000000004</c:v>
                </c:pt>
                <c:pt idx="35">
                  <c:v>3.5</c:v>
                </c:pt>
                <c:pt idx="36">
                  <c:v>3.6</c:v>
                </c:pt>
                <c:pt idx="37">
                  <c:v>3.7</c:v>
                </c:pt>
                <c:pt idx="38">
                  <c:v>3.8000000000000003</c:v>
                </c:pt>
                <c:pt idx="39">
                  <c:v>3.9000000000000004</c:v>
                </c:pt>
                <c:pt idx="40">
                  <c:v>4</c:v>
                </c:pt>
                <c:pt idx="41">
                  <c:v>4.1000000000000005</c:v>
                </c:pt>
                <c:pt idx="42">
                  <c:v>4.2</c:v>
                </c:pt>
                <c:pt idx="43">
                  <c:v>4.3</c:v>
                </c:pt>
                <c:pt idx="44">
                  <c:v>4.4000000000000004</c:v>
                </c:pt>
                <c:pt idx="45">
                  <c:v>4.5</c:v>
                </c:pt>
                <c:pt idx="46">
                  <c:v>4.6000000000000005</c:v>
                </c:pt>
                <c:pt idx="47">
                  <c:v>4.7</c:v>
                </c:pt>
                <c:pt idx="48">
                  <c:v>4.8000000000000007</c:v>
                </c:pt>
                <c:pt idx="49">
                  <c:v>4.9000000000000004</c:v>
                </c:pt>
                <c:pt idx="50">
                  <c:v>5</c:v>
                </c:pt>
                <c:pt idx="51">
                  <c:v>5.1000000000000005</c:v>
                </c:pt>
                <c:pt idx="52">
                  <c:v>5.2</c:v>
                </c:pt>
                <c:pt idx="53">
                  <c:v>5.3000000000000007</c:v>
                </c:pt>
                <c:pt idx="54">
                  <c:v>5.4</c:v>
                </c:pt>
                <c:pt idx="55">
                  <c:v>5.5</c:v>
                </c:pt>
                <c:pt idx="56">
                  <c:v>5.6000000000000005</c:v>
                </c:pt>
                <c:pt idx="57">
                  <c:v>5.7</c:v>
                </c:pt>
                <c:pt idx="58">
                  <c:v>5.8000000000000007</c:v>
                </c:pt>
                <c:pt idx="59">
                  <c:v>5.9</c:v>
                </c:pt>
                <c:pt idx="60">
                  <c:v>6</c:v>
                </c:pt>
                <c:pt idx="61">
                  <c:v>6.1000000000000005</c:v>
                </c:pt>
                <c:pt idx="62">
                  <c:v>6.2</c:v>
                </c:pt>
                <c:pt idx="63">
                  <c:v>6.3000000000000007</c:v>
                </c:pt>
                <c:pt idx="64">
                  <c:v>6.4</c:v>
                </c:pt>
                <c:pt idx="65">
                  <c:v>6.5</c:v>
                </c:pt>
                <c:pt idx="66">
                  <c:v>6.6000000000000005</c:v>
                </c:pt>
                <c:pt idx="67">
                  <c:v>6.7</c:v>
                </c:pt>
                <c:pt idx="68">
                  <c:v>6.8000000000000007</c:v>
                </c:pt>
                <c:pt idx="69">
                  <c:v>6.9</c:v>
                </c:pt>
                <c:pt idx="70">
                  <c:v>7</c:v>
                </c:pt>
                <c:pt idx="71">
                  <c:v>7.1000000000000005</c:v>
                </c:pt>
                <c:pt idx="72">
                  <c:v>7.2</c:v>
                </c:pt>
                <c:pt idx="73">
                  <c:v>7.3000000000000007</c:v>
                </c:pt>
                <c:pt idx="74">
                  <c:v>7.4</c:v>
                </c:pt>
                <c:pt idx="75">
                  <c:v>7.5</c:v>
                </c:pt>
                <c:pt idx="76">
                  <c:v>7.6000000000000005</c:v>
                </c:pt>
                <c:pt idx="77">
                  <c:v>7.7</c:v>
                </c:pt>
                <c:pt idx="78">
                  <c:v>7.8000000000000007</c:v>
                </c:pt>
                <c:pt idx="79">
                  <c:v>7.9</c:v>
                </c:pt>
                <c:pt idx="80">
                  <c:v>8</c:v>
                </c:pt>
                <c:pt idx="81">
                  <c:v>8.1</c:v>
                </c:pt>
                <c:pt idx="82">
                  <c:v>8.2000000000000011</c:v>
                </c:pt>
                <c:pt idx="83">
                  <c:v>8.3000000000000007</c:v>
                </c:pt>
                <c:pt idx="84">
                  <c:v>8.4</c:v>
                </c:pt>
                <c:pt idx="85">
                  <c:v>8.5</c:v>
                </c:pt>
                <c:pt idx="86">
                  <c:v>8.6</c:v>
                </c:pt>
                <c:pt idx="87">
                  <c:v>8.7000000000000011</c:v>
                </c:pt>
                <c:pt idx="88">
                  <c:v>8.8000000000000007</c:v>
                </c:pt>
                <c:pt idx="89">
                  <c:v>8.9</c:v>
                </c:pt>
                <c:pt idx="90">
                  <c:v>9</c:v>
                </c:pt>
                <c:pt idx="91">
                  <c:v>9.1</c:v>
                </c:pt>
                <c:pt idx="92">
                  <c:v>9.2000000000000011</c:v>
                </c:pt>
                <c:pt idx="93">
                  <c:v>9.3000000000000007</c:v>
                </c:pt>
                <c:pt idx="94">
                  <c:v>9.4</c:v>
                </c:pt>
                <c:pt idx="95">
                  <c:v>9.5</c:v>
                </c:pt>
                <c:pt idx="96">
                  <c:v>9.6000000000000014</c:v>
                </c:pt>
                <c:pt idx="97">
                  <c:v>9.7000000000000011</c:v>
                </c:pt>
                <c:pt idx="98">
                  <c:v>9.8000000000000007</c:v>
                </c:pt>
                <c:pt idx="99">
                  <c:v>9.9</c:v>
                </c:pt>
                <c:pt idx="100">
                  <c:v>10</c:v>
                </c:pt>
                <c:pt idx="101">
                  <c:v>10.100000000000001</c:v>
                </c:pt>
                <c:pt idx="102">
                  <c:v>10.200000000000001</c:v>
                </c:pt>
                <c:pt idx="103">
                  <c:v>10.3</c:v>
                </c:pt>
                <c:pt idx="104">
                  <c:v>10.4</c:v>
                </c:pt>
                <c:pt idx="105">
                  <c:v>10.5</c:v>
                </c:pt>
                <c:pt idx="106">
                  <c:v>10.600000000000001</c:v>
                </c:pt>
                <c:pt idx="107">
                  <c:v>10.700000000000001</c:v>
                </c:pt>
                <c:pt idx="108">
                  <c:v>10.8</c:v>
                </c:pt>
                <c:pt idx="109">
                  <c:v>10.9</c:v>
                </c:pt>
                <c:pt idx="110">
                  <c:v>11</c:v>
                </c:pt>
                <c:pt idx="111">
                  <c:v>11.100000000000001</c:v>
                </c:pt>
                <c:pt idx="112">
                  <c:v>11.200000000000001</c:v>
                </c:pt>
                <c:pt idx="113">
                  <c:v>11.3</c:v>
                </c:pt>
                <c:pt idx="114">
                  <c:v>11.4</c:v>
                </c:pt>
                <c:pt idx="115">
                  <c:v>11.5</c:v>
                </c:pt>
                <c:pt idx="116">
                  <c:v>11.600000000000001</c:v>
                </c:pt>
                <c:pt idx="117">
                  <c:v>11.700000000000001</c:v>
                </c:pt>
                <c:pt idx="118">
                  <c:v>11.8</c:v>
                </c:pt>
                <c:pt idx="119">
                  <c:v>11.9</c:v>
                </c:pt>
                <c:pt idx="120">
                  <c:v>12</c:v>
                </c:pt>
                <c:pt idx="121">
                  <c:v>12.100000000000001</c:v>
                </c:pt>
                <c:pt idx="122">
                  <c:v>12.200000000000001</c:v>
                </c:pt>
                <c:pt idx="123">
                  <c:v>12.3</c:v>
                </c:pt>
                <c:pt idx="124">
                  <c:v>12.4</c:v>
                </c:pt>
                <c:pt idx="125">
                  <c:v>12.5</c:v>
                </c:pt>
                <c:pt idx="126">
                  <c:v>12.600000000000001</c:v>
                </c:pt>
                <c:pt idx="127">
                  <c:v>12.700000000000001</c:v>
                </c:pt>
                <c:pt idx="128">
                  <c:v>12.8</c:v>
                </c:pt>
                <c:pt idx="129">
                  <c:v>12.9</c:v>
                </c:pt>
                <c:pt idx="130">
                  <c:v>13</c:v>
                </c:pt>
                <c:pt idx="131">
                  <c:v>13.100000000000001</c:v>
                </c:pt>
                <c:pt idx="132">
                  <c:v>13.200000000000001</c:v>
                </c:pt>
                <c:pt idx="133">
                  <c:v>13.3</c:v>
                </c:pt>
                <c:pt idx="134">
                  <c:v>13.4</c:v>
                </c:pt>
                <c:pt idx="135">
                  <c:v>13.5</c:v>
                </c:pt>
                <c:pt idx="136">
                  <c:v>13.600000000000001</c:v>
                </c:pt>
                <c:pt idx="137">
                  <c:v>13.700000000000001</c:v>
                </c:pt>
                <c:pt idx="138">
                  <c:v>13.8</c:v>
                </c:pt>
                <c:pt idx="139">
                  <c:v>13.9</c:v>
                </c:pt>
                <c:pt idx="140">
                  <c:v>14</c:v>
                </c:pt>
                <c:pt idx="141">
                  <c:v>14.100000000000001</c:v>
                </c:pt>
                <c:pt idx="142">
                  <c:v>14.200000000000001</c:v>
                </c:pt>
                <c:pt idx="143">
                  <c:v>14.3</c:v>
                </c:pt>
                <c:pt idx="144">
                  <c:v>14.4</c:v>
                </c:pt>
                <c:pt idx="145">
                  <c:v>14.5</c:v>
                </c:pt>
                <c:pt idx="146">
                  <c:v>14.600000000000001</c:v>
                </c:pt>
                <c:pt idx="147">
                  <c:v>14.700000000000001</c:v>
                </c:pt>
                <c:pt idx="148">
                  <c:v>14.8</c:v>
                </c:pt>
                <c:pt idx="149">
                  <c:v>14.9</c:v>
                </c:pt>
                <c:pt idx="150">
                  <c:v>15</c:v>
                </c:pt>
              </c:numCache>
            </c:numRef>
          </c:xVal>
          <c:yVal>
            <c:numRef>
              <c:f>Eff_vs_IOUT!$AO$7:$AO$157</c:f>
              <c:numCache>
                <c:formatCode>General</c:formatCode>
                <c:ptCount val="151"/>
                <c:pt idx="0">
                  <c:v>0</c:v>
                </c:pt>
                <c:pt idx="1">
                  <c:v>1.4019464007307174</c:v>
                </c:pt>
                <c:pt idx="2">
                  <c:v>1.4147613163653279</c:v>
                </c:pt>
                <c:pt idx="3">
                  <c:v>1.4251007671071851</c:v>
                </c:pt>
                <c:pt idx="4">
                  <c:v>1.4342411851737544</c:v>
                </c:pt>
                <c:pt idx="5">
                  <c:v>1.442666666666667</c:v>
                </c:pt>
                <c:pt idx="6">
                  <c:v>1.4506204209703342</c:v>
                </c:pt>
                <c:pt idx="7">
                  <c:v>1.4582439682807136</c:v>
                </c:pt>
                <c:pt idx="8">
                  <c:v>1.4657877333333336</c:v>
                </c:pt>
                <c:pt idx="9">
                  <c:v>1.4736144000000002</c:v>
                </c:pt>
                <c:pt idx="10">
                  <c:v>1.4817344000000003</c:v>
                </c:pt>
                <c:pt idx="11">
                  <c:v>1.4901477333333335</c:v>
                </c:pt>
                <c:pt idx="12">
                  <c:v>1.4988544000000004</c:v>
                </c:pt>
                <c:pt idx="13">
                  <c:v>1.5078544</c:v>
                </c:pt>
                <c:pt idx="14">
                  <c:v>1.5171477333333336</c:v>
                </c:pt>
                <c:pt idx="15">
                  <c:v>1.5267344000000003</c:v>
                </c:pt>
                <c:pt idx="16">
                  <c:v>1.5366144000000002</c:v>
                </c:pt>
                <c:pt idx="17">
                  <c:v>1.5467877333333335</c:v>
                </c:pt>
                <c:pt idx="18">
                  <c:v>1.5572544000000004</c:v>
                </c:pt>
                <c:pt idx="19">
                  <c:v>1.5680144000000003</c:v>
                </c:pt>
                <c:pt idx="20">
                  <c:v>1.5790677333333336</c:v>
                </c:pt>
                <c:pt idx="21">
                  <c:v>1.5904144000000004</c:v>
                </c:pt>
                <c:pt idx="22">
                  <c:v>1.6020544000000003</c:v>
                </c:pt>
                <c:pt idx="23">
                  <c:v>1.6139877333333337</c:v>
                </c:pt>
                <c:pt idx="24">
                  <c:v>1.6262144000000003</c:v>
                </c:pt>
                <c:pt idx="25">
                  <c:v>1.6387344000000001</c:v>
                </c:pt>
                <c:pt idx="26">
                  <c:v>1.6515477333333335</c:v>
                </c:pt>
                <c:pt idx="27">
                  <c:v>1.6646544000000003</c:v>
                </c:pt>
                <c:pt idx="28">
                  <c:v>1.6780544000000002</c:v>
                </c:pt>
                <c:pt idx="29">
                  <c:v>1.6917477333333337</c:v>
                </c:pt>
                <c:pt idx="30">
                  <c:v>1.7057344000000003</c:v>
                </c:pt>
                <c:pt idx="31">
                  <c:v>1.7200144000000004</c:v>
                </c:pt>
                <c:pt idx="32">
                  <c:v>1.7345877333333337</c:v>
                </c:pt>
                <c:pt idx="33">
                  <c:v>1.7494544000000001</c:v>
                </c:pt>
                <c:pt idx="34">
                  <c:v>1.7646144000000004</c:v>
                </c:pt>
                <c:pt idx="35">
                  <c:v>1.7800677333333337</c:v>
                </c:pt>
                <c:pt idx="36">
                  <c:v>1.7958144000000003</c:v>
                </c:pt>
                <c:pt idx="37">
                  <c:v>1.8118544000000003</c:v>
                </c:pt>
                <c:pt idx="38">
                  <c:v>1.8281877333333336</c:v>
                </c:pt>
                <c:pt idx="39">
                  <c:v>1.8448144000000002</c:v>
                </c:pt>
                <c:pt idx="40">
                  <c:v>1.8617344000000002</c:v>
                </c:pt>
                <c:pt idx="41">
                  <c:v>1.8789477333333338</c:v>
                </c:pt>
                <c:pt idx="42">
                  <c:v>1.8964544000000001</c:v>
                </c:pt>
                <c:pt idx="43">
                  <c:v>1.9142544000000004</c:v>
                </c:pt>
                <c:pt idx="44">
                  <c:v>1.9323477333333337</c:v>
                </c:pt>
                <c:pt idx="45">
                  <c:v>1.9507344000000002</c:v>
                </c:pt>
                <c:pt idx="46">
                  <c:v>1.9694144000000005</c:v>
                </c:pt>
                <c:pt idx="47">
                  <c:v>1.9883877333333335</c:v>
                </c:pt>
                <c:pt idx="48">
                  <c:v>2.0076544000000003</c:v>
                </c:pt>
                <c:pt idx="49">
                  <c:v>2.0272144000000001</c:v>
                </c:pt>
                <c:pt idx="50">
                  <c:v>2.0470677333333338</c:v>
                </c:pt>
                <c:pt idx="51">
                  <c:v>2.0672144000000006</c:v>
                </c:pt>
                <c:pt idx="52">
                  <c:v>2.0876544000000004</c:v>
                </c:pt>
                <c:pt idx="53">
                  <c:v>2.1083877333333336</c:v>
                </c:pt>
                <c:pt idx="54">
                  <c:v>2.1294143999999999</c:v>
                </c:pt>
                <c:pt idx="55">
                  <c:v>2.1507344000000002</c:v>
                </c:pt>
                <c:pt idx="56">
                  <c:v>2.1723477333333339</c:v>
                </c:pt>
                <c:pt idx="57">
                  <c:v>2.1942544000000002</c:v>
                </c:pt>
                <c:pt idx="58">
                  <c:v>2.2164544000000004</c:v>
                </c:pt>
                <c:pt idx="59">
                  <c:v>2.2389477333333336</c:v>
                </c:pt>
                <c:pt idx="60">
                  <c:v>2.2617343999999999</c:v>
                </c:pt>
                <c:pt idx="61">
                  <c:v>2.2848144000000001</c:v>
                </c:pt>
                <c:pt idx="62">
                  <c:v>2.3081877333333338</c:v>
                </c:pt>
                <c:pt idx="63">
                  <c:v>2.3318544000000005</c:v>
                </c:pt>
                <c:pt idx="64">
                  <c:v>2.3558144000000003</c:v>
                </c:pt>
                <c:pt idx="65">
                  <c:v>2.3800677333333335</c:v>
                </c:pt>
                <c:pt idx="66">
                  <c:v>2.4046144000000003</c:v>
                </c:pt>
                <c:pt idx="67">
                  <c:v>2.4294544</c:v>
                </c:pt>
                <c:pt idx="68">
                  <c:v>2.4545877333333337</c:v>
                </c:pt>
                <c:pt idx="69">
                  <c:v>2.4800144000000004</c:v>
                </c:pt>
                <c:pt idx="70">
                  <c:v>2.5057344000000001</c:v>
                </c:pt>
                <c:pt idx="71">
                  <c:v>2.5317477333333342</c:v>
                </c:pt>
                <c:pt idx="72">
                  <c:v>2.5580544000000001</c:v>
                </c:pt>
                <c:pt idx="73">
                  <c:v>2.5846544000000002</c:v>
                </c:pt>
                <c:pt idx="74">
                  <c:v>2.6115477333333335</c:v>
                </c:pt>
                <c:pt idx="75">
                  <c:v>2.6387344000000001</c:v>
                </c:pt>
                <c:pt idx="76">
                  <c:v>2.6662144000000003</c:v>
                </c:pt>
                <c:pt idx="77">
                  <c:v>2.6939877333333335</c:v>
                </c:pt>
                <c:pt idx="78">
                  <c:v>2.7220544000000002</c:v>
                </c:pt>
                <c:pt idx="79">
                  <c:v>2.7504144000000004</c:v>
                </c:pt>
                <c:pt idx="80">
                  <c:v>2.779067733333334</c:v>
                </c:pt>
                <c:pt idx="81">
                  <c:v>2.8080144000000002</c:v>
                </c:pt>
                <c:pt idx="82">
                  <c:v>2.8372544000000008</c:v>
                </c:pt>
                <c:pt idx="83">
                  <c:v>2.866787733333334</c:v>
                </c:pt>
                <c:pt idx="84">
                  <c:v>2.8966144000000003</c:v>
                </c:pt>
                <c:pt idx="85">
                  <c:v>2.9267344</c:v>
                </c:pt>
                <c:pt idx="86">
                  <c:v>2.9571477333333336</c:v>
                </c:pt>
                <c:pt idx="87">
                  <c:v>2.9878544000000011</c:v>
                </c:pt>
                <c:pt idx="88">
                  <c:v>3.0188544000000004</c:v>
                </c:pt>
                <c:pt idx="89">
                  <c:v>3.0501477333333336</c:v>
                </c:pt>
                <c:pt idx="90">
                  <c:v>3.0817344000000002</c:v>
                </c:pt>
                <c:pt idx="91">
                  <c:v>3.1136144000000008</c:v>
                </c:pt>
                <c:pt idx="92">
                  <c:v>3.1457877333333339</c:v>
                </c:pt>
                <c:pt idx="93">
                  <c:v>3.1782544000000001</c:v>
                </c:pt>
                <c:pt idx="94">
                  <c:v>3.2110144000000007</c:v>
                </c:pt>
                <c:pt idx="95">
                  <c:v>3.2440677333333343</c:v>
                </c:pt>
                <c:pt idx="96">
                  <c:v>3.2774144000000009</c:v>
                </c:pt>
                <c:pt idx="97">
                  <c:v>3.3110544000000006</c:v>
                </c:pt>
                <c:pt idx="98">
                  <c:v>3.3449877333333333</c:v>
                </c:pt>
                <c:pt idx="99">
                  <c:v>3.3792144000000004</c:v>
                </c:pt>
                <c:pt idx="100">
                  <c:v>3.4137344000000005</c:v>
                </c:pt>
                <c:pt idx="101">
                  <c:v>3.4485477333333336</c:v>
                </c:pt>
                <c:pt idx="102">
                  <c:v>3.4836544000000012</c:v>
                </c:pt>
                <c:pt idx="103">
                  <c:v>3.5190544000000008</c:v>
                </c:pt>
                <c:pt idx="104">
                  <c:v>3.554747733333333</c:v>
                </c:pt>
                <c:pt idx="105">
                  <c:v>3.5907344000000005</c:v>
                </c:pt>
                <c:pt idx="106">
                  <c:v>3.6270144000000002</c:v>
                </c:pt>
                <c:pt idx="107">
                  <c:v>3.6635877333333338</c:v>
                </c:pt>
                <c:pt idx="108">
                  <c:v>3.7004544000000008</c:v>
                </c:pt>
                <c:pt idx="109">
                  <c:v>3.7376144000000004</c:v>
                </c:pt>
                <c:pt idx="110">
                  <c:v>3.7750677333333331</c:v>
                </c:pt>
                <c:pt idx="111">
                  <c:v>3.8128144000000006</c:v>
                </c:pt>
                <c:pt idx="112">
                  <c:v>3.8508544000000007</c:v>
                </c:pt>
                <c:pt idx="113">
                  <c:v>3.8891877333333333</c:v>
                </c:pt>
                <c:pt idx="114">
                  <c:v>3.9278144000000004</c:v>
                </c:pt>
                <c:pt idx="115">
                  <c:v>3.9667344000000009</c:v>
                </c:pt>
                <c:pt idx="116">
                  <c:v>4.0059477333333344</c:v>
                </c:pt>
                <c:pt idx="117">
                  <c:v>4.0454544000000014</c:v>
                </c:pt>
                <c:pt idx="118">
                  <c:v>4.0852544000000011</c:v>
                </c:pt>
                <c:pt idx="119">
                  <c:v>4.1253477333333324</c:v>
                </c:pt>
                <c:pt idx="120">
                  <c:v>4.1657344000000007</c:v>
                </c:pt>
                <c:pt idx="121">
                  <c:v>4.2064144000000008</c:v>
                </c:pt>
                <c:pt idx="122">
                  <c:v>4.2473877333333334</c:v>
                </c:pt>
                <c:pt idx="123">
                  <c:v>4.2886544000000004</c:v>
                </c:pt>
                <c:pt idx="124">
                  <c:v>4.3302144</c:v>
                </c:pt>
                <c:pt idx="125">
                  <c:v>4.3720677333333331</c:v>
                </c:pt>
                <c:pt idx="126">
                  <c:v>4.4142144000000014</c:v>
                </c:pt>
                <c:pt idx="127">
                  <c:v>4.4566544000000006</c:v>
                </c:pt>
                <c:pt idx="128">
                  <c:v>4.4993877333333341</c:v>
                </c:pt>
                <c:pt idx="129">
                  <c:v>4.5424144000000002</c:v>
                </c:pt>
                <c:pt idx="130">
                  <c:v>4.5857343999999998</c:v>
                </c:pt>
                <c:pt idx="131">
                  <c:v>4.6293477333333328</c:v>
                </c:pt>
                <c:pt idx="132">
                  <c:v>4.6732544000000003</c:v>
                </c:pt>
                <c:pt idx="133">
                  <c:v>4.7174544000000012</c:v>
                </c:pt>
                <c:pt idx="134">
                  <c:v>4.761947733333332</c:v>
                </c:pt>
                <c:pt idx="135">
                  <c:v>4.8067343999999999</c:v>
                </c:pt>
                <c:pt idx="136">
                  <c:v>4.8518143999999994</c:v>
                </c:pt>
                <c:pt idx="137">
                  <c:v>4.8971877333333325</c:v>
                </c:pt>
                <c:pt idx="138">
                  <c:v>4.9428543999999999</c:v>
                </c:pt>
                <c:pt idx="139">
                  <c:v>4.9888144000000008</c:v>
                </c:pt>
                <c:pt idx="140">
                  <c:v>5.0350677333333325</c:v>
                </c:pt>
                <c:pt idx="141">
                  <c:v>5.0816143999999994</c:v>
                </c:pt>
                <c:pt idx="142">
                  <c:v>5.1284544000000016</c:v>
                </c:pt>
                <c:pt idx="143">
                  <c:v>5.1755877333333329</c:v>
                </c:pt>
                <c:pt idx="144">
                  <c:v>5.2230144000000003</c:v>
                </c:pt>
                <c:pt idx="145">
                  <c:v>5.2707343999999994</c:v>
                </c:pt>
                <c:pt idx="146">
                  <c:v>5.3187477333333328</c:v>
                </c:pt>
                <c:pt idx="147">
                  <c:v>5.3670543999999998</c:v>
                </c:pt>
                <c:pt idx="148">
                  <c:v>5.4156544000000002</c:v>
                </c:pt>
                <c:pt idx="149">
                  <c:v>5.4645477333333323</c:v>
                </c:pt>
                <c:pt idx="150">
                  <c:v>5.5137344000000006</c:v>
                </c:pt>
              </c:numCache>
            </c:numRef>
          </c:yVal>
          <c:smooth val="1"/>
          <c:extLst>
            <c:ext xmlns:c16="http://schemas.microsoft.com/office/drawing/2014/chart" uri="{C3380CC4-5D6E-409C-BE32-E72D297353CC}">
              <c16:uniqueId val="{00000002-7DAF-432D-B540-E0424C156B7E}"/>
            </c:ext>
          </c:extLst>
        </c:ser>
        <c:ser>
          <c:idx val="3"/>
          <c:order val="3"/>
          <c:tx>
            <c:v>RCS</c:v>
          </c:tx>
          <c:spPr>
            <a:ln>
              <a:solidFill>
                <a:schemeClr val="accent5">
                  <a:lumMod val="75000"/>
                </a:schemeClr>
              </a:solidFill>
              <a:prstDash val="lgDashDotDot"/>
            </a:ln>
          </c:spPr>
          <c:marker>
            <c:symbol val="none"/>
          </c:marker>
          <c:xVal>
            <c:numRef>
              <c:f>Eff_vs_IOUT!$S$7:$S$157</c:f>
              <c:numCache>
                <c:formatCode>General</c:formatCode>
                <c:ptCount val="151"/>
                <c:pt idx="0">
                  <c:v>0</c:v>
                </c:pt>
                <c:pt idx="1">
                  <c:v>0.1</c:v>
                </c:pt>
                <c:pt idx="2">
                  <c:v>0.2</c:v>
                </c:pt>
                <c:pt idx="3">
                  <c:v>0.30000000000000004</c:v>
                </c:pt>
                <c:pt idx="4">
                  <c:v>0.4</c:v>
                </c:pt>
                <c:pt idx="5">
                  <c:v>0.5</c:v>
                </c:pt>
                <c:pt idx="6">
                  <c:v>0.60000000000000009</c:v>
                </c:pt>
                <c:pt idx="7">
                  <c:v>0.70000000000000007</c:v>
                </c:pt>
                <c:pt idx="8">
                  <c:v>0.8</c:v>
                </c:pt>
                <c:pt idx="9">
                  <c:v>0.9</c:v>
                </c:pt>
                <c:pt idx="10">
                  <c:v>1</c:v>
                </c:pt>
                <c:pt idx="11">
                  <c:v>1.1000000000000001</c:v>
                </c:pt>
                <c:pt idx="12">
                  <c:v>1.2000000000000002</c:v>
                </c:pt>
                <c:pt idx="13">
                  <c:v>1.3</c:v>
                </c:pt>
                <c:pt idx="14">
                  <c:v>1.4000000000000001</c:v>
                </c:pt>
                <c:pt idx="15">
                  <c:v>1.5</c:v>
                </c:pt>
                <c:pt idx="16">
                  <c:v>1.6</c:v>
                </c:pt>
                <c:pt idx="17">
                  <c:v>1.7000000000000002</c:v>
                </c:pt>
                <c:pt idx="18">
                  <c:v>1.8</c:v>
                </c:pt>
                <c:pt idx="19">
                  <c:v>1.9000000000000001</c:v>
                </c:pt>
                <c:pt idx="20">
                  <c:v>2</c:v>
                </c:pt>
                <c:pt idx="21">
                  <c:v>2.1</c:v>
                </c:pt>
                <c:pt idx="22">
                  <c:v>2.2000000000000002</c:v>
                </c:pt>
                <c:pt idx="23">
                  <c:v>2.3000000000000003</c:v>
                </c:pt>
                <c:pt idx="24">
                  <c:v>2.4000000000000004</c:v>
                </c:pt>
                <c:pt idx="25">
                  <c:v>2.5</c:v>
                </c:pt>
                <c:pt idx="26">
                  <c:v>2.6</c:v>
                </c:pt>
                <c:pt idx="27">
                  <c:v>2.7</c:v>
                </c:pt>
                <c:pt idx="28">
                  <c:v>2.8000000000000003</c:v>
                </c:pt>
                <c:pt idx="29">
                  <c:v>2.9000000000000004</c:v>
                </c:pt>
                <c:pt idx="30">
                  <c:v>3</c:v>
                </c:pt>
                <c:pt idx="31">
                  <c:v>3.1</c:v>
                </c:pt>
                <c:pt idx="32">
                  <c:v>3.2</c:v>
                </c:pt>
                <c:pt idx="33">
                  <c:v>3.3000000000000003</c:v>
                </c:pt>
                <c:pt idx="34">
                  <c:v>3.4000000000000004</c:v>
                </c:pt>
                <c:pt idx="35">
                  <c:v>3.5</c:v>
                </c:pt>
                <c:pt idx="36">
                  <c:v>3.6</c:v>
                </c:pt>
                <c:pt idx="37">
                  <c:v>3.7</c:v>
                </c:pt>
                <c:pt idx="38">
                  <c:v>3.8000000000000003</c:v>
                </c:pt>
                <c:pt idx="39">
                  <c:v>3.9000000000000004</c:v>
                </c:pt>
                <c:pt idx="40">
                  <c:v>4</c:v>
                </c:pt>
                <c:pt idx="41">
                  <c:v>4.1000000000000005</c:v>
                </c:pt>
                <c:pt idx="42">
                  <c:v>4.2</c:v>
                </c:pt>
                <c:pt idx="43">
                  <c:v>4.3</c:v>
                </c:pt>
                <c:pt idx="44">
                  <c:v>4.4000000000000004</c:v>
                </c:pt>
                <c:pt idx="45">
                  <c:v>4.5</c:v>
                </c:pt>
                <c:pt idx="46">
                  <c:v>4.6000000000000005</c:v>
                </c:pt>
                <c:pt idx="47">
                  <c:v>4.7</c:v>
                </c:pt>
                <c:pt idx="48">
                  <c:v>4.8000000000000007</c:v>
                </c:pt>
                <c:pt idx="49">
                  <c:v>4.9000000000000004</c:v>
                </c:pt>
                <c:pt idx="50">
                  <c:v>5</c:v>
                </c:pt>
                <c:pt idx="51">
                  <c:v>5.1000000000000005</c:v>
                </c:pt>
                <c:pt idx="52">
                  <c:v>5.2</c:v>
                </c:pt>
                <c:pt idx="53">
                  <c:v>5.3000000000000007</c:v>
                </c:pt>
                <c:pt idx="54">
                  <c:v>5.4</c:v>
                </c:pt>
                <c:pt idx="55">
                  <c:v>5.5</c:v>
                </c:pt>
                <c:pt idx="56">
                  <c:v>5.6000000000000005</c:v>
                </c:pt>
                <c:pt idx="57">
                  <c:v>5.7</c:v>
                </c:pt>
                <c:pt idx="58">
                  <c:v>5.8000000000000007</c:v>
                </c:pt>
                <c:pt idx="59">
                  <c:v>5.9</c:v>
                </c:pt>
                <c:pt idx="60">
                  <c:v>6</c:v>
                </c:pt>
                <c:pt idx="61">
                  <c:v>6.1000000000000005</c:v>
                </c:pt>
                <c:pt idx="62">
                  <c:v>6.2</c:v>
                </c:pt>
                <c:pt idx="63">
                  <c:v>6.3000000000000007</c:v>
                </c:pt>
                <c:pt idx="64">
                  <c:v>6.4</c:v>
                </c:pt>
                <c:pt idx="65">
                  <c:v>6.5</c:v>
                </c:pt>
                <c:pt idx="66">
                  <c:v>6.6000000000000005</c:v>
                </c:pt>
                <c:pt idx="67">
                  <c:v>6.7</c:v>
                </c:pt>
                <c:pt idx="68">
                  <c:v>6.8000000000000007</c:v>
                </c:pt>
                <c:pt idx="69">
                  <c:v>6.9</c:v>
                </c:pt>
                <c:pt idx="70">
                  <c:v>7</c:v>
                </c:pt>
                <c:pt idx="71">
                  <c:v>7.1000000000000005</c:v>
                </c:pt>
                <c:pt idx="72">
                  <c:v>7.2</c:v>
                </c:pt>
                <c:pt idx="73">
                  <c:v>7.3000000000000007</c:v>
                </c:pt>
                <c:pt idx="74">
                  <c:v>7.4</c:v>
                </c:pt>
                <c:pt idx="75">
                  <c:v>7.5</c:v>
                </c:pt>
                <c:pt idx="76">
                  <c:v>7.6000000000000005</c:v>
                </c:pt>
                <c:pt idx="77">
                  <c:v>7.7</c:v>
                </c:pt>
                <c:pt idx="78">
                  <c:v>7.8000000000000007</c:v>
                </c:pt>
                <c:pt idx="79">
                  <c:v>7.9</c:v>
                </c:pt>
                <c:pt idx="80">
                  <c:v>8</c:v>
                </c:pt>
                <c:pt idx="81">
                  <c:v>8.1</c:v>
                </c:pt>
                <c:pt idx="82">
                  <c:v>8.2000000000000011</c:v>
                </c:pt>
                <c:pt idx="83">
                  <c:v>8.3000000000000007</c:v>
                </c:pt>
                <c:pt idx="84">
                  <c:v>8.4</c:v>
                </c:pt>
                <c:pt idx="85">
                  <c:v>8.5</c:v>
                </c:pt>
                <c:pt idx="86">
                  <c:v>8.6</c:v>
                </c:pt>
                <c:pt idx="87">
                  <c:v>8.7000000000000011</c:v>
                </c:pt>
                <c:pt idx="88">
                  <c:v>8.8000000000000007</c:v>
                </c:pt>
                <c:pt idx="89">
                  <c:v>8.9</c:v>
                </c:pt>
                <c:pt idx="90">
                  <c:v>9</c:v>
                </c:pt>
                <c:pt idx="91">
                  <c:v>9.1</c:v>
                </c:pt>
                <c:pt idx="92">
                  <c:v>9.2000000000000011</c:v>
                </c:pt>
                <c:pt idx="93">
                  <c:v>9.3000000000000007</c:v>
                </c:pt>
                <c:pt idx="94">
                  <c:v>9.4</c:v>
                </c:pt>
                <c:pt idx="95">
                  <c:v>9.5</c:v>
                </c:pt>
                <c:pt idx="96">
                  <c:v>9.6000000000000014</c:v>
                </c:pt>
                <c:pt idx="97">
                  <c:v>9.7000000000000011</c:v>
                </c:pt>
                <c:pt idx="98">
                  <c:v>9.8000000000000007</c:v>
                </c:pt>
                <c:pt idx="99">
                  <c:v>9.9</c:v>
                </c:pt>
                <c:pt idx="100">
                  <c:v>10</c:v>
                </c:pt>
                <c:pt idx="101">
                  <c:v>10.100000000000001</c:v>
                </c:pt>
                <c:pt idx="102">
                  <c:v>10.200000000000001</c:v>
                </c:pt>
                <c:pt idx="103">
                  <c:v>10.3</c:v>
                </c:pt>
                <c:pt idx="104">
                  <c:v>10.4</c:v>
                </c:pt>
                <c:pt idx="105">
                  <c:v>10.5</c:v>
                </c:pt>
                <c:pt idx="106">
                  <c:v>10.600000000000001</c:v>
                </c:pt>
                <c:pt idx="107">
                  <c:v>10.700000000000001</c:v>
                </c:pt>
                <c:pt idx="108">
                  <c:v>10.8</c:v>
                </c:pt>
                <c:pt idx="109">
                  <c:v>10.9</c:v>
                </c:pt>
                <c:pt idx="110">
                  <c:v>11</c:v>
                </c:pt>
                <c:pt idx="111">
                  <c:v>11.100000000000001</c:v>
                </c:pt>
                <c:pt idx="112">
                  <c:v>11.200000000000001</c:v>
                </c:pt>
                <c:pt idx="113">
                  <c:v>11.3</c:v>
                </c:pt>
                <c:pt idx="114">
                  <c:v>11.4</c:v>
                </c:pt>
                <c:pt idx="115">
                  <c:v>11.5</c:v>
                </c:pt>
                <c:pt idx="116">
                  <c:v>11.600000000000001</c:v>
                </c:pt>
                <c:pt idx="117">
                  <c:v>11.700000000000001</c:v>
                </c:pt>
                <c:pt idx="118">
                  <c:v>11.8</c:v>
                </c:pt>
                <c:pt idx="119">
                  <c:v>11.9</c:v>
                </c:pt>
                <c:pt idx="120">
                  <c:v>12</c:v>
                </c:pt>
                <c:pt idx="121">
                  <c:v>12.100000000000001</c:v>
                </c:pt>
                <c:pt idx="122">
                  <c:v>12.200000000000001</c:v>
                </c:pt>
                <c:pt idx="123">
                  <c:v>12.3</c:v>
                </c:pt>
                <c:pt idx="124">
                  <c:v>12.4</c:v>
                </c:pt>
                <c:pt idx="125">
                  <c:v>12.5</c:v>
                </c:pt>
                <c:pt idx="126">
                  <c:v>12.600000000000001</c:v>
                </c:pt>
                <c:pt idx="127">
                  <c:v>12.700000000000001</c:v>
                </c:pt>
                <c:pt idx="128">
                  <c:v>12.8</c:v>
                </c:pt>
                <c:pt idx="129">
                  <c:v>12.9</c:v>
                </c:pt>
                <c:pt idx="130">
                  <c:v>13</c:v>
                </c:pt>
                <c:pt idx="131">
                  <c:v>13.100000000000001</c:v>
                </c:pt>
                <c:pt idx="132">
                  <c:v>13.200000000000001</c:v>
                </c:pt>
                <c:pt idx="133">
                  <c:v>13.3</c:v>
                </c:pt>
                <c:pt idx="134">
                  <c:v>13.4</c:v>
                </c:pt>
                <c:pt idx="135">
                  <c:v>13.5</c:v>
                </c:pt>
                <c:pt idx="136">
                  <c:v>13.600000000000001</c:v>
                </c:pt>
                <c:pt idx="137">
                  <c:v>13.700000000000001</c:v>
                </c:pt>
                <c:pt idx="138">
                  <c:v>13.8</c:v>
                </c:pt>
                <c:pt idx="139">
                  <c:v>13.9</c:v>
                </c:pt>
                <c:pt idx="140">
                  <c:v>14</c:v>
                </c:pt>
                <c:pt idx="141">
                  <c:v>14.100000000000001</c:v>
                </c:pt>
                <c:pt idx="142">
                  <c:v>14.200000000000001</c:v>
                </c:pt>
                <c:pt idx="143">
                  <c:v>14.3</c:v>
                </c:pt>
                <c:pt idx="144">
                  <c:v>14.4</c:v>
                </c:pt>
                <c:pt idx="145">
                  <c:v>14.5</c:v>
                </c:pt>
                <c:pt idx="146">
                  <c:v>14.600000000000001</c:v>
                </c:pt>
                <c:pt idx="147">
                  <c:v>14.700000000000001</c:v>
                </c:pt>
                <c:pt idx="148">
                  <c:v>14.8</c:v>
                </c:pt>
                <c:pt idx="149">
                  <c:v>14.9</c:v>
                </c:pt>
                <c:pt idx="150">
                  <c:v>15</c:v>
                </c:pt>
              </c:numCache>
            </c:numRef>
          </c:xVal>
          <c:yVal>
            <c:numRef>
              <c:f>Eff_vs_IOUT!$AP$7:$AP$157</c:f>
              <c:numCache>
                <c:formatCode>General</c:formatCode>
                <c:ptCount val="151"/>
                <c:pt idx="0">
                  <c:v>0</c:v>
                </c:pt>
                <c:pt idx="1">
                  <c:v>1.4907119849998595E-4</c:v>
                </c:pt>
                <c:pt idx="2">
                  <c:v>4.2163702135578394E-4</c:v>
                </c:pt>
                <c:pt idx="3">
                  <c:v>7.7459666924148331E-4</c:v>
                </c:pt>
                <c:pt idx="4">
                  <c:v>1.1925695879998872E-3</c:v>
                </c:pt>
                <c:pt idx="5">
                  <c:v>1.6666666666666661E-3</c:v>
                </c:pt>
                <c:pt idx="6">
                  <c:v>2.1908902300206653E-3</c:v>
                </c:pt>
                <c:pt idx="7">
                  <c:v>2.7608372321131554E-3</c:v>
                </c:pt>
                <c:pt idx="8">
                  <c:v>3.3866666666666659E-3</c:v>
                </c:pt>
                <c:pt idx="9">
                  <c:v>4.0949999999999997E-3</c:v>
                </c:pt>
                <c:pt idx="10">
                  <c:v>4.8866666666666676E-3</c:v>
                </c:pt>
                <c:pt idx="11">
                  <c:v>5.7616666666666667E-3</c:v>
                </c:pt>
                <c:pt idx="12">
                  <c:v>6.7200000000000046E-3</c:v>
                </c:pt>
                <c:pt idx="13">
                  <c:v>7.7616666666666667E-3</c:v>
                </c:pt>
                <c:pt idx="14">
                  <c:v>8.8866666666666677E-3</c:v>
                </c:pt>
                <c:pt idx="15">
                  <c:v>1.0095000000000002E-2</c:v>
                </c:pt>
                <c:pt idx="16">
                  <c:v>1.1386666666666668E-2</c:v>
                </c:pt>
                <c:pt idx="17">
                  <c:v>1.2761666666666669E-2</c:v>
                </c:pt>
                <c:pt idx="18">
                  <c:v>1.4220000000000003E-2</c:v>
                </c:pt>
                <c:pt idx="19">
                  <c:v>1.5761666666666667E-2</c:v>
                </c:pt>
                <c:pt idx="20">
                  <c:v>1.7386666666666672E-2</c:v>
                </c:pt>
                <c:pt idx="21">
                  <c:v>1.9095000000000001E-2</c:v>
                </c:pt>
                <c:pt idx="22">
                  <c:v>2.0886666666666664E-2</c:v>
                </c:pt>
                <c:pt idx="23">
                  <c:v>2.2761666666666677E-2</c:v>
                </c:pt>
                <c:pt idx="24">
                  <c:v>2.4720000000000013E-2</c:v>
                </c:pt>
                <c:pt idx="25">
                  <c:v>2.6761666666666677E-2</c:v>
                </c:pt>
                <c:pt idx="26">
                  <c:v>2.8886666666666665E-2</c:v>
                </c:pt>
                <c:pt idx="27">
                  <c:v>3.1094999999999998E-2</c:v>
                </c:pt>
                <c:pt idx="28">
                  <c:v>3.3386666666666669E-2</c:v>
                </c:pt>
                <c:pt idx="29">
                  <c:v>3.5761666666666685E-2</c:v>
                </c:pt>
                <c:pt idx="30">
                  <c:v>3.8220000000000004E-2</c:v>
                </c:pt>
                <c:pt idx="31">
                  <c:v>4.0761666666666668E-2</c:v>
                </c:pt>
                <c:pt idx="32">
                  <c:v>4.3386666666666664E-2</c:v>
                </c:pt>
                <c:pt idx="33">
                  <c:v>4.6095000000000004E-2</c:v>
                </c:pt>
                <c:pt idx="34">
                  <c:v>4.8886666666666655E-2</c:v>
                </c:pt>
                <c:pt idx="35">
                  <c:v>5.176166666666665E-2</c:v>
                </c:pt>
                <c:pt idx="36">
                  <c:v>5.4719999999999998E-2</c:v>
                </c:pt>
                <c:pt idx="37">
                  <c:v>5.7761666666666676E-2</c:v>
                </c:pt>
                <c:pt idx="38">
                  <c:v>6.0886666666666658E-2</c:v>
                </c:pt>
                <c:pt idx="39">
                  <c:v>6.4094999999999985E-2</c:v>
                </c:pt>
                <c:pt idx="40">
                  <c:v>6.7386666666666678E-2</c:v>
                </c:pt>
                <c:pt idx="41">
                  <c:v>7.0761666666666681E-2</c:v>
                </c:pt>
                <c:pt idx="42">
                  <c:v>7.4220000000000008E-2</c:v>
                </c:pt>
                <c:pt idx="43">
                  <c:v>7.7761666666666673E-2</c:v>
                </c:pt>
                <c:pt idx="44">
                  <c:v>8.1386666666666663E-2</c:v>
                </c:pt>
                <c:pt idx="45">
                  <c:v>8.5095000000000004E-2</c:v>
                </c:pt>
                <c:pt idx="46">
                  <c:v>8.8886666666666697E-2</c:v>
                </c:pt>
                <c:pt idx="47">
                  <c:v>9.2761666666666659E-2</c:v>
                </c:pt>
                <c:pt idx="48">
                  <c:v>9.672000000000007E-2</c:v>
                </c:pt>
                <c:pt idx="49">
                  <c:v>0.10076166666666665</c:v>
                </c:pt>
                <c:pt idx="50">
                  <c:v>0.1048866666666667</c:v>
                </c:pt>
                <c:pt idx="51">
                  <c:v>0.10909500000000005</c:v>
                </c:pt>
                <c:pt idx="52">
                  <c:v>0.11338666666666666</c:v>
                </c:pt>
                <c:pt idx="53">
                  <c:v>0.11776166666666668</c:v>
                </c:pt>
                <c:pt idx="54">
                  <c:v>0.12221999999999998</c:v>
                </c:pt>
                <c:pt idx="55">
                  <c:v>0.12676166666666666</c:v>
                </c:pt>
                <c:pt idx="56">
                  <c:v>0.13138666666666671</c:v>
                </c:pt>
                <c:pt idx="57">
                  <c:v>0.13609500000000002</c:v>
                </c:pt>
                <c:pt idx="58">
                  <c:v>0.14088666666666669</c:v>
                </c:pt>
                <c:pt idx="59">
                  <c:v>0.14576166666666671</c:v>
                </c:pt>
                <c:pt idx="60">
                  <c:v>0.15071999999999999</c:v>
                </c:pt>
                <c:pt idx="61">
                  <c:v>0.15576166666666671</c:v>
                </c:pt>
                <c:pt idx="62">
                  <c:v>0.16088666666666668</c:v>
                </c:pt>
                <c:pt idx="63">
                  <c:v>0.16609500000000008</c:v>
                </c:pt>
                <c:pt idx="64">
                  <c:v>0.17138666666666669</c:v>
                </c:pt>
                <c:pt idx="65">
                  <c:v>0.17676166666666671</c:v>
                </c:pt>
                <c:pt idx="66">
                  <c:v>0.18222000000000002</c:v>
                </c:pt>
                <c:pt idx="67">
                  <c:v>0.18776166666666663</c:v>
                </c:pt>
                <c:pt idx="68">
                  <c:v>0.19338666666666662</c:v>
                </c:pt>
                <c:pt idx="69">
                  <c:v>0.19909499999999994</c:v>
                </c:pt>
                <c:pt idx="70">
                  <c:v>0.20488666666666661</c:v>
                </c:pt>
                <c:pt idx="71">
                  <c:v>0.21076166666666668</c:v>
                </c:pt>
                <c:pt idx="72">
                  <c:v>0.21672</c:v>
                </c:pt>
                <c:pt idx="73">
                  <c:v>0.22276166666666664</c:v>
                </c:pt>
                <c:pt idx="74">
                  <c:v>0.22888666666666665</c:v>
                </c:pt>
                <c:pt idx="75">
                  <c:v>0.235095</c:v>
                </c:pt>
                <c:pt idx="76">
                  <c:v>0.24138666666666664</c:v>
                </c:pt>
                <c:pt idx="77">
                  <c:v>0.24776166666666669</c:v>
                </c:pt>
                <c:pt idx="78">
                  <c:v>0.25422</c:v>
                </c:pt>
                <c:pt idx="79">
                  <c:v>0.26076166666666656</c:v>
                </c:pt>
                <c:pt idx="80">
                  <c:v>0.26738666666666666</c:v>
                </c:pt>
                <c:pt idx="81">
                  <c:v>0.27409500000000003</c:v>
                </c:pt>
                <c:pt idx="82">
                  <c:v>0.28088666666666678</c:v>
                </c:pt>
                <c:pt idx="83">
                  <c:v>0.28776166666666664</c:v>
                </c:pt>
                <c:pt idx="84">
                  <c:v>0.29471999999999993</c:v>
                </c:pt>
                <c:pt idx="85">
                  <c:v>0.30176166666666665</c:v>
                </c:pt>
                <c:pt idx="86">
                  <c:v>0.3088866666666667</c:v>
                </c:pt>
                <c:pt idx="87">
                  <c:v>0.31609500000000013</c:v>
                </c:pt>
                <c:pt idx="88">
                  <c:v>0.32338666666666666</c:v>
                </c:pt>
                <c:pt idx="89">
                  <c:v>0.33076166666666668</c:v>
                </c:pt>
                <c:pt idx="90">
                  <c:v>0.33821999999999997</c:v>
                </c:pt>
                <c:pt idx="91">
                  <c:v>0.34576166666666663</c:v>
                </c:pt>
                <c:pt idx="92">
                  <c:v>0.35338666666666674</c:v>
                </c:pt>
                <c:pt idx="93">
                  <c:v>0.361095</c:v>
                </c:pt>
                <c:pt idx="94">
                  <c:v>0.36888666666666664</c:v>
                </c:pt>
                <c:pt idx="95">
                  <c:v>0.37676166666666666</c:v>
                </c:pt>
                <c:pt idx="96">
                  <c:v>0.38472000000000012</c:v>
                </c:pt>
                <c:pt idx="97">
                  <c:v>0.39276166666666673</c:v>
                </c:pt>
                <c:pt idx="98">
                  <c:v>0.40088666666666661</c:v>
                </c:pt>
                <c:pt idx="99">
                  <c:v>0.40909500000000004</c:v>
                </c:pt>
                <c:pt idx="100">
                  <c:v>0.41738666666666668</c:v>
                </c:pt>
                <c:pt idx="101">
                  <c:v>0.42576166666666682</c:v>
                </c:pt>
                <c:pt idx="102">
                  <c:v>0.43422000000000011</c:v>
                </c:pt>
                <c:pt idx="103">
                  <c:v>0.44276166666666672</c:v>
                </c:pt>
                <c:pt idx="104">
                  <c:v>0.45138666666666666</c:v>
                </c:pt>
                <c:pt idx="105">
                  <c:v>0.46009500000000003</c:v>
                </c:pt>
                <c:pt idx="106">
                  <c:v>0.46888666666666673</c:v>
                </c:pt>
                <c:pt idx="107">
                  <c:v>0.47776166666666681</c:v>
                </c:pt>
                <c:pt idx="108">
                  <c:v>0.4867200000000001</c:v>
                </c:pt>
                <c:pt idx="109">
                  <c:v>0.49576166666666677</c:v>
                </c:pt>
                <c:pt idx="110">
                  <c:v>0.50488666666666671</c:v>
                </c:pt>
                <c:pt idx="111">
                  <c:v>0.5140950000000003</c:v>
                </c:pt>
                <c:pt idx="112">
                  <c:v>0.52338666666666678</c:v>
                </c:pt>
                <c:pt idx="113">
                  <c:v>0.53276166666666669</c:v>
                </c:pt>
                <c:pt idx="114">
                  <c:v>0.54222000000000004</c:v>
                </c:pt>
                <c:pt idx="115">
                  <c:v>0.55176166666666682</c:v>
                </c:pt>
                <c:pt idx="116">
                  <c:v>0.56138666666666681</c:v>
                </c:pt>
                <c:pt idx="117">
                  <c:v>0.57109500000000024</c:v>
                </c:pt>
                <c:pt idx="118">
                  <c:v>0.58088666666666688</c:v>
                </c:pt>
                <c:pt idx="119">
                  <c:v>0.59076166666666674</c:v>
                </c:pt>
                <c:pt idx="120">
                  <c:v>0.60072000000000003</c:v>
                </c:pt>
                <c:pt idx="121">
                  <c:v>0.61076166666666676</c:v>
                </c:pt>
                <c:pt idx="122">
                  <c:v>0.62088666666666692</c:v>
                </c:pt>
                <c:pt idx="123">
                  <c:v>0.63109500000000007</c:v>
                </c:pt>
                <c:pt idx="124">
                  <c:v>0.64138666666666688</c:v>
                </c:pt>
                <c:pt idx="125">
                  <c:v>0.65176166666666668</c:v>
                </c:pt>
                <c:pt idx="126">
                  <c:v>0.66222000000000025</c:v>
                </c:pt>
                <c:pt idx="127">
                  <c:v>0.6727616666666667</c:v>
                </c:pt>
                <c:pt idx="128">
                  <c:v>0.6833866666666667</c:v>
                </c:pt>
                <c:pt idx="129">
                  <c:v>0.69409500000000002</c:v>
                </c:pt>
                <c:pt idx="130">
                  <c:v>0.70488666666666677</c:v>
                </c:pt>
                <c:pt idx="131">
                  <c:v>0.71576166666666663</c:v>
                </c:pt>
                <c:pt idx="132">
                  <c:v>0.72672000000000014</c:v>
                </c:pt>
                <c:pt idx="133">
                  <c:v>0.73776166666666665</c:v>
                </c:pt>
                <c:pt idx="134">
                  <c:v>0.74888666666666659</c:v>
                </c:pt>
                <c:pt idx="135">
                  <c:v>0.76009500000000008</c:v>
                </c:pt>
                <c:pt idx="136">
                  <c:v>0.77138666666666678</c:v>
                </c:pt>
                <c:pt idx="137">
                  <c:v>0.78276166666666669</c:v>
                </c:pt>
                <c:pt idx="138">
                  <c:v>0.79422000000000004</c:v>
                </c:pt>
                <c:pt idx="139">
                  <c:v>0.80576166666666671</c:v>
                </c:pt>
                <c:pt idx="140">
                  <c:v>0.81738666666666659</c:v>
                </c:pt>
                <c:pt idx="141">
                  <c:v>0.82909500000000003</c:v>
                </c:pt>
                <c:pt idx="142">
                  <c:v>0.84088666666666689</c:v>
                </c:pt>
                <c:pt idx="143">
                  <c:v>0.85276166666666664</c:v>
                </c:pt>
                <c:pt idx="144">
                  <c:v>0.86472000000000004</c:v>
                </c:pt>
                <c:pt idx="145">
                  <c:v>0.87676166666666677</c:v>
                </c:pt>
                <c:pt idx="146">
                  <c:v>0.88888666666666682</c:v>
                </c:pt>
                <c:pt idx="147">
                  <c:v>0.90109500000000009</c:v>
                </c:pt>
                <c:pt idx="148">
                  <c:v>0.91338666666666668</c:v>
                </c:pt>
                <c:pt idx="149">
                  <c:v>0.9257616666666667</c:v>
                </c:pt>
                <c:pt idx="150">
                  <c:v>0.93822000000000016</c:v>
                </c:pt>
              </c:numCache>
            </c:numRef>
          </c:yVal>
          <c:smooth val="1"/>
          <c:extLst>
            <c:ext xmlns:c16="http://schemas.microsoft.com/office/drawing/2014/chart" uri="{C3380CC4-5D6E-409C-BE32-E72D297353CC}">
              <c16:uniqueId val="{00000003-7DAF-432D-B540-E0424C156B7E}"/>
            </c:ext>
          </c:extLst>
        </c:ser>
        <c:dLbls>
          <c:showLegendKey val="0"/>
          <c:showVal val="0"/>
          <c:showCatName val="0"/>
          <c:showSerName val="0"/>
          <c:showPercent val="0"/>
          <c:showBubbleSize val="0"/>
        </c:dLbls>
        <c:axId val="522502144"/>
        <c:axId val="522491776"/>
      </c:scatterChart>
      <c:valAx>
        <c:axId val="522488064"/>
        <c:scaling>
          <c:orientation val="minMax"/>
        </c:scaling>
        <c:delete val="0"/>
        <c:axPos val="b"/>
        <c:majorGridlines/>
        <c:numFmt formatCode="General" sourceLinked="1"/>
        <c:majorTickMark val="out"/>
        <c:minorTickMark val="none"/>
        <c:tickLblPos val="nextTo"/>
        <c:crossAx val="522489856"/>
        <c:crosses val="autoZero"/>
        <c:crossBetween val="midCat"/>
      </c:valAx>
      <c:valAx>
        <c:axId val="522489856"/>
        <c:scaling>
          <c:orientation val="minMax"/>
          <c:max val="100"/>
          <c:min val="60"/>
        </c:scaling>
        <c:delete val="0"/>
        <c:axPos val="l"/>
        <c:majorGridlines/>
        <c:title>
          <c:tx>
            <c:rich>
              <a:bodyPr rot="-5400000" vert="horz"/>
              <a:lstStyle/>
              <a:p>
                <a:pPr>
                  <a:defRPr sz="1400"/>
                </a:pPr>
                <a:r>
                  <a:rPr lang="en-US" sz="1400"/>
                  <a:t>Efficiency</a:t>
                </a:r>
                <a:r>
                  <a:rPr lang="en-US" sz="1400" baseline="0"/>
                  <a:t> (%)</a:t>
                </a:r>
                <a:endParaRPr lang="en-US" sz="1400"/>
              </a:p>
            </c:rich>
          </c:tx>
          <c:overlay val="0"/>
        </c:title>
        <c:numFmt formatCode="General" sourceLinked="1"/>
        <c:majorTickMark val="out"/>
        <c:minorTickMark val="none"/>
        <c:tickLblPos val="nextTo"/>
        <c:crossAx val="522488064"/>
        <c:crosses val="autoZero"/>
        <c:crossBetween val="midCat"/>
      </c:valAx>
      <c:valAx>
        <c:axId val="522491776"/>
        <c:scaling>
          <c:orientation val="minMax"/>
        </c:scaling>
        <c:delete val="0"/>
        <c:axPos val="r"/>
        <c:title>
          <c:tx>
            <c:rich>
              <a:bodyPr rot="-5400000" vert="horz"/>
              <a:lstStyle/>
              <a:p>
                <a:pPr>
                  <a:defRPr sz="1400"/>
                </a:pPr>
                <a:r>
                  <a:rPr lang="en-US" sz="1400"/>
                  <a:t>Losses</a:t>
                </a:r>
                <a:r>
                  <a:rPr lang="en-US" sz="1400" baseline="0"/>
                  <a:t> (W)</a:t>
                </a:r>
                <a:endParaRPr lang="en-US" sz="1400"/>
              </a:p>
            </c:rich>
          </c:tx>
          <c:overlay val="0"/>
        </c:title>
        <c:numFmt formatCode="General" sourceLinked="1"/>
        <c:majorTickMark val="out"/>
        <c:minorTickMark val="none"/>
        <c:tickLblPos val="nextTo"/>
        <c:crossAx val="522502144"/>
        <c:crosses val="max"/>
        <c:crossBetween val="midCat"/>
      </c:valAx>
      <c:valAx>
        <c:axId val="522502144"/>
        <c:scaling>
          <c:orientation val="minMax"/>
        </c:scaling>
        <c:delete val="1"/>
        <c:axPos val="b"/>
        <c:title>
          <c:tx>
            <c:rich>
              <a:bodyPr/>
              <a:lstStyle/>
              <a:p>
                <a:pPr>
                  <a:defRPr/>
                </a:pPr>
                <a:r>
                  <a:rPr lang="en-US"/>
                  <a:t>Loac</a:t>
                </a:r>
                <a:r>
                  <a:rPr lang="en-US" baseline="0"/>
                  <a:t> Current (A)</a:t>
                </a:r>
                <a:endParaRPr lang="en-US"/>
              </a:p>
            </c:rich>
          </c:tx>
          <c:overlay val="0"/>
        </c:title>
        <c:numFmt formatCode="General" sourceLinked="1"/>
        <c:majorTickMark val="out"/>
        <c:minorTickMark val="none"/>
        <c:tickLblPos val="nextTo"/>
        <c:crossAx val="522491776"/>
        <c:crosses val="autoZero"/>
        <c:crossBetween val="midCat"/>
      </c:valAx>
    </c:plotArea>
    <c:legend>
      <c:legendPos val="r"/>
      <c:layout>
        <c:manualLayout>
          <c:xMode val="edge"/>
          <c:yMode val="edge"/>
          <c:x val="0.51894403926190358"/>
          <c:y val="6.4862204724409449E-3"/>
          <c:w val="0.39609572935704079"/>
          <c:h val="0.12183653099700564"/>
        </c:manualLayout>
      </c:layout>
      <c:overlay val="1"/>
    </c:legend>
    <c:plotVisOnly val="1"/>
    <c:dispBlanksAs val="gap"/>
    <c:showDLblsOverMax val="0"/>
  </c:chart>
  <c:spPr>
    <a:ln>
      <a:noFill/>
    </a:ln>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Efficiency</a:t>
            </a:r>
          </a:p>
        </c:rich>
      </c:tx>
      <c:overlay val="0"/>
    </c:title>
    <c:autoTitleDeleted val="0"/>
    <c:plotArea>
      <c:layout/>
      <c:scatterChart>
        <c:scatterStyle val="smoothMarker"/>
        <c:varyColors val="0"/>
        <c:ser>
          <c:idx val="0"/>
          <c:order val="0"/>
          <c:tx>
            <c:v>Eff</c:v>
          </c:tx>
          <c:marker>
            <c:symbol val="none"/>
          </c:marker>
          <c:xVal>
            <c:numRef>
              <c:f>Eff_vs_IOUT!$S$7:$S$157</c:f>
              <c:numCache>
                <c:formatCode>General</c:formatCode>
                <c:ptCount val="151"/>
                <c:pt idx="0">
                  <c:v>0</c:v>
                </c:pt>
                <c:pt idx="1">
                  <c:v>0.1</c:v>
                </c:pt>
                <c:pt idx="2">
                  <c:v>0.2</c:v>
                </c:pt>
                <c:pt idx="3">
                  <c:v>0.30000000000000004</c:v>
                </c:pt>
                <c:pt idx="4">
                  <c:v>0.4</c:v>
                </c:pt>
                <c:pt idx="5">
                  <c:v>0.5</c:v>
                </c:pt>
                <c:pt idx="6">
                  <c:v>0.60000000000000009</c:v>
                </c:pt>
                <c:pt idx="7">
                  <c:v>0.70000000000000007</c:v>
                </c:pt>
                <c:pt idx="8">
                  <c:v>0.8</c:v>
                </c:pt>
                <c:pt idx="9">
                  <c:v>0.9</c:v>
                </c:pt>
                <c:pt idx="10">
                  <c:v>1</c:v>
                </c:pt>
                <c:pt idx="11">
                  <c:v>1.1000000000000001</c:v>
                </c:pt>
                <c:pt idx="12">
                  <c:v>1.2000000000000002</c:v>
                </c:pt>
                <c:pt idx="13">
                  <c:v>1.3</c:v>
                </c:pt>
                <c:pt idx="14">
                  <c:v>1.4000000000000001</c:v>
                </c:pt>
                <c:pt idx="15">
                  <c:v>1.5</c:v>
                </c:pt>
                <c:pt idx="16">
                  <c:v>1.6</c:v>
                </c:pt>
                <c:pt idx="17">
                  <c:v>1.7000000000000002</c:v>
                </c:pt>
                <c:pt idx="18">
                  <c:v>1.8</c:v>
                </c:pt>
                <c:pt idx="19">
                  <c:v>1.9000000000000001</c:v>
                </c:pt>
                <c:pt idx="20">
                  <c:v>2</c:v>
                </c:pt>
                <c:pt idx="21">
                  <c:v>2.1</c:v>
                </c:pt>
                <c:pt idx="22">
                  <c:v>2.2000000000000002</c:v>
                </c:pt>
                <c:pt idx="23">
                  <c:v>2.3000000000000003</c:v>
                </c:pt>
                <c:pt idx="24">
                  <c:v>2.4000000000000004</c:v>
                </c:pt>
                <c:pt idx="25">
                  <c:v>2.5</c:v>
                </c:pt>
                <c:pt idx="26">
                  <c:v>2.6</c:v>
                </c:pt>
                <c:pt idx="27">
                  <c:v>2.7</c:v>
                </c:pt>
                <c:pt idx="28">
                  <c:v>2.8000000000000003</c:v>
                </c:pt>
                <c:pt idx="29">
                  <c:v>2.9000000000000004</c:v>
                </c:pt>
                <c:pt idx="30">
                  <c:v>3</c:v>
                </c:pt>
                <c:pt idx="31">
                  <c:v>3.1</c:v>
                </c:pt>
                <c:pt idx="32">
                  <c:v>3.2</c:v>
                </c:pt>
                <c:pt idx="33">
                  <c:v>3.3000000000000003</c:v>
                </c:pt>
                <c:pt idx="34">
                  <c:v>3.4000000000000004</c:v>
                </c:pt>
                <c:pt idx="35">
                  <c:v>3.5</c:v>
                </c:pt>
                <c:pt idx="36">
                  <c:v>3.6</c:v>
                </c:pt>
                <c:pt idx="37">
                  <c:v>3.7</c:v>
                </c:pt>
                <c:pt idx="38">
                  <c:v>3.8000000000000003</c:v>
                </c:pt>
                <c:pt idx="39">
                  <c:v>3.9000000000000004</c:v>
                </c:pt>
                <c:pt idx="40">
                  <c:v>4</c:v>
                </c:pt>
                <c:pt idx="41">
                  <c:v>4.1000000000000005</c:v>
                </c:pt>
                <c:pt idx="42">
                  <c:v>4.2</c:v>
                </c:pt>
                <c:pt idx="43">
                  <c:v>4.3</c:v>
                </c:pt>
                <c:pt idx="44">
                  <c:v>4.4000000000000004</c:v>
                </c:pt>
                <c:pt idx="45">
                  <c:v>4.5</c:v>
                </c:pt>
                <c:pt idx="46">
                  <c:v>4.6000000000000005</c:v>
                </c:pt>
                <c:pt idx="47">
                  <c:v>4.7</c:v>
                </c:pt>
                <c:pt idx="48">
                  <c:v>4.8000000000000007</c:v>
                </c:pt>
                <c:pt idx="49">
                  <c:v>4.9000000000000004</c:v>
                </c:pt>
                <c:pt idx="50">
                  <c:v>5</c:v>
                </c:pt>
                <c:pt idx="51">
                  <c:v>5.1000000000000005</c:v>
                </c:pt>
                <c:pt idx="52">
                  <c:v>5.2</c:v>
                </c:pt>
                <c:pt idx="53">
                  <c:v>5.3000000000000007</c:v>
                </c:pt>
                <c:pt idx="54">
                  <c:v>5.4</c:v>
                </c:pt>
                <c:pt idx="55">
                  <c:v>5.5</c:v>
                </c:pt>
                <c:pt idx="56">
                  <c:v>5.6000000000000005</c:v>
                </c:pt>
                <c:pt idx="57">
                  <c:v>5.7</c:v>
                </c:pt>
                <c:pt idx="58">
                  <c:v>5.8000000000000007</c:v>
                </c:pt>
                <c:pt idx="59">
                  <c:v>5.9</c:v>
                </c:pt>
                <c:pt idx="60">
                  <c:v>6</c:v>
                </c:pt>
                <c:pt idx="61">
                  <c:v>6.1000000000000005</c:v>
                </c:pt>
                <c:pt idx="62">
                  <c:v>6.2</c:v>
                </c:pt>
                <c:pt idx="63">
                  <c:v>6.3000000000000007</c:v>
                </c:pt>
                <c:pt idx="64">
                  <c:v>6.4</c:v>
                </c:pt>
                <c:pt idx="65">
                  <c:v>6.5</c:v>
                </c:pt>
                <c:pt idx="66">
                  <c:v>6.6000000000000005</c:v>
                </c:pt>
                <c:pt idx="67">
                  <c:v>6.7</c:v>
                </c:pt>
                <c:pt idx="68">
                  <c:v>6.8000000000000007</c:v>
                </c:pt>
                <c:pt idx="69">
                  <c:v>6.9</c:v>
                </c:pt>
                <c:pt idx="70">
                  <c:v>7</c:v>
                </c:pt>
                <c:pt idx="71">
                  <c:v>7.1000000000000005</c:v>
                </c:pt>
                <c:pt idx="72">
                  <c:v>7.2</c:v>
                </c:pt>
                <c:pt idx="73">
                  <c:v>7.3000000000000007</c:v>
                </c:pt>
                <c:pt idx="74">
                  <c:v>7.4</c:v>
                </c:pt>
                <c:pt idx="75">
                  <c:v>7.5</c:v>
                </c:pt>
                <c:pt idx="76">
                  <c:v>7.6000000000000005</c:v>
                </c:pt>
                <c:pt idx="77">
                  <c:v>7.7</c:v>
                </c:pt>
                <c:pt idx="78">
                  <c:v>7.8000000000000007</c:v>
                </c:pt>
                <c:pt idx="79">
                  <c:v>7.9</c:v>
                </c:pt>
                <c:pt idx="80">
                  <c:v>8</c:v>
                </c:pt>
                <c:pt idx="81">
                  <c:v>8.1</c:v>
                </c:pt>
                <c:pt idx="82">
                  <c:v>8.2000000000000011</c:v>
                </c:pt>
                <c:pt idx="83">
                  <c:v>8.3000000000000007</c:v>
                </c:pt>
                <c:pt idx="84">
                  <c:v>8.4</c:v>
                </c:pt>
                <c:pt idx="85">
                  <c:v>8.5</c:v>
                </c:pt>
                <c:pt idx="86">
                  <c:v>8.6</c:v>
                </c:pt>
                <c:pt idx="87">
                  <c:v>8.7000000000000011</c:v>
                </c:pt>
                <c:pt idx="88">
                  <c:v>8.8000000000000007</c:v>
                </c:pt>
                <c:pt idx="89">
                  <c:v>8.9</c:v>
                </c:pt>
                <c:pt idx="90">
                  <c:v>9</c:v>
                </c:pt>
                <c:pt idx="91">
                  <c:v>9.1</c:v>
                </c:pt>
                <c:pt idx="92">
                  <c:v>9.2000000000000011</c:v>
                </c:pt>
                <c:pt idx="93">
                  <c:v>9.3000000000000007</c:v>
                </c:pt>
                <c:pt idx="94">
                  <c:v>9.4</c:v>
                </c:pt>
                <c:pt idx="95">
                  <c:v>9.5</c:v>
                </c:pt>
                <c:pt idx="96">
                  <c:v>9.6000000000000014</c:v>
                </c:pt>
                <c:pt idx="97">
                  <c:v>9.7000000000000011</c:v>
                </c:pt>
                <c:pt idx="98">
                  <c:v>9.8000000000000007</c:v>
                </c:pt>
                <c:pt idx="99">
                  <c:v>9.9</c:v>
                </c:pt>
                <c:pt idx="100">
                  <c:v>10</c:v>
                </c:pt>
                <c:pt idx="101">
                  <c:v>10.100000000000001</c:v>
                </c:pt>
                <c:pt idx="102">
                  <c:v>10.200000000000001</c:v>
                </c:pt>
                <c:pt idx="103">
                  <c:v>10.3</c:v>
                </c:pt>
                <c:pt idx="104">
                  <c:v>10.4</c:v>
                </c:pt>
                <c:pt idx="105">
                  <c:v>10.5</c:v>
                </c:pt>
                <c:pt idx="106">
                  <c:v>10.600000000000001</c:v>
                </c:pt>
                <c:pt idx="107">
                  <c:v>10.700000000000001</c:v>
                </c:pt>
                <c:pt idx="108">
                  <c:v>10.8</c:v>
                </c:pt>
                <c:pt idx="109">
                  <c:v>10.9</c:v>
                </c:pt>
                <c:pt idx="110">
                  <c:v>11</c:v>
                </c:pt>
                <c:pt idx="111">
                  <c:v>11.100000000000001</c:v>
                </c:pt>
                <c:pt idx="112">
                  <c:v>11.200000000000001</c:v>
                </c:pt>
                <c:pt idx="113">
                  <c:v>11.3</c:v>
                </c:pt>
                <c:pt idx="114">
                  <c:v>11.4</c:v>
                </c:pt>
                <c:pt idx="115">
                  <c:v>11.5</c:v>
                </c:pt>
                <c:pt idx="116">
                  <c:v>11.600000000000001</c:v>
                </c:pt>
                <c:pt idx="117">
                  <c:v>11.700000000000001</c:v>
                </c:pt>
                <c:pt idx="118">
                  <c:v>11.8</c:v>
                </c:pt>
                <c:pt idx="119">
                  <c:v>11.9</c:v>
                </c:pt>
                <c:pt idx="120">
                  <c:v>12</c:v>
                </c:pt>
                <c:pt idx="121">
                  <c:v>12.100000000000001</c:v>
                </c:pt>
                <c:pt idx="122">
                  <c:v>12.200000000000001</c:v>
                </c:pt>
                <c:pt idx="123">
                  <c:v>12.3</c:v>
                </c:pt>
                <c:pt idx="124">
                  <c:v>12.4</c:v>
                </c:pt>
                <c:pt idx="125">
                  <c:v>12.5</c:v>
                </c:pt>
                <c:pt idx="126">
                  <c:v>12.600000000000001</c:v>
                </c:pt>
                <c:pt idx="127">
                  <c:v>12.700000000000001</c:v>
                </c:pt>
                <c:pt idx="128">
                  <c:v>12.8</c:v>
                </c:pt>
                <c:pt idx="129">
                  <c:v>12.9</c:v>
                </c:pt>
                <c:pt idx="130">
                  <c:v>13</c:v>
                </c:pt>
                <c:pt idx="131">
                  <c:v>13.100000000000001</c:v>
                </c:pt>
                <c:pt idx="132">
                  <c:v>13.200000000000001</c:v>
                </c:pt>
                <c:pt idx="133">
                  <c:v>13.3</c:v>
                </c:pt>
                <c:pt idx="134">
                  <c:v>13.4</c:v>
                </c:pt>
                <c:pt idx="135">
                  <c:v>13.5</c:v>
                </c:pt>
                <c:pt idx="136">
                  <c:v>13.600000000000001</c:v>
                </c:pt>
                <c:pt idx="137">
                  <c:v>13.700000000000001</c:v>
                </c:pt>
                <c:pt idx="138">
                  <c:v>13.8</c:v>
                </c:pt>
                <c:pt idx="139">
                  <c:v>13.9</c:v>
                </c:pt>
                <c:pt idx="140">
                  <c:v>14</c:v>
                </c:pt>
                <c:pt idx="141">
                  <c:v>14.100000000000001</c:v>
                </c:pt>
                <c:pt idx="142">
                  <c:v>14.200000000000001</c:v>
                </c:pt>
                <c:pt idx="143">
                  <c:v>14.3</c:v>
                </c:pt>
                <c:pt idx="144">
                  <c:v>14.4</c:v>
                </c:pt>
                <c:pt idx="145">
                  <c:v>14.5</c:v>
                </c:pt>
                <c:pt idx="146">
                  <c:v>14.600000000000001</c:v>
                </c:pt>
                <c:pt idx="147">
                  <c:v>14.700000000000001</c:v>
                </c:pt>
                <c:pt idx="148">
                  <c:v>14.8</c:v>
                </c:pt>
                <c:pt idx="149">
                  <c:v>14.9</c:v>
                </c:pt>
                <c:pt idx="150">
                  <c:v>15</c:v>
                </c:pt>
              </c:numCache>
            </c:numRef>
          </c:xVal>
          <c:yVal>
            <c:numRef>
              <c:f>Eff_vs_IOUT!$AW$7:$AW$157</c:f>
              <c:numCache>
                <c:formatCode>General</c:formatCode>
                <c:ptCount val="151"/>
                <c:pt idx="0">
                  <c:v>0</c:v>
                </c:pt>
                <c:pt idx="1">
                  <c:v>53.436155743681113</c:v>
                </c:pt>
                <c:pt idx="2">
                  <c:v>67.632828206566529</c:v>
                </c:pt>
                <c:pt idx="3">
                  <c:v>74.151370871490215</c:v>
                </c:pt>
                <c:pt idx="4">
                  <c:v>77.871016719572111</c:v>
                </c:pt>
                <c:pt idx="5">
                  <c:v>80.262958325614747</c:v>
                </c:pt>
                <c:pt idx="6">
                  <c:v>81.922588250678501</c:v>
                </c:pt>
                <c:pt idx="7">
                  <c:v>83.136406555482793</c:v>
                </c:pt>
                <c:pt idx="8">
                  <c:v>84.490341376110422</c:v>
                </c:pt>
                <c:pt idx="9">
                  <c:v>85.669510246206741</c:v>
                </c:pt>
                <c:pt idx="10">
                  <c:v>86.63408778158616</c:v>
                </c:pt>
                <c:pt idx="11">
                  <c:v>87.437072389024166</c:v>
                </c:pt>
                <c:pt idx="12">
                  <c:v>88.115338072752351</c:v>
                </c:pt>
                <c:pt idx="13">
                  <c:v>88.695333158571998</c:v>
                </c:pt>
                <c:pt idx="14">
                  <c:v>89.196521707079725</c:v>
                </c:pt>
                <c:pt idx="15">
                  <c:v>89.633546175789931</c:v>
                </c:pt>
                <c:pt idx="16">
                  <c:v>90.017633349143892</c:v>
                </c:pt>
                <c:pt idx="17">
                  <c:v>90.357535431154574</c:v>
                </c:pt>
                <c:pt idx="18">
                  <c:v>90.660176238383073</c:v>
                </c:pt>
                <c:pt idx="19">
                  <c:v>90.9311049531062</c:v>
                </c:pt>
                <c:pt idx="20">
                  <c:v>91.174821136230335</c:v>
                </c:pt>
                <c:pt idx="21">
                  <c:v>91.395011690172765</c:v>
                </c:pt>
                <c:pt idx="22">
                  <c:v>91.594726398924735</c:v>
                </c:pt>
                <c:pt idx="23">
                  <c:v>91.776509850943526</c:v>
                </c:pt>
                <c:pt idx="24">
                  <c:v>91.94250188610674</c:v>
                </c:pt>
                <c:pt idx="25">
                  <c:v>92.094514993254563</c:v>
                </c:pt>
                <c:pt idx="26">
                  <c:v>92.234094601651677</c:v>
                </c:pt>
                <c:pt idx="27">
                  <c:v>92.362566520497126</c:v>
                </c:pt>
                <c:pt idx="28">
                  <c:v>92.481074612991748</c:v>
                </c:pt>
                <c:pt idx="29">
                  <c:v>92.590610972426873</c:v>
                </c:pt>
                <c:pt idx="30">
                  <c:v>92.692040285375526</c:v>
                </c:pt>
                <c:pt idx="31">
                  <c:v>92.786119647727489</c:v>
                </c:pt>
                <c:pt idx="32">
                  <c:v>92.873514793828264</c:v>
                </c:pt>
                <c:pt idx="33">
                  <c:v>92.954813474013079</c:v>
                </c:pt>
                <c:pt idx="34">
                  <c:v>93.030536548465676</c:v>
                </c:pt>
                <c:pt idx="35">
                  <c:v>93.101147239639062</c:v>
                </c:pt>
                <c:pt idx="36">
                  <c:v>93.167058890236589</c:v>
                </c:pt>
                <c:pt idx="37">
                  <c:v>93.228641500980984</c:v>
                </c:pt>
                <c:pt idx="38">
                  <c:v>93.28622726635956</c:v>
                </c:pt>
                <c:pt idx="39">
                  <c:v>93.340115283055567</c:v>
                </c:pt>
                <c:pt idx="40">
                  <c:v>93.39057557180908</c:v>
                </c:pt>
                <c:pt idx="41">
                  <c:v>93.437852526735256</c:v>
                </c:pt>
                <c:pt idx="42">
                  <c:v>93.482167884986339</c:v>
                </c:pt>
                <c:pt idx="43">
                  <c:v>93.523723292811695</c:v>
                </c:pt>
                <c:pt idx="44">
                  <c:v>93.562702530593384</c:v>
                </c:pt>
                <c:pt idx="45">
                  <c:v>93.59927344858653</c:v>
                </c:pt>
                <c:pt idx="46">
                  <c:v>93.633589656316474</c:v>
                </c:pt>
                <c:pt idx="47">
                  <c:v>93.6657920014475</c:v>
                </c:pt>
                <c:pt idx="48">
                  <c:v>93.696009868108817</c:v>
                </c:pt>
                <c:pt idx="49">
                  <c:v>93.724362319879248</c:v>
                </c:pt>
                <c:pt idx="50">
                  <c:v>93.750959108690495</c:v>
                </c:pt>
                <c:pt idx="51">
                  <c:v>93.775901567647637</c:v>
                </c:pt>
                <c:pt idx="52">
                  <c:v>93.79928340305581</c:v>
                </c:pt>
                <c:pt idx="53">
                  <c:v>93.821191398683467</c:v>
                </c:pt>
                <c:pt idx="54">
                  <c:v>93.84170604340224</c:v>
                </c:pt>
                <c:pt idx="55">
                  <c:v>93.86090209175623</c:v>
                </c:pt>
                <c:pt idx="56">
                  <c:v>93.87884906567605</c:v>
                </c:pt>
                <c:pt idx="57">
                  <c:v>93.895611704423189</c:v>
                </c:pt>
                <c:pt idx="58">
                  <c:v>93.911250368891061</c:v>
                </c:pt>
                <c:pt idx="59">
                  <c:v>93.925821405575263</c:v>
                </c:pt>
                <c:pt idx="60">
                  <c:v>93.939377474829612</c:v>
                </c:pt>
                <c:pt idx="61">
                  <c:v>93.951967847430865</c:v>
                </c:pt>
                <c:pt idx="62">
                  <c:v>93.963638672965033</c:v>
                </c:pt>
                <c:pt idx="63">
                  <c:v>93.974433223110466</c:v>
                </c:pt>
                <c:pt idx="64">
                  <c:v>93.984392112514541</c:v>
                </c:pt>
                <c:pt idx="65">
                  <c:v>93.993553499635695</c:v>
                </c:pt>
                <c:pt idx="66">
                  <c:v>94.001953269638904</c:v>
                </c:pt>
                <c:pt idx="67">
                  <c:v>94.009625201188214</c:v>
                </c:pt>
                <c:pt idx="68">
                  <c:v>94.016601118766616</c:v>
                </c:pt>
                <c:pt idx="69">
                  <c:v>94.022911031967269</c:v>
                </c:pt>
                <c:pt idx="70">
                  <c:v>94.02858326303803</c:v>
                </c:pt>
                <c:pt idx="71">
                  <c:v>94.033644563818925</c:v>
                </c:pt>
                <c:pt idx="72">
                  <c:v>94.038120223087901</c:v>
                </c:pt>
                <c:pt idx="73">
                  <c:v>94.042034165219818</c:v>
                </c:pt>
                <c:pt idx="74">
                  <c:v>94.045409040968593</c:v>
                </c:pt>
                <c:pt idx="75">
                  <c:v>94.048266311095901</c:v>
                </c:pt>
                <c:pt idx="76">
                  <c:v>94.050626323495933</c:v>
                </c:pt>
                <c:pt idx="77">
                  <c:v>94.052508384398635</c:v>
                </c:pt>
                <c:pt idx="78">
                  <c:v>94.053930824175254</c:v>
                </c:pt>
                <c:pt idx="79">
                  <c:v>94.054911058217399</c:v>
                </c:pt>
                <c:pt idx="80">
                  <c:v>94.055465643314861</c:v>
                </c:pt>
                <c:pt idx="81">
                  <c:v>94.055610329915538</c:v>
                </c:pt>
                <c:pt idx="82">
                  <c:v>94.05536011061433</c:v>
                </c:pt>
                <c:pt idx="83">
                  <c:v>94.054729265184477</c:v>
                </c:pt>
                <c:pt idx="84">
                  <c:v>94.053731402435886</c:v>
                </c:pt>
                <c:pt idx="85">
                  <c:v>94.052379499157894</c:v>
                </c:pt>
                <c:pt idx="86">
                  <c:v>94.050685936381029</c:v>
                </c:pt>
                <c:pt idx="87">
                  <c:v>94.048662533170486</c:v>
                </c:pt>
                <c:pt idx="88">
                  <c:v>94.046320578145099</c:v>
                </c:pt>
                <c:pt idx="89">
                  <c:v>94.043670858898508</c:v>
                </c:pt>
                <c:pt idx="90">
                  <c:v>94.040723689483656</c:v>
                </c:pt>
                <c:pt idx="91">
                  <c:v>94.037488936107621</c:v>
                </c:pt>
                <c:pt idx="92">
                  <c:v>94.033976041171314</c:v>
                </c:pt>
                <c:pt idx="93">
                  <c:v>94.030194045777264</c:v>
                </c:pt>
                <c:pt idx="94">
                  <c:v>94.026151610817934</c:v>
                </c:pt>
                <c:pt idx="95">
                  <c:v>94.021857036748045</c:v>
                </c:pt>
                <c:pt idx="96">
                  <c:v>94.017318282135847</c:v>
                </c:pt>
                <c:pt idx="97">
                  <c:v>94.012542981080088</c:v>
                </c:pt>
                <c:pt idx="98">
                  <c:v>94.00753845957324</c:v>
                </c:pt>
                <c:pt idx="99">
                  <c:v>94.002311750884132</c:v>
                </c:pt>
                <c:pt idx="100">
                  <c:v>93.996869610028256</c:v>
                </c:pt>
                <c:pt idx="101">
                  <c:v>93.991218527388071</c:v>
                </c:pt>
                <c:pt idx="102">
                  <c:v>93.985364741540934</c:v>
                </c:pt>
                <c:pt idx="103">
                  <c:v>93.979314251348171</c:v>
                </c:pt>
                <c:pt idx="104">
                  <c:v>93.973072827354159</c:v>
                </c:pt>
                <c:pt idx="105">
                  <c:v>93.966646022541141</c:v>
                </c:pt>
                <c:pt idx="106">
                  <c:v>93.960039182481808</c:v>
                </c:pt>
                <c:pt idx="107">
                  <c:v>93.95325745492859</c:v>
                </c:pt>
                <c:pt idx="108">
                  <c:v>93.946305798875798</c:v>
                </c:pt>
                <c:pt idx="109">
                  <c:v>93.939188993128184</c:v>
                </c:pt>
                <c:pt idx="110">
                  <c:v>93.93191164440691</c:v>
                </c:pt>
                <c:pt idx="111">
                  <c:v>93.924478195021806</c:v>
                </c:pt>
                <c:pt idx="112">
                  <c:v>93.916892930136811</c:v>
                </c:pt>
                <c:pt idx="113">
                  <c:v>93.909159984653627</c:v>
                </c:pt>
                <c:pt idx="114">
                  <c:v>93.901283349736474</c:v>
                </c:pt>
                <c:pt idx="115">
                  <c:v>93.89326687899991</c:v>
                </c:pt>
                <c:pt idx="116">
                  <c:v>93.885114294379761</c:v>
                </c:pt>
                <c:pt idx="117">
                  <c:v>93.876829191705809</c:v>
                </c:pt>
                <c:pt idx="118">
                  <c:v>93.868415045993885</c:v>
                </c:pt>
                <c:pt idx="119">
                  <c:v>93.859875216473768</c:v>
                </c:pt>
                <c:pt idx="120">
                  <c:v>93.851212951367842</c:v>
                </c:pt>
                <c:pt idx="121">
                  <c:v>93.84243139243533</c:v>
                </c:pt>
                <c:pt idx="122">
                  <c:v>93.833533579294894</c:v>
                </c:pt>
                <c:pt idx="123">
                  <c:v>93.824522453538336</c:v>
                </c:pt>
                <c:pt idx="124">
                  <c:v>93.815400862647309</c:v>
                </c:pt>
                <c:pt idx="125">
                  <c:v>93.806171563723296</c:v>
                </c:pt>
                <c:pt idx="126">
                  <c:v>93.796837227042076</c:v>
                </c:pt>
                <c:pt idx="127">
                  <c:v>93.787400439441456</c:v>
                </c:pt>
                <c:pt idx="128">
                  <c:v>93.777863707551589</c:v>
                </c:pt>
                <c:pt idx="129">
                  <c:v>93.768229460876611</c:v>
                </c:pt>
                <c:pt idx="130">
                  <c:v>93.758500054734995</c:v>
                </c:pt>
                <c:pt idx="131">
                  <c:v>93.748677773066731</c:v>
                </c:pt>
                <c:pt idx="132">
                  <c:v>93.738764831113684</c:v>
                </c:pt>
                <c:pt idx="133">
                  <c:v>93.728763377980258</c:v>
                </c:pt>
                <c:pt idx="134">
                  <c:v>93.718675499080334</c:v>
                </c:pt>
                <c:pt idx="135">
                  <c:v>93.708503218476395</c:v>
                </c:pt>
                <c:pt idx="136">
                  <c:v>93.698248501116268</c:v>
                </c:pt>
                <c:pt idx="137">
                  <c:v>93.687913254972671</c:v>
                </c:pt>
                <c:pt idx="138">
                  <c:v>93.677499333090779</c:v>
                </c:pt>
                <c:pt idx="139">
                  <c:v>93.66700853554768</c:v>
                </c:pt>
                <c:pt idx="140">
                  <c:v>93.656442611328913</c:v>
                </c:pt>
                <c:pt idx="141">
                  <c:v>93.645803260125732</c:v>
                </c:pt>
                <c:pt idx="142">
                  <c:v>93.635092134056805</c:v>
                </c:pt>
                <c:pt idx="143">
                  <c:v>93.624310839318568</c:v>
                </c:pt>
                <c:pt idx="144">
                  <c:v>93.61346093776713</c:v>
                </c:pt>
                <c:pt idx="145">
                  <c:v>93.602543948435269</c:v>
                </c:pt>
                <c:pt idx="146">
                  <c:v>93.591561348987767</c:v>
                </c:pt>
                <c:pt idx="147">
                  <c:v>93.580514577117512</c:v>
                </c:pt>
                <c:pt idx="148">
                  <c:v>93.569405031885609</c:v>
                </c:pt>
                <c:pt idx="149">
                  <c:v>93.558234075007931</c:v>
                </c:pt>
                <c:pt idx="150">
                  <c:v>93.547003032090572</c:v>
                </c:pt>
              </c:numCache>
            </c:numRef>
          </c:yVal>
          <c:smooth val="0"/>
          <c:extLst>
            <c:ext xmlns:c16="http://schemas.microsoft.com/office/drawing/2014/chart" uri="{C3380CC4-5D6E-409C-BE32-E72D297353CC}">
              <c16:uniqueId val="{00000000-F850-4D08-8BFC-748D436DD73B}"/>
            </c:ext>
          </c:extLst>
        </c:ser>
        <c:dLbls>
          <c:showLegendKey val="0"/>
          <c:showVal val="0"/>
          <c:showCatName val="0"/>
          <c:showSerName val="0"/>
          <c:showPercent val="0"/>
          <c:showBubbleSize val="0"/>
        </c:dLbls>
        <c:axId val="224130176"/>
        <c:axId val="224131712"/>
      </c:scatterChart>
      <c:scatterChart>
        <c:scatterStyle val="smoothMarker"/>
        <c:varyColors val="0"/>
        <c:ser>
          <c:idx val="1"/>
          <c:order val="1"/>
          <c:tx>
            <c:v>MOSFET</c:v>
          </c:tx>
          <c:marker>
            <c:symbol val="none"/>
          </c:marker>
          <c:xVal>
            <c:numRef>
              <c:f>Eff_vs_IOUT!$S$7:$S$157</c:f>
              <c:numCache>
                <c:formatCode>General</c:formatCode>
                <c:ptCount val="151"/>
                <c:pt idx="0">
                  <c:v>0</c:v>
                </c:pt>
                <c:pt idx="1">
                  <c:v>0.1</c:v>
                </c:pt>
                <c:pt idx="2">
                  <c:v>0.2</c:v>
                </c:pt>
                <c:pt idx="3">
                  <c:v>0.30000000000000004</c:v>
                </c:pt>
                <c:pt idx="4">
                  <c:v>0.4</c:v>
                </c:pt>
                <c:pt idx="5">
                  <c:v>0.5</c:v>
                </c:pt>
                <c:pt idx="6">
                  <c:v>0.60000000000000009</c:v>
                </c:pt>
                <c:pt idx="7">
                  <c:v>0.70000000000000007</c:v>
                </c:pt>
                <c:pt idx="8">
                  <c:v>0.8</c:v>
                </c:pt>
                <c:pt idx="9">
                  <c:v>0.9</c:v>
                </c:pt>
                <c:pt idx="10">
                  <c:v>1</c:v>
                </c:pt>
                <c:pt idx="11">
                  <c:v>1.1000000000000001</c:v>
                </c:pt>
                <c:pt idx="12">
                  <c:v>1.2000000000000002</c:v>
                </c:pt>
                <c:pt idx="13">
                  <c:v>1.3</c:v>
                </c:pt>
                <c:pt idx="14">
                  <c:v>1.4000000000000001</c:v>
                </c:pt>
                <c:pt idx="15">
                  <c:v>1.5</c:v>
                </c:pt>
                <c:pt idx="16">
                  <c:v>1.6</c:v>
                </c:pt>
                <c:pt idx="17">
                  <c:v>1.7000000000000002</c:v>
                </c:pt>
                <c:pt idx="18">
                  <c:v>1.8</c:v>
                </c:pt>
                <c:pt idx="19">
                  <c:v>1.9000000000000001</c:v>
                </c:pt>
                <c:pt idx="20">
                  <c:v>2</c:v>
                </c:pt>
                <c:pt idx="21">
                  <c:v>2.1</c:v>
                </c:pt>
                <c:pt idx="22">
                  <c:v>2.2000000000000002</c:v>
                </c:pt>
                <c:pt idx="23">
                  <c:v>2.3000000000000003</c:v>
                </c:pt>
                <c:pt idx="24">
                  <c:v>2.4000000000000004</c:v>
                </c:pt>
                <c:pt idx="25">
                  <c:v>2.5</c:v>
                </c:pt>
                <c:pt idx="26">
                  <c:v>2.6</c:v>
                </c:pt>
                <c:pt idx="27">
                  <c:v>2.7</c:v>
                </c:pt>
                <c:pt idx="28">
                  <c:v>2.8000000000000003</c:v>
                </c:pt>
                <c:pt idx="29">
                  <c:v>2.9000000000000004</c:v>
                </c:pt>
                <c:pt idx="30">
                  <c:v>3</c:v>
                </c:pt>
                <c:pt idx="31">
                  <c:v>3.1</c:v>
                </c:pt>
                <c:pt idx="32">
                  <c:v>3.2</c:v>
                </c:pt>
                <c:pt idx="33">
                  <c:v>3.3000000000000003</c:v>
                </c:pt>
                <c:pt idx="34">
                  <c:v>3.4000000000000004</c:v>
                </c:pt>
                <c:pt idx="35">
                  <c:v>3.5</c:v>
                </c:pt>
                <c:pt idx="36">
                  <c:v>3.6</c:v>
                </c:pt>
                <c:pt idx="37">
                  <c:v>3.7</c:v>
                </c:pt>
                <c:pt idx="38">
                  <c:v>3.8000000000000003</c:v>
                </c:pt>
                <c:pt idx="39">
                  <c:v>3.9000000000000004</c:v>
                </c:pt>
                <c:pt idx="40">
                  <c:v>4</c:v>
                </c:pt>
                <c:pt idx="41">
                  <c:v>4.1000000000000005</c:v>
                </c:pt>
                <c:pt idx="42">
                  <c:v>4.2</c:v>
                </c:pt>
                <c:pt idx="43">
                  <c:v>4.3</c:v>
                </c:pt>
                <c:pt idx="44">
                  <c:v>4.4000000000000004</c:v>
                </c:pt>
                <c:pt idx="45">
                  <c:v>4.5</c:v>
                </c:pt>
                <c:pt idx="46">
                  <c:v>4.6000000000000005</c:v>
                </c:pt>
                <c:pt idx="47">
                  <c:v>4.7</c:v>
                </c:pt>
                <c:pt idx="48">
                  <c:v>4.8000000000000007</c:v>
                </c:pt>
                <c:pt idx="49">
                  <c:v>4.9000000000000004</c:v>
                </c:pt>
                <c:pt idx="50">
                  <c:v>5</c:v>
                </c:pt>
                <c:pt idx="51">
                  <c:v>5.1000000000000005</c:v>
                </c:pt>
                <c:pt idx="52">
                  <c:v>5.2</c:v>
                </c:pt>
                <c:pt idx="53">
                  <c:v>5.3000000000000007</c:v>
                </c:pt>
                <c:pt idx="54">
                  <c:v>5.4</c:v>
                </c:pt>
                <c:pt idx="55">
                  <c:v>5.5</c:v>
                </c:pt>
                <c:pt idx="56">
                  <c:v>5.6000000000000005</c:v>
                </c:pt>
                <c:pt idx="57">
                  <c:v>5.7</c:v>
                </c:pt>
                <c:pt idx="58">
                  <c:v>5.8000000000000007</c:v>
                </c:pt>
                <c:pt idx="59">
                  <c:v>5.9</c:v>
                </c:pt>
                <c:pt idx="60">
                  <c:v>6</c:v>
                </c:pt>
                <c:pt idx="61">
                  <c:v>6.1000000000000005</c:v>
                </c:pt>
                <c:pt idx="62">
                  <c:v>6.2</c:v>
                </c:pt>
                <c:pt idx="63">
                  <c:v>6.3000000000000007</c:v>
                </c:pt>
                <c:pt idx="64">
                  <c:v>6.4</c:v>
                </c:pt>
                <c:pt idx="65">
                  <c:v>6.5</c:v>
                </c:pt>
                <c:pt idx="66">
                  <c:v>6.6000000000000005</c:v>
                </c:pt>
                <c:pt idx="67">
                  <c:v>6.7</c:v>
                </c:pt>
                <c:pt idx="68">
                  <c:v>6.8000000000000007</c:v>
                </c:pt>
                <c:pt idx="69">
                  <c:v>6.9</c:v>
                </c:pt>
                <c:pt idx="70">
                  <c:v>7</c:v>
                </c:pt>
                <c:pt idx="71">
                  <c:v>7.1000000000000005</c:v>
                </c:pt>
                <c:pt idx="72">
                  <c:v>7.2</c:v>
                </c:pt>
                <c:pt idx="73">
                  <c:v>7.3000000000000007</c:v>
                </c:pt>
                <c:pt idx="74">
                  <c:v>7.4</c:v>
                </c:pt>
                <c:pt idx="75">
                  <c:v>7.5</c:v>
                </c:pt>
                <c:pt idx="76">
                  <c:v>7.6000000000000005</c:v>
                </c:pt>
                <c:pt idx="77">
                  <c:v>7.7</c:v>
                </c:pt>
                <c:pt idx="78">
                  <c:v>7.8000000000000007</c:v>
                </c:pt>
                <c:pt idx="79">
                  <c:v>7.9</c:v>
                </c:pt>
                <c:pt idx="80">
                  <c:v>8</c:v>
                </c:pt>
                <c:pt idx="81">
                  <c:v>8.1</c:v>
                </c:pt>
                <c:pt idx="82">
                  <c:v>8.2000000000000011</c:v>
                </c:pt>
                <c:pt idx="83">
                  <c:v>8.3000000000000007</c:v>
                </c:pt>
                <c:pt idx="84">
                  <c:v>8.4</c:v>
                </c:pt>
                <c:pt idx="85">
                  <c:v>8.5</c:v>
                </c:pt>
                <c:pt idx="86">
                  <c:v>8.6</c:v>
                </c:pt>
                <c:pt idx="87">
                  <c:v>8.7000000000000011</c:v>
                </c:pt>
                <c:pt idx="88">
                  <c:v>8.8000000000000007</c:v>
                </c:pt>
                <c:pt idx="89">
                  <c:v>8.9</c:v>
                </c:pt>
                <c:pt idx="90">
                  <c:v>9</c:v>
                </c:pt>
                <c:pt idx="91">
                  <c:v>9.1</c:v>
                </c:pt>
                <c:pt idx="92">
                  <c:v>9.2000000000000011</c:v>
                </c:pt>
                <c:pt idx="93">
                  <c:v>9.3000000000000007</c:v>
                </c:pt>
                <c:pt idx="94">
                  <c:v>9.4</c:v>
                </c:pt>
                <c:pt idx="95">
                  <c:v>9.5</c:v>
                </c:pt>
                <c:pt idx="96">
                  <c:v>9.6000000000000014</c:v>
                </c:pt>
                <c:pt idx="97">
                  <c:v>9.7000000000000011</c:v>
                </c:pt>
                <c:pt idx="98">
                  <c:v>9.8000000000000007</c:v>
                </c:pt>
                <c:pt idx="99">
                  <c:v>9.9</c:v>
                </c:pt>
                <c:pt idx="100">
                  <c:v>10</c:v>
                </c:pt>
                <c:pt idx="101">
                  <c:v>10.100000000000001</c:v>
                </c:pt>
                <c:pt idx="102">
                  <c:v>10.200000000000001</c:v>
                </c:pt>
                <c:pt idx="103">
                  <c:v>10.3</c:v>
                </c:pt>
                <c:pt idx="104">
                  <c:v>10.4</c:v>
                </c:pt>
                <c:pt idx="105">
                  <c:v>10.5</c:v>
                </c:pt>
                <c:pt idx="106">
                  <c:v>10.600000000000001</c:v>
                </c:pt>
                <c:pt idx="107">
                  <c:v>10.700000000000001</c:v>
                </c:pt>
                <c:pt idx="108">
                  <c:v>10.8</c:v>
                </c:pt>
                <c:pt idx="109">
                  <c:v>10.9</c:v>
                </c:pt>
                <c:pt idx="110">
                  <c:v>11</c:v>
                </c:pt>
                <c:pt idx="111">
                  <c:v>11.100000000000001</c:v>
                </c:pt>
                <c:pt idx="112">
                  <c:v>11.200000000000001</c:v>
                </c:pt>
                <c:pt idx="113">
                  <c:v>11.3</c:v>
                </c:pt>
                <c:pt idx="114">
                  <c:v>11.4</c:v>
                </c:pt>
                <c:pt idx="115">
                  <c:v>11.5</c:v>
                </c:pt>
                <c:pt idx="116">
                  <c:v>11.600000000000001</c:v>
                </c:pt>
                <c:pt idx="117">
                  <c:v>11.700000000000001</c:v>
                </c:pt>
                <c:pt idx="118">
                  <c:v>11.8</c:v>
                </c:pt>
                <c:pt idx="119">
                  <c:v>11.9</c:v>
                </c:pt>
                <c:pt idx="120">
                  <c:v>12</c:v>
                </c:pt>
                <c:pt idx="121">
                  <c:v>12.100000000000001</c:v>
                </c:pt>
                <c:pt idx="122">
                  <c:v>12.200000000000001</c:v>
                </c:pt>
                <c:pt idx="123">
                  <c:v>12.3</c:v>
                </c:pt>
                <c:pt idx="124">
                  <c:v>12.4</c:v>
                </c:pt>
                <c:pt idx="125">
                  <c:v>12.5</c:v>
                </c:pt>
                <c:pt idx="126">
                  <c:v>12.600000000000001</c:v>
                </c:pt>
                <c:pt idx="127">
                  <c:v>12.700000000000001</c:v>
                </c:pt>
                <c:pt idx="128">
                  <c:v>12.8</c:v>
                </c:pt>
                <c:pt idx="129">
                  <c:v>12.9</c:v>
                </c:pt>
                <c:pt idx="130">
                  <c:v>13</c:v>
                </c:pt>
                <c:pt idx="131">
                  <c:v>13.100000000000001</c:v>
                </c:pt>
                <c:pt idx="132">
                  <c:v>13.200000000000001</c:v>
                </c:pt>
                <c:pt idx="133">
                  <c:v>13.3</c:v>
                </c:pt>
                <c:pt idx="134">
                  <c:v>13.4</c:v>
                </c:pt>
                <c:pt idx="135">
                  <c:v>13.5</c:v>
                </c:pt>
                <c:pt idx="136">
                  <c:v>13.600000000000001</c:v>
                </c:pt>
                <c:pt idx="137">
                  <c:v>13.700000000000001</c:v>
                </c:pt>
                <c:pt idx="138">
                  <c:v>13.8</c:v>
                </c:pt>
                <c:pt idx="139">
                  <c:v>13.9</c:v>
                </c:pt>
                <c:pt idx="140">
                  <c:v>14</c:v>
                </c:pt>
                <c:pt idx="141">
                  <c:v>14.100000000000001</c:v>
                </c:pt>
                <c:pt idx="142">
                  <c:v>14.200000000000001</c:v>
                </c:pt>
                <c:pt idx="143">
                  <c:v>14.3</c:v>
                </c:pt>
                <c:pt idx="144">
                  <c:v>14.4</c:v>
                </c:pt>
                <c:pt idx="145">
                  <c:v>14.5</c:v>
                </c:pt>
                <c:pt idx="146">
                  <c:v>14.600000000000001</c:v>
                </c:pt>
                <c:pt idx="147">
                  <c:v>14.700000000000001</c:v>
                </c:pt>
                <c:pt idx="148">
                  <c:v>14.8</c:v>
                </c:pt>
                <c:pt idx="149">
                  <c:v>14.9</c:v>
                </c:pt>
                <c:pt idx="150">
                  <c:v>15</c:v>
                </c:pt>
              </c:numCache>
            </c:numRef>
          </c:xVal>
          <c:yVal>
            <c:numRef>
              <c:f>Eff_vs_IOUT!$AI$7:$AI$157</c:f>
              <c:numCache>
                <c:formatCode>General</c:formatCode>
                <c:ptCount val="151"/>
                <c:pt idx="0">
                  <c:v>0</c:v>
                </c:pt>
                <c:pt idx="1">
                  <c:v>6.2749176290096714E-2</c:v>
                </c:pt>
                <c:pt idx="2">
                  <c:v>0.12578815329868173</c:v>
                </c:pt>
                <c:pt idx="3">
                  <c:v>0.18901578781667031</c:v>
                </c:pt>
                <c:pt idx="4">
                  <c:v>0.25239598681030673</c:v>
                </c:pt>
                <c:pt idx="5">
                  <c:v>0.31590789049919488</c:v>
                </c:pt>
                <c:pt idx="6">
                  <c:v>0.37953742433881577</c:v>
                </c:pt>
                <c:pt idx="7">
                  <c:v>0.4432742558480095</c:v>
                </c:pt>
                <c:pt idx="8">
                  <c:v>0.50714222479871174</c:v>
                </c:pt>
                <c:pt idx="9">
                  <c:v>0.57120380289855077</c:v>
                </c:pt>
                <c:pt idx="10">
                  <c:v>0.63546093655394531</c:v>
                </c:pt>
                <c:pt idx="11">
                  <c:v>0.69991362576489535</c:v>
                </c:pt>
                <c:pt idx="12">
                  <c:v>0.76456187053140123</c:v>
                </c:pt>
                <c:pt idx="13">
                  <c:v>0.82940567085346206</c:v>
                </c:pt>
                <c:pt idx="14">
                  <c:v>0.89444502673107906</c:v>
                </c:pt>
                <c:pt idx="15">
                  <c:v>0.95967993816425123</c:v>
                </c:pt>
                <c:pt idx="16">
                  <c:v>1.0251104051529791</c:v>
                </c:pt>
                <c:pt idx="17">
                  <c:v>1.0907364276972626</c:v>
                </c:pt>
                <c:pt idx="18">
                  <c:v>1.1565580057971017</c:v>
                </c:pt>
                <c:pt idx="19">
                  <c:v>1.222575139452496</c:v>
                </c:pt>
                <c:pt idx="20">
                  <c:v>1.2887878286634462</c:v>
                </c:pt>
                <c:pt idx="21">
                  <c:v>1.3551960734299517</c:v>
                </c:pt>
                <c:pt idx="22">
                  <c:v>1.421799873752013</c:v>
                </c:pt>
                <c:pt idx="23">
                  <c:v>1.48859922962963</c:v>
                </c:pt>
                <c:pt idx="24">
                  <c:v>1.5555941410628025</c:v>
                </c:pt>
                <c:pt idx="25">
                  <c:v>1.62278460805153</c:v>
                </c:pt>
                <c:pt idx="26">
                  <c:v>1.6901706305958131</c:v>
                </c:pt>
                <c:pt idx="27">
                  <c:v>1.7577522086956523</c:v>
                </c:pt>
                <c:pt idx="28">
                  <c:v>1.825529342351047</c:v>
                </c:pt>
                <c:pt idx="29">
                  <c:v>1.8935020315619973</c:v>
                </c:pt>
                <c:pt idx="30">
                  <c:v>1.9616702763285025</c:v>
                </c:pt>
                <c:pt idx="31">
                  <c:v>2.0300340766505638</c:v>
                </c:pt>
                <c:pt idx="32">
                  <c:v>2.0985934325281805</c:v>
                </c:pt>
                <c:pt idx="33">
                  <c:v>2.1673483439613528</c:v>
                </c:pt>
                <c:pt idx="34">
                  <c:v>2.236298810950081</c:v>
                </c:pt>
                <c:pt idx="35">
                  <c:v>2.3054448334943642</c:v>
                </c:pt>
                <c:pt idx="36">
                  <c:v>2.374786411594203</c:v>
                </c:pt>
                <c:pt idx="37">
                  <c:v>2.4443235452495977</c:v>
                </c:pt>
                <c:pt idx="38">
                  <c:v>2.5140562344605475</c:v>
                </c:pt>
                <c:pt idx="39">
                  <c:v>2.5839844792270537</c:v>
                </c:pt>
                <c:pt idx="40">
                  <c:v>2.6541082795491149</c:v>
                </c:pt>
                <c:pt idx="41">
                  <c:v>2.7244276354267316</c:v>
                </c:pt>
                <c:pt idx="42">
                  <c:v>2.7949425468599034</c:v>
                </c:pt>
                <c:pt idx="43">
                  <c:v>2.865653013848632</c:v>
                </c:pt>
                <c:pt idx="44">
                  <c:v>2.9365590363929148</c:v>
                </c:pt>
                <c:pt idx="45">
                  <c:v>3.007660614492754</c:v>
                </c:pt>
                <c:pt idx="46">
                  <c:v>3.0789577481481492</c:v>
                </c:pt>
                <c:pt idx="47">
                  <c:v>3.150450437359098</c:v>
                </c:pt>
                <c:pt idx="48">
                  <c:v>3.2221386821256051</c:v>
                </c:pt>
                <c:pt idx="49">
                  <c:v>3.2940224824476649</c:v>
                </c:pt>
                <c:pt idx="50">
                  <c:v>3.3661018383252825</c:v>
                </c:pt>
                <c:pt idx="51">
                  <c:v>3.4383767497584548</c:v>
                </c:pt>
                <c:pt idx="52">
                  <c:v>3.510847216747182</c:v>
                </c:pt>
                <c:pt idx="53">
                  <c:v>3.5835132392914661</c:v>
                </c:pt>
                <c:pt idx="54">
                  <c:v>3.6563748173913044</c:v>
                </c:pt>
                <c:pt idx="55">
                  <c:v>3.7294319510466987</c:v>
                </c:pt>
                <c:pt idx="56">
                  <c:v>3.8026846402576497</c:v>
                </c:pt>
                <c:pt idx="57">
                  <c:v>3.876132885024155</c:v>
                </c:pt>
                <c:pt idx="58">
                  <c:v>3.9497766853462166</c:v>
                </c:pt>
                <c:pt idx="59">
                  <c:v>4.0236160412238338</c:v>
                </c:pt>
                <c:pt idx="60">
                  <c:v>4.0976509526570055</c:v>
                </c:pt>
                <c:pt idx="61">
                  <c:v>4.1718814196457341</c:v>
                </c:pt>
                <c:pt idx="62">
                  <c:v>4.2463074421900169</c:v>
                </c:pt>
                <c:pt idx="63">
                  <c:v>4.3209290202898565</c:v>
                </c:pt>
                <c:pt idx="64">
                  <c:v>4.3957461539452494</c:v>
                </c:pt>
                <c:pt idx="65">
                  <c:v>4.4707588431562</c:v>
                </c:pt>
                <c:pt idx="66">
                  <c:v>4.5459670879227057</c:v>
                </c:pt>
                <c:pt idx="67">
                  <c:v>4.6213708882447664</c:v>
                </c:pt>
                <c:pt idx="68">
                  <c:v>4.6969702441223848</c:v>
                </c:pt>
                <c:pt idx="69">
                  <c:v>4.7727651555555557</c:v>
                </c:pt>
                <c:pt idx="70">
                  <c:v>4.8487556225442834</c:v>
                </c:pt>
                <c:pt idx="71">
                  <c:v>4.9249416450885679</c:v>
                </c:pt>
                <c:pt idx="72">
                  <c:v>5.0013232231884057</c:v>
                </c:pt>
                <c:pt idx="73">
                  <c:v>5.0779003568438004</c:v>
                </c:pt>
                <c:pt idx="74">
                  <c:v>5.154673046054751</c:v>
                </c:pt>
                <c:pt idx="75">
                  <c:v>5.2316412908212557</c:v>
                </c:pt>
                <c:pt idx="76">
                  <c:v>5.3088050911433173</c:v>
                </c:pt>
                <c:pt idx="77">
                  <c:v>5.3861644470209349</c:v>
                </c:pt>
                <c:pt idx="78">
                  <c:v>5.4637193584541066</c:v>
                </c:pt>
                <c:pt idx="79">
                  <c:v>5.5414698254428343</c:v>
                </c:pt>
                <c:pt idx="80">
                  <c:v>5.6194158479871188</c:v>
                </c:pt>
                <c:pt idx="81">
                  <c:v>5.6975574260869566</c:v>
                </c:pt>
                <c:pt idx="82">
                  <c:v>5.7758945597423521</c:v>
                </c:pt>
                <c:pt idx="83">
                  <c:v>5.8544272489533018</c:v>
                </c:pt>
                <c:pt idx="84">
                  <c:v>5.9331554937198066</c:v>
                </c:pt>
                <c:pt idx="85">
                  <c:v>6.0120792940418681</c:v>
                </c:pt>
                <c:pt idx="86">
                  <c:v>6.0911986499194866</c:v>
                </c:pt>
                <c:pt idx="87">
                  <c:v>6.1705135613526592</c:v>
                </c:pt>
                <c:pt idx="88">
                  <c:v>6.2500240283413859</c:v>
                </c:pt>
                <c:pt idx="89">
                  <c:v>6.3297300508856695</c:v>
                </c:pt>
                <c:pt idx="90">
                  <c:v>6.4096316289855082</c:v>
                </c:pt>
                <c:pt idx="91">
                  <c:v>6.4897287626409019</c:v>
                </c:pt>
                <c:pt idx="92">
                  <c:v>6.5700214518518534</c:v>
                </c:pt>
                <c:pt idx="93">
                  <c:v>6.6505096966183572</c:v>
                </c:pt>
                <c:pt idx="94">
                  <c:v>6.7311934969404188</c:v>
                </c:pt>
                <c:pt idx="95">
                  <c:v>6.8120728528180372</c:v>
                </c:pt>
                <c:pt idx="96">
                  <c:v>6.8931477642512098</c:v>
                </c:pt>
                <c:pt idx="97">
                  <c:v>6.9744182312399374</c:v>
                </c:pt>
                <c:pt idx="98">
                  <c:v>7.0558842537842192</c:v>
                </c:pt>
                <c:pt idx="99">
                  <c:v>7.1375458318840588</c:v>
                </c:pt>
                <c:pt idx="100">
                  <c:v>7.2194029655394534</c:v>
                </c:pt>
                <c:pt idx="101">
                  <c:v>7.3014556547504048</c:v>
                </c:pt>
                <c:pt idx="102">
                  <c:v>7.3837038995169095</c:v>
                </c:pt>
                <c:pt idx="103">
                  <c:v>7.4661476998389702</c:v>
                </c:pt>
                <c:pt idx="104">
                  <c:v>7.5487870557165859</c:v>
                </c:pt>
                <c:pt idx="105">
                  <c:v>7.6316219671497594</c:v>
                </c:pt>
                <c:pt idx="106">
                  <c:v>7.7146524341384879</c:v>
                </c:pt>
                <c:pt idx="107">
                  <c:v>7.7978784566827724</c:v>
                </c:pt>
                <c:pt idx="108">
                  <c:v>7.8813000347826092</c:v>
                </c:pt>
                <c:pt idx="109">
                  <c:v>7.9649171684380047</c:v>
                </c:pt>
                <c:pt idx="110">
                  <c:v>8.0487298576489525</c:v>
                </c:pt>
                <c:pt idx="111">
                  <c:v>8.1327381024154608</c:v>
                </c:pt>
                <c:pt idx="112">
                  <c:v>8.2169419027375206</c:v>
                </c:pt>
                <c:pt idx="113">
                  <c:v>8.3013412586151372</c:v>
                </c:pt>
                <c:pt idx="114">
                  <c:v>8.3859361700483106</c:v>
                </c:pt>
                <c:pt idx="115">
                  <c:v>8.4707266370370391</c:v>
                </c:pt>
                <c:pt idx="116">
                  <c:v>8.5557126595813227</c:v>
                </c:pt>
                <c:pt idx="117">
                  <c:v>8.6408942376811613</c:v>
                </c:pt>
                <c:pt idx="118">
                  <c:v>8.7262713713365549</c:v>
                </c:pt>
                <c:pt idx="119">
                  <c:v>8.8118440605475037</c:v>
                </c:pt>
                <c:pt idx="120">
                  <c:v>8.8976123053140093</c:v>
                </c:pt>
                <c:pt idx="121">
                  <c:v>8.9835761056360717</c:v>
                </c:pt>
                <c:pt idx="122">
                  <c:v>9.0697354615136909</c:v>
                </c:pt>
                <c:pt idx="123">
                  <c:v>9.1560903729468617</c:v>
                </c:pt>
                <c:pt idx="124">
                  <c:v>9.2426408399355893</c:v>
                </c:pt>
                <c:pt idx="125">
                  <c:v>9.3293868624798719</c:v>
                </c:pt>
                <c:pt idx="126">
                  <c:v>9.4163284405797132</c:v>
                </c:pt>
                <c:pt idx="127">
                  <c:v>9.503465574235106</c:v>
                </c:pt>
                <c:pt idx="128">
                  <c:v>9.5907982634460538</c:v>
                </c:pt>
                <c:pt idx="129">
                  <c:v>9.678326508212562</c:v>
                </c:pt>
                <c:pt idx="130">
                  <c:v>9.7660503085346235</c:v>
                </c:pt>
                <c:pt idx="131">
                  <c:v>9.8539696644122383</c:v>
                </c:pt>
                <c:pt idx="132">
                  <c:v>9.9420845758454117</c:v>
                </c:pt>
                <c:pt idx="133">
                  <c:v>10.03039504283414</c:v>
                </c:pt>
                <c:pt idx="134">
                  <c:v>10.11890106537842</c:v>
                </c:pt>
                <c:pt idx="135">
                  <c:v>10.207602643478262</c:v>
                </c:pt>
                <c:pt idx="136">
                  <c:v>10.296499777133658</c:v>
                </c:pt>
                <c:pt idx="137">
                  <c:v>10.385592466344605</c:v>
                </c:pt>
                <c:pt idx="138">
                  <c:v>10.474880711111112</c:v>
                </c:pt>
                <c:pt idx="139">
                  <c:v>10.564364511433173</c:v>
                </c:pt>
                <c:pt idx="140">
                  <c:v>10.65404386731079</c:v>
                </c:pt>
                <c:pt idx="141">
                  <c:v>10.743918778743961</c:v>
                </c:pt>
                <c:pt idx="142">
                  <c:v>10.83398924573269</c:v>
                </c:pt>
                <c:pt idx="143">
                  <c:v>10.924255268276973</c:v>
                </c:pt>
                <c:pt idx="144">
                  <c:v>11.014716846376812</c:v>
                </c:pt>
                <c:pt idx="145">
                  <c:v>11.105373980032208</c:v>
                </c:pt>
                <c:pt idx="146">
                  <c:v>11.196226669243156</c:v>
                </c:pt>
                <c:pt idx="147">
                  <c:v>11.287274914009664</c:v>
                </c:pt>
                <c:pt idx="148">
                  <c:v>11.378518714331724</c:v>
                </c:pt>
                <c:pt idx="149">
                  <c:v>11.469958070209341</c:v>
                </c:pt>
                <c:pt idx="150">
                  <c:v>11.561592981642512</c:v>
                </c:pt>
              </c:numCache>
            </c:numRef>
          </c:yVal>
          <c:smooth val="1"/>
          <c:extLst>
            <c:ext xmlns:c16="http://schemas.microsoft.com/office/drawing/2014/chart" uri="{C3380CC4-5D6E-409C-BE32-E72D297353CC}">
              <c16:uniqueId val="{00000001-F850-4D08-8BFC-748D436DD73B}"/>
            </c:ext>
          </c:extLst>
        </c:ser>
        <c:ser>
          <c:idx val="2"/>
          <c:order val="2"/>
          <c:tx>
            <c:v>Diode</c:v>
          </c:tx>
          <c:marker>
            <c:symbol val="none"/>
          </c:marker>
          <c:xVal>
            <c:numRef>
              <c:f>Eff_vs_IOUT!$S$7:$S$157</c:f>
              <c:numCache>
                <c:formatCode>General</c:formatCode>
                <c:ptCount val="151"/>
                <c:pt idx="0">
                  <c:v>0</c:v>
                </c:pt>
                <c:pt idx="1">
                  <c:v>0.1</c:v>
                </c:pt>
                <c:pt idx="2">
                  <c:v>0.2</c:v>
                </c:pt>
                <c:pt idx="3">
                  <c:v>0.30000000000000004</c:v>
                </c:pt>
                <c:pt idx="4">
                  <c:v>0.4</c:v>
                </c:pt>
                <c:pt idx="5">
                  <c:v>0.5</c:v>
                </c:pt>
                <c:pt idx="6">
                  <c:v>0.60000000000000009</c:v>
                </c:pt>
                <c:pt idx="7">
                  <c:v>0.70000000000000007</c:v>
                </c:pt>
                <c:pt idx="8">
                  <c:v>0.8</c:v>
                </c:pt>
                <c:pt idx="9">
                  <c:v>0.9</c:v>
                </c:pt>
                <c:pt idx="10">
                  <c:v>1</c:v>
                </c:pt>
                <c:pt idx="11">
                  <c:v>1.1000000000000001</c:v>
                </c:pt>
                <c:pt idx="12">
                  <c:v>1.2000000000000002</c:v>
                </c:pt>
                <c:pt idx="13">
                  <c:v>1.3</c:v>
                </c:pt>
                <c:pt idx="14">
                  <c:v>1.4000000000000001</c:v>
                </c:pt>
                <c:pt idx="15">
                  <c:v>1.5</c:v>
                </c:pt>
                <c:pt idx="16">
                  <c:v>1.6</c:v>
                </c:pt>
                <c:pt idx="17">
                  <c:v>1.7000000000000002</c:v>
                </c:pt>
                <c:pt idx="18">
                  <c:v>1.8</c:v>
                </c:pt>
                <c:pt idx="19">
                  <c:v>1.9000000000000001</c:v>
                </c:pt>
                <c:pt idx="20">
                  <c:v>2</c:v>
                </c:pt>
                <c:pt idx="21">
                  <c:v>2.1</c:v>
                </c:pt>
                <c:pt idx="22">
                  <c:v>2.2000000000000002</c:v>
                </c:pt>
                <c:pt idx="23">
                  <c:v>2.3000000000000003</c:v>
                </c:pt>
                <c:pt idx="24">
                  <c:v>2.4000000000000004</c:v>
                </c:pt>
                <c:pt idx="25">
                  <c:v>2.5</c:v>
                </c:pt>
                <c:pt idx="26">
                  <c:v>2.6</c:v>
                </c:pt>
                <c:pt idx="27">
                  <c:v>2.7</c:v>
                </c:pt>
                <c:pt idx="28">
                  <c:v>2.8000000000000003</c:v>
                </c:pt>
                <c:pt idx="29">
                  <c:v>2.9000000000000004</c:v>
                </c:pt>
                <c:pt idx="30">
                  <c:v>3</c:v>
                </c:pt>
                <c:pt idx="31">
                  <c:v>3.1</c:v>
                </c:pt>
                <c:pt idx="32">
                  <c:v>3.2</c:v>
                </c:pt>
                <c:pt idx="33">
                  <c:v>3.3000000000000003</c:v>
                </c:pt>
                <c:pt idx="34">
                  <c:v>3.4000000000000004</c:v>
                </c:pt>
                <c:pt idx="35">
                  <c:v>3.5</c:v>
                </c:pt>
                <c:pt idx="36">
                  <c:v>3.6</c:v>
                </c:pt>
                <c:pt idx="37">
                  <c:v>3.7</c:v>
                </c:pt>
                <c:pt idx="38">
                  <c:v>3.8000000000000003</c:v>
                </c:pt>
                <c:pt idx="39">
                  <c:v>3.9000000000000004</c:v>
                </c:pt>
                <c:pt idx="40">
                  <c:v>4</c:v>
                </c:pt>
                <c:pt idx="41">
                  <c:v>4.1000000000000005</c:v>
                </c:pt>
                <c:pt idx="42">
                  <c:v>4.2</c:v>
                </c:pt>
                <c:pt idx="43">
                  <c:v>4.3</c:v>
                </c:pt>
                <c:pt idx="44">
                  <c:v>4.4000000000000004</c:v>
                </c:pt>
                <c:pt idx="45">
                  <c:v>4.5</c:v>
                </c:pt>
                <c:pt idx="46">
                  <c:v>4.6000000000000005</c:v>
                </c:pt>
                <c:pt idx="47">
                  <c:v>4.7</c:v>
                </c:pt>
                <c:pt idx="48">
                  <c:v>4.8000000000000007</c:v>
                </c:pt>
                <c:pt idx="49">
                  <c:v>4.9000000000000004</c:v>
                </c:pt>
                <c:pt idx="50">
                  <c:v>5</c:v>
                </c:pt>
                <c:pt idx="51">
                  <c:v>5.1000000000000005</c:v>
                </c:pt>
                <c:pt idx="52">
                  <c:v>5.2</c:v>
                </c:pt>
                <c:pt idx="53">
                  <c:v>5.3000000000000007</c:v>
                </c:pt>
                <c:pt idx="54">
                  <c:v>5.4</c:v>
                </c:pt>
                <c:pt idx="55">
                  <c:v>5.5</c:v>
                </c:pt>
                <c:pt idx="56">
                  <c:v>5.6000000000000005</c:v>
                </c:pt>
                <c:pt idx="57">
                  <c:v>5.7</c:v>
                </c:pt>
                <c:pt idx="58">
                  <c:v>5.8000000000000007</c:v>
                </c:pt>
                <c:pt idx="59">
                  <c:v>5.9</c:v>
                </c:pt>
                <c:pt idx="60">
                  <c:v>6</c:v>
                </c:pt>
                <c:pt idx="61">
                  <c:v>6.1000000000000005</c:v>
                </c:pt>
                <c:pt idx="62">
                  <c:v>6.2</c:v>
                </c:pt>
                <c:pt idx="63">
                  <c:v>6.3000000000000007</c:v>
                </c:pt>
                <c:pt idx="64">
                  <c:v>6.4</c:v>
                </c:pt>
                <c:pt idx="65">
                  <c:v>6.5</c:v>
                </c:pt>
                <c:pt idx="66">
                  <c:v>6.6000000000000005</c:v>
                </c:pt>
                <c:pt idx="67">
                  <c:v>6.7</c:v>
                </c:pt>
                <c:pt idx="68">
                  <c:v>6.8000000000000007</c:v>
                </c:pt>
                <c:pt idx="69">
                  <c:v>6.9</c:v>
                </c:pt>
                <c:pt idx="70">
                  <c:v>7</c:v>
                </c:pt>
                <c:pt idx="71">
                  <c:v>7.1000000000000005</c:v>
                </c:pt>
                <c:pt idx="72">
                  <c:v>7.2</c:v>
                </c:pt>
                <c:pt idx="73">
                  <c:v>7.3000000000000007</c:v>
                </c:pt>
                <c:pt idx="74">
                  <c:v>7.4</c:v>
                </c:pt>
                <c:pt idx="75">
                  <c:v>7.5</c:v>
                </c:pt>
                <c:pt idx="76">
                  <c:v>7.6000000000000005</c:v>
                </c:pt>
                <c:pt idx="77">
                  <c:v>7.7</c:v>
                </c:pt>
                <c:pt idx="78">
                  <c:v>7.8000000000000007</c:v>
                </c:pt>
                <c:pt idx="79">
                  <c:v>7.9</c:v>
                </c:pt>
                <c:pt idx="80">
                  <c:v>8</c:v>
                </c:pt>
                <c:pt idx="81">
                  <c:v>8.1</c:v>
                </c:pt>
                <c:pt idx="82">
                  <c:v>8.2000000000000011</c:v>
                </c:pt>
                <c:pt idx="83">
                  <c:v>8.3000000000000007</c:v>
                </c:pt>
                <c:pt idx="84">
                  <c:v>8.4</c:v>
                </c:pt>
                <c:pt idx="85">
                  <c:v>8.5</c:v>
                </c:pt>
                <c:pt idx="86">
                  <c:v>8.6</c:v>
                </c:pt>
                <c:pt idx="87">
                  <c:v>8.7000000000000011</c:v>
                </c:pt>
                <c:pt idx="88">
                  <c:v>8.8000000000000007</c:v>
                </c:pt>
                <c:pt idx="89">
                  <c:v>8.9</c:v>
                </c:pt>
                <c:pt idx="90">
                  <c:v>9</c:v>
                </c:pt>
                <c:pt idx="91">
                  <c:v>9.1</c:v>
                </c:pt>
                <c:pt idx="92">
                  <c:v>9.2000000000000011</c:v>
                </c:pt>
                <c:pt idx="93">
                  <c:v>9.3000000000000007</c:v>
                </c:pt>
                <c:pt idx="94">
                  <c:v>9.4</c:v>
                </c:pt>
                <c:pt idx="95">
                  <c:v>9.5</c:v>
                </c:pt>
                <c:pt idx="96">
                  <c:v>9.6000000000000014</c:v>
                </c:pt>
                <c:pt idx="97">
                  <c:v>9.7000000000000011</c:v>
                </c:pt>
                <c:pt idx="98">
                  <c:v>9.8000000000000007</c:v>
                </c:pt>
                <c:pt idx="99">
                  <c:v>9.9</c:v>
                </c:pt>
                <c:pt idx="100">
                  <c:v>10</c:v>
                </c:pt>
                <c:pt idx="101">
                  <c:v>10.100000000000001</c:v>
                </c:pt>
                <c:pt idx="102">
                  <c:v>10.200000000000001</c:v>
                </c:pt>
                <c:pt idx="103">
                  <c:v>10.3</c:v>
                </c:pt>
                <c:pt idx="104">
                  <c:v>10.4</c:v>
                </c:pt>
                <c:pt idx="105">
                  <c:v>10.5</c:v>
                </c:pt>
                <c:pt idx="106">
                  <c:v>10.600000000000001</c:v>
                </c:pt>
                <c:pt idx="107">
                  <c:v>10.700000000000001</c:v>
                </c:pt>
                <c:pt idx="108">
                  <c:v>10.8</c:v>
                </c:pt>
                <c:pt idx="109">
                  <c:v>10.9</c:v>
                </c:pt>
                <c:pt idx="110">
                  <c:v>11</c:v>
                </c:pt>
                <c:pt idx="111">
                  <c:v>11.100000000000001</c:v>
                </c:pt>
                <c:pt idx="112">
                  <c:v>11.200000000000001</c:v>
                </c:pt>
                <c:pt idx="113">
                  <c:v>11.3</c:v>
                </c:pt>
                <c:pt idx="114">
                  <c:v>11.4</c:v>
                </c:pt>
                <c:pt idx="115">
                  <c:v>11.5</c:v>
                </c:pt>
                <c:pt idx="116">
                  <c:v>11.600000000000001</c:v>
                </c:pt>
                <c:pt idx="117">
                  <c:v>11.700000000000001</c:v>
                </c:pt>
                <c:pt idx="118">
                  <c:v>11.8</c:v>
                </c:pt>
                <c:pt idx="119">
                  <c:v>11.9</c:v>
                </c:pt>
                <c:pt idx="120">
                  <c:v>12</c:v>
                </c:pt>
                <c:pt idx="121">
                  <c:v>12.100000000000001</c:v>
                </c:pt>
                <c:pt idx="122">
                  <c:v>12.200000000000001</c:v>
                </c:pt>
                <c:pt idx="123">
                  <c:v>12.3</c:v>
                </c:pt>
                <c:pt idx="124">
                  <c:v>12.4</c:v>
                </c:pt>
                <c:pt idx="125">
                  <c:v>12.5</c:v>
                </c:pt>
                <c:pt idx="126">
                  <c:v>12.600000000000001</c:v>
                </c:pt>
                <c:pt idx="127">
                  <c:v>12.700000000000001</c:v>
                </c:pt>
                <c:pt idx="128">
                  <c:v>12.8</c:v>
                </c:pt>
                <c:pt idx="129">
                  <c:v>12.9</c:v>
                </c:pt>
                <c:pt idx="130">
                  <c:v>13</c:v>
                </c:pt>
                <c:pt idx="131">
                  <c:v>13.100000000000001</c:v>
                </c:pt>
                <c:pt idx="132">
                  <c:v>13.200000000000001</c:v>
                </c:pt>
                <c:pt idx="133">
                  <c:v>13.3</c:v>
                </c:pt>
                <c:pt idx="134">
                  <c:v>13.4</c:v>
                </c:pt>
                <c:pt idx="135">
                  <c:v>13.5</c:v>
                </c:pt>
                <c:pt idx="136">
                  <c:v>13.600000000000001</c:v>
                </c:pt>
                <c:pt idx="137">
                  <c:v>13.700000000000001</c:v>
                </c:pt>
                <c:pt idx="138">
                  <c:v>13.8</c:v>
                </c:pt>
                <c:pt idx="139">
                  <c:v>13.9</c:v>
                </c:pt>
                <c:pt idx="140">
                  <c:v>14</c:v>
                </c:pt>
                <c:pt idx="141">
                  <c:v>14.100000000000001</c:v>
                </c:pt>
                <c:pt idx="142">
                  <c:v>14.200000000000001</c:v>
                </c:pt>
                <c:pt idx="143">
                  <c:v>14.3</c:v>
                </c:pt>
                <c:pt idx="144">
                  <c:v>14.4</c:v>
                </c:pt>
                <c:pt idx="145">
                  <c:v>14.5</c:v>
                </c:pt>
                <c:pt idx="146">
                  <c:v>14.600000000000001</c:v>
                </c:pt>
                <c:pt idx="147">
                  <c:v>14.700000000000001</c:v>
                </c:pt>
                <c:pt idx="148">
                  <c:v>14.8</c:v>
                </c:pt>
                <c:pt idx="149">
                  <c:v>14.9</c:v>
                </c:pt>
                <c:pt idx="150">
                  <c:v>15</c:v>
                </c:pt>
              </c:numCache>
            </c:numRef>
          </c:xVal>
          <c:yVal>
            <c:numRef>
              <c:f>Eff_vs_IOUT!$AO$7:$AO$157</c:f>
              <c:numCache>
                <c:formatCode>General</c:formatCode>
                <c:ptCount val="151"/>
                <c:pt idx="0">
                  <c:v>0</c:v>
                </c:pt>
                <c:pt idx="1">
                  <c:v>1.4019464007307174</c:v>
                </c:pt>
                <c:pt idx="2">
                  <c:v>1.4147613163653279</c:v>
                </c:pt>
                <c:pt idx="3">
                  <c:v>1.4251007671071851</c:v>
                </c:pt>
                <c:pt idx="4">
                  <c:v>1.4342411851737544</c:v>
                </c:pt>
                <c:pt idx="5">
                  <c:v>1.442666666666667</c:v>
                </c:pt>
                <c:pt idx="6">
                  <c:v>1.4506204209703342</c:v>
                </c:pt>
                <c:pt idx="7">
                  <c:v>1.4582439682807136</c:v>
                </c:pt>
                <c:pt idx="8">
                  <c:v>1.4657877333333336</c:v>
                </c:pt>
                <c:pt idx="9">
                  <c:v>1.4736144000000002</c:v>
                </c:pt>
                <c:pt idx="10">
                  <c:v>1.4817344000000003</c:v>
                </c:pt>
                <c:pt idx="11">
                  <c:v>1.4901477333333335</c:v>
                </c:pt>
                <c:pt idx="12">
                  <c:v>1.4988544000000004</c:v>
                </c:pt>
                <c:pt idx="13">
                  <c:v>1.5078544</c:v>
                </c:pt>
                <c:pt idx="14">
                  <c:v>1.5171477333333336</c:v>
                </c:pt>
                <c:pt idx="15">
                  <c:v>1.5267344000000003</c:v>
                </c:pt>
                <c:pt idx="16">
                  <c:v>1.5366144000000002</c:v>
                </c:pt>
                <c:pt idx="17">
                  <c:v>1.5467877333333335</c:v>
                </c:pt>
                <c:pt idx="18">
                  <c:v>1.5572544000000004</c:v>
                </c:pt>
                <c:pt idx="19">
                  <c:v>1.5680144000000003</c:v>
                </c:pt>
                <c:pt idx="20">
                  <c:v>1.5790677333333336</c:v>
                </c:pt>
                <c:pt idx="21">
                  <c:v>1.5904144000000004</c:v>
                </c:pt>
                <c:pt idx="22">
                  <c:v>1.6020544000000003</c:v>
                </c:pt>
                <c:pt idx="23">
                  <c:v>1.6139877333333337</c:v>
                </c:pt>
                <c:pt idx="24">
                  <c:v>1.6262144000000003</c:v>
                </c:pt>
                <c:pt idx="25">
                  <c:v>1.6387344000000001</c:v>
                </c:pt>
                <c:pt idx="26">
                  <c:v>1.6515477333333335</c:v>
                </c:pt>
                <c:pt idx="27">
                  <c:v>1.6646544000000003</c:v>
                </c:pt>
                <c:pt idx="28">
                  <c:v>1.6780544000000002</c:v>
                </c:pt>
                <c:pt idx="29">
                  <c:v>1.6917477333333337</c:v>
                </c:pt>
                <c:pt idx="30">
                  <c:v>1.7057344000000003</c:v>
                </c:pt>
                <c:pt idx="31">
                  <c:v>1.7200144000000004</c:v>
                </c:pt>
                <c:pt idx="32">
                  <c:v>1.7345877333333337</c:v>
                </c:pt>
                <c:pt idx="33">
                  <c:v>1.7494544000000001</c:v>
                </c:pt>
                <c:pt idx="34">
                  <c:v>1.7646144000000004</c:v>
                </c:pt>
                <c:pt idx="35">
                  <c:v>1.7800677333333337</c:v>
                </c:pt>
                <c:pt idx="36">
                  <c:v>1.7958144000000003</c:v>
                </c:pt>
                <c:pt idx="37">
                  <c:v>1.8118544000000003</c:v>
                </c:pt>
                <c:pt idx="38">
                  <c:v>1.8281877333333336</c:v>
                </c:pt>
                <c:pt idx="39">
                  <c:v>1.8448144000000002</c:v>
                </c:pt>
                <c:pt idx="40">
                  <c:v>1.8617344000000002</c:v>
                </c:pt>
                <c:pt idx="41">
                  <c:v>1.8789477333333338</c:v>
                </c:pt>
                <c:pt idx="42">
                  <c:v>1.8964544000000001</c:v>
                </c:pt>
                <c:pt idx="43">
                  <c:v>1.9142544000000004</c:v>
                </c:pt>
                <c:pt idx="44">
                  <c:v>1.9323477333333337</c:v>
                </c:pt>
                <c:pt idx="45">
                  <c:v>1.9507344000000002</c:v>
                </c:pt>
                <c:pt idx="46">
                  <c:v>1.9694144000000005</c:v>
                </c:pt>
                <c:pt idx="47">
                  <c:v>1.9883877333333335</c:v>
                </c:pt>
                <c:pt idx="48">
                  <c:v>2.0076544000000003</c:v>
                </c:pt>
                <c:pt idx="49">
                  <c:v>2.0272144000000001</c:v>
                </c:pt>
                <c:pt idx="50">
                  <c:v>2.0470677333333338</c:v>
                </c:pt>
                <c:pt idx="51">
                  <c:v>2.0672144000000006</c:v>
                </c:pt>
                <c:pt idx="52">
                  <c:v>2.0876544000000004</c:v>
                </c:pt>
                <c:pt idx="53">
                  <c:v>2.1083877333333336</c:v>
                </c:pt>
                <c:pt idx="54">
                  <c:v>2.1294143999999999</c:v>
                </c:pt>
                <c:pt idx="55">
                  <c:v>2.1507344000000002</c:v>
                </c:pt>
                <c:pt idx="56">
                  <c:v>2.1723477333333339</c:v>
                </c:pt>
                <c:pt idx="57">
                  <c:v>2.1942544000000002</c:v>
                </c:pt>
                <c:pt idx="58">
                  <c:v>2.2164544000000004</c:v>
                </c:pt>
                <c:pt idx="59">
                  <c:v>2.2389477333333336</c:v>
                </c:pt>
                <c:pt idx="60">
                  <c:v>2.2617343999999999</c:v>
                </c:pt>
                <c:pt idx="61">
                  <c:v>2.2848144000000001</c:v>
                </c:pt>
                <c:pt idx="62">
                  <c:v>2.3081877333333338</c:v>
                </c:pt>
                <c:pt idx="63">
                  <c:v>2.3318544000000005</c:v>
                </c:pt>
                <c:pt idx="64">
                  <c:v>2.3558144000000003</c:v>
                </c:pt>
                <c:pt idx="65">
                  <c:v>2.3800677333333335</c:v>
                </c:pt>
                <c:pt idx="66">
                  <c:v>2.4046144000000003</c:v>
                </c:pt>
                <c:pt idx="67">
                  <c:v>2.4294544</c:v>
                </c:pt>
                <c:pt idx="68">
                  <c:v>2.4545877333333337</c:v>
                </c:pt>
                <c:pt idx="69">
                  <c:v>2.4800144000000004</c:v>
                </c:pt>
                <c:pt idx="70">
                  <c:v>2.5057344000000001</c:v>
                </c:pt>
                <c:pt idx="71">
                  <c:v>2.5317477333333342</c:v>
                </c:pt>
                <c:pt idx="72">
                  <c:v>2.5580544000000001</c:v>
                </c:pt>
                <c:pt idx="73">
                  <c:v>2.5846544000000002</c:v>
                </c:pt>
                <c:pt idx="74">
                  <c:v>2.6115477333333335</c:v>
                </c:pt>
                <c:pt idx="75">
                  <c:v>2.6387344000000001</c:v>
                </c:pt>
                <c:pt idx="76">
                  <c:v>2.6662144000000003</c:v>
                </c:pt>
                <c:pt idx="77">
                  <c:v>2.6939877333333335</c:v>
                </c:pt>
                <c:pt idx="78">
                  <c:v>2.7220544000000002</c:v>
                </c:pt>
                <c:pt idx="79">
                  <c:v>2.7504144000000004</c:v>
                </c:pt>
                <c:pt idx="80">
                  <c:v>2.779067733333334</c:v>
                </c:pt>
                <c:pt idx="81">
                  <c:v>2.8080144000000002</c:v>
                </c:pt>
                <c:pt idx="82">
                  <c:v>2.8372544000000008</c:v>
                </c:pt>
                <c:pt idx="83">
                  <c:v>2.866787733333334</c:v>
                </c:pt>
                <c:pt idx="84">
                  <c:v>2.8966144000000003</c:v>
                </c:pt>
                <c:pt idx="85">
                  <c:v>2.9267344</c:v>
                </c:pt>
                <c:pt idx="86">
                  <c:v>2.9571477333333336</c:v>
                </c:pt>
                <c:pt idx="87">
                  <c:v>2.9878544000000011</c:v>
                </c:pt>
                <c:pt idx="88">
                  <c:v>3.0188544000000004</c:v>
                </c:pt>
                <c:pt idx="89">
                  <c:v>3.0501477333333336</c:v>
                </c:pt>
                <c:pt idx="90">
                  <c:v>3.0817344000000002</c:v>
                </c:pt>
                <c:pt idx="91">
                  <c:v>3.1136144000000008</c:v>
                </c:pt>
                <c:pt idx="92">
                  <c:v>3.1457877333333339</c:v>
                </c:pt>
                <c:pt idx="93">
                  <c:v>3.1782544000000001</c:v>
                </c:pt>
                <c:pt idx="94">
                  <c:v>3.2110144000000007</c:v>
                </c:pt>
                <c:pt idx="95">
                  <c:v>3.2440677333333343</c:v>
                </c:pt>
                <c:pt idx="96">
                  <c:v>3.2774144000000009</c:v>
                </c:pt>
                <c:pt idx="97">
                  <c:v>3.3110544000000006</c:v>
                </c:pt>
                <c:pt idx="98">
                  <c:v>3.3449877333333333</c:v>
                </c:pt>
                <c:pt idx="99">
                  <c:v>3.3792144000000004</c:v>
                </c:pt>
                <c:pt idx="100">
                  <c:v>3.4137344000000005</c:v>
                </c:pt>
                <c:pt idx="101">
                  <c:v>3.4485477333333336</c:v>
                </c:pt>
                <c:pt idx="102">
                  <c:v>3.4836544000000012</c:v>
                </c:pt>
                <c:pt idx="103">
                  <c:v>3.5190544000000008</c:v>
                </c:pt>
                <c:pt idx="104">
                  <c:v>3.554747733333333</c:v>
                </c:pt>
                <c:pt idx="105">
                  <c:v>3.5907344000000005</c:v>
                </c:pt>
                <c:pt idx="106">
                  <c:v>3.6270144000000002</c:v>
                </c:pt>
                <c:pt idx="107">
                  <c:v>3.6635877333333338</c:v>
                </c:pt>
                <c:pt idx="108">
                  <c:v>3.7004544000000008</c:v>
                </c:pt>
                <c:pt idx="109">
                  <c:v>3.7376144000000004</c:v>
                </c:pt>
                <c:pt idx="110">
                  <c:v>3.7750677333333331</c:v>
                </c:pt>
                <c:pt idx="111">
                  <c:v>3.8128144000000006</c:v>
                </c:pt>
                <c:pt idx="112">
                  <c:v>3.8508544000000007</c:v>
                </c:pt>
                <c:pt idx="113">
                  <c:v>3.8891877333333333</c:v>
                </c:pt>
                <c:pt idx="114">
                  <c:v>3.9278144000000004</c:v>
                </c:pt>
                <c:pt idx="115">
                  <c:v>3.9667344000000009</c:v>
                </c:pt>
                <c:pt idx="116">
                  <c:v>4.0059477333333344</c:v>
                </c:pt>
                <c:pt idx="117">
                  <c:v>4.0454544000000014</c:v>
                </c:pt>
                <c:pt idx="118">
                  <c:v>4.0852544000000011</c:v>
                </c:pt>
                <c:pt idx="119">
                  <c:v>4.1253477333333324</c:v>
                </c:pt>
                <c:pt idx="120">
                  <c:v>4.1657344000000007</c:v>
                </c:pt>
                <c:pt idx="121">
                  <c:v>4.2064144000000008</c:v>
                </c:pt>
                <c:pt idx="122">
                  <c:v>4.2473877333333334</c:v>
                </c:pt>
                <c:pt idx="123">
                  <c:v>4.2886544000000004</c:v>
                </c:pt>
                <c:pt idx="124">
                  <c:v>4.3302144</c:v>
                </c:pt>
                <c:pt idx="125">
                  <c:v>4.3720677333333331</c:v>
                </c:pt>
                <c:pt idx="126">
                  <c:v>4.4142144000000014</c:v>
                </c:pt>
                <c:pt idx="127">
                  <c:v>4.4566544000000006</c:v>
                </c:pt>
                <c:pt idx="128">
                  <c:v>4.4993877333333341</c:v>
                </c:pt>
                <c:pt idx="129">
                  <c:v>4.5424144000000002</c:v>
                </c:pt>
                <c:pt idx="130">
                  <c:v>4.5857343999999998</c:v>
                </c:pt>
                <c:pt idx="131">
                  <c:v>4.6293477333333328</c:v>
                </c:pt>
                <c:pt idx="132">
                  <c:v>4.6732544000000003</c:v>
                </c:pt>
                <c:pt idx="133">
                  <c:v>4.7174544000000012</c:v>
                </c:pt>
                <c:pt idx="134">
                  <c:v>4.761947733333332</c:v>
                </c:pt>
                <c:pt idx="135">
                  <c:v>4.8067343999999999</c:v>
                </c:pt>
                <c:pt idx="136">
                  <c:v>4.8518143999999994</c:v>
                </c:pt>
                <c:pt idx="137">
                  <c:v>4.8971877333333325</c:v>
                </c:pt>
                <c:pt idx="138">
                  <c:v>4.9428543999999999</c:v>
                </c:pt>
                <c:pt idx="139">
                  <c:v>4.9888144000000008</c:v>
                </c:pt>
                <c:pt idx="140">
                  <c:v>5.0350677333333325</c:v>
                </c:pt>
                <c:pt idx="141">
                  <c:v>5.0816143999999994</c:v>
                </c:pt>
                <c:pt idx="142">
                  <c:v>5.1284544000000016</c:v>
                </c:pt>
                <c:pt idx="143">
                  <c:v>5.1755877333333329</c:v>
                </c:pt>
                <c:pt idx="144">
                  <c:v>5.2230144000000003</c:v>
                </c:pt>
                <c:pt idx="145">
                  <c:v>5.2707343999999994</c:v>
                </c:pt>
                <c:pt idx="146">
                  <c:v>5.3187477333333328</c:v>
                </c:pt>
                <c:pt idx="147">
                  <c:v>5.3670543999999998</c:v>
                </c:pt>
                <c:pt idx="148">
                  <c:v>5.4156544000000002</c:v>
                </c:pt>
                <c:pt idx="149">
                  <c:v>5.4645477333333323</c:v>
                </c:pt>
                <c:pt idx="150">
                  <c:v>5.5137344000000006</c:v>
                </c:pt>
              </c:numCache>
            </c:numRef>
          </c:yVal>
          <c:smooth val="1"/>
          <c:extLst>
            <c:ext xmlns:c16="http://schemas.microsoft.com/office/drawing/2014/chart" uri="{C3380CC4-5D6E-409C-BE32-E72D297353CC}">
              <c16:uniqueId val="{00000002-F850-4D08-8BFC-748D436DD73B}"/>
            </c:ext>
          </c:extLst>
        </c:ser>
        <c:ser>
          <c:idx val="3"/>
          <c:order val="3"/>
          <c:tx>
            <c:v>RCS</c:v>
          </c:tx>
          <c:marker>
            <c:symbol val="none"/>
          </c:marker>
          <c:xVal>
            <c:numRef>
              <c:f>Eff_vs_IOUT!$S$7:$S$157</c:f>
              <c:numCache>
                <c:formatCode>General</c:formatCode>
                <c:ptCount val="151"/>
                <c:pt idx="0">
                  <c:v>0</c:v>
                </c:pt>
                <c:pt idx="1">
                  <c:v>0.1</c:v>
                </c:pt>
                <c:pt idx="2">
                  <c:v>0.2</c:v>
                </c:pt>
                <c:pt idx="3">
                  <c:v>0.30000000000000004</c:v>
                </c:pt>
                <c:pt idx="4">
                  <c:v>0.4</c:v>
                </c:pt>
                <c:pt idx="5">
                  <c:v>0.5</c:v>
                </c:pt>
                <c:pt idx="6">
                  <c:v>0.60000000000000009</c:v>
                </c:pt>
                <c:pt idx="7">
                  <c:v>0.70000000000000007</c:v>
                </c:pt>
                <c:pt idx="8">
                  <c:v>0.8</c:v>
                </c:pt>
                <c:pt idx="9">
                  <c:v>0.9</c:v>
                </c:pt>
                <c:pt idx="10">
                  <c:v>1</c:v>
                </c:pt>
                <c:pt idx="11">
                  <c:v>1.1000000000000001</c:v>
                </c:pt>
                <c:pt idx="12">
                  <c:v>1.2000000000000002</c:v>
                </c:pt>
                <c:pt idx="13">
                  <c:v>1.3</c:v>
                </c:pt>
                <c:pt idx="14">
                  <c:v>1.4000000000000001</c:v>
                </c:pt>
                <c:pt idx="15">
                  <c:v>1.5</c:v>
                </c:pt>
                <c:pt idx="16">
                  <c:v>1.6</c:v>
                </c:pt>
                <c:pt idx="17">
                  <c:v>1.7000000000000002</c:v>
                </c:pt>
                <c:pt idx="18">
                  <c:v>1.8</c:v>
                </c:pt>
                <c:pt idx="19">
                  <c:v>1.9000000000000001</c:v>
                </c:pt>
                <c:pt idx="20">
                  <c:v>2</c:v>
                </c:pt>
                <c:pt idx="21">
                  <c:v>2.1</c:v>
                </c:pt>
                <c:pt idx="22">
                  <c:v>2.2000000000000002</c:v>
                </c:pt>
                <c:pt idx="23">
                  <c:v>2.3000000000000003</c:v>
                </c:pt>
                <c:pt idx="24">
                  <c:v>2.4000000000000004</c:v>
                </c:pt>
                <c:pt idx="25">
                  <c:v>2.5</c:v>
                </c:pt>
                <c:pt idx="26">
                  <c:v>2.6</c:v>
                </c:pt>
                <c:pt idx="27">
                  <c:v>2.7</c:v>
                </c:pt>
                <c:pt idx="28">
                  <c:v>2.8000000000000003</c:v>
                </c:pt>
                <c:pt idx="29">
                  <c:v>2.9000000000000004</c:v>
                </c:pt>
                <c:pt idx="30">
                  <c:v>3</c:v>
                </c:pt>
                <c:pt idx="31">
                  <c:v>3.1</c:v>
                </c:pt>
                <c:pt idx="32">
                  <c:v>3.2</c:v>
                </c:pt>
                <c:pt idx="33">
                  <c:v>3.3000000000000003</c:v>
                </c:pt>
                <c:pt idx="34">
                  <c:v>3.4000000000000004</c:v>
                </c:pt>
                <c:pt idx="35">
                  <c:v>3.5</c:v>
                </c:pt>
                <c:pt idx="36">
                  <c:v>3.6</c:v>
                </c:pt>
                <c:pt idx="37">
                  <c:v>3.7</c:v>
                </c:pt>
                <c:pt idx="38">
                  <c:v>3.8000000000000003</c:v>
                </c:pt>
                <c:pt idx="39">
                  <c:v>3.9000000000000004</c:v>
                </c:pt>
                <c:pt idx="40">
                  <c:v>4</c:v>
                </c:pt>
                <c:pt idx="41">
                  <c:v>4.1000000000000005</c:v>
                </c:pt>
                <c:pt idx="42">
                  <c:v>4.2</c:v>
                </c:pt>
                <c:pt idx="43">
                  <c:v>4.3</c:v>
                </c:pt>
                <c:pt idx="44">
                  <c:v>4.4000000000000004</c:v>
                </c:pt>
                <c:pt idx="45">
                  <c:v>4.5</c:v>
                </c:pt>
                <c:pt idx="46">
                  <c:v>4.6000000000000005</c:v>
                </c:pt>
                <c:pt idx="47">
                  <c:v>4.7</c:v>
                </c:pt>
                <c:pt idx="48">
                  <c:v>4.8000000000000007</c:v>
                </c:pt>
                <c:pt idx="49">
                  <c:v>4.9000000000000004</c:v>
                </c:pt>
                <c:pt idx="50">
                  <c:v>5</c:v>
                </c:pt>
                <c:pt idx="51">
                  <c:v>5.1000000000000005</c:v>
                </c:pt>
                <c:pt idx="52">
                  <c:v>5.2</c:v>
                </c:pt>
                <c:pt idx="53">
                  <c:v>5.3000000000000007</c:v>
                </c:pt>
                <c:pt idx="54">
                  <c:v>5.4</c:v>
                </c:pt>
                <c:pt idx="55">
                  <c:v>5.5</c:v>
                </c:pt>
                <c:pt idx="56">
                  <c:v>5.6000000000000005</c:v>
                </c:pt>
                <c:pt idx="57">
                  <c:v>5.7</c:v>
                </c:pt>
                <c:pt idx="58">
                  <c:v>5.8000000000000007</c:v>
                </c:pt>
                <c:pt idx="59">
                  <c:v>5.9</c:v>
                </c:pt>
                <c:pt idx="60">
                  <c:v>6</c:v>
                </c:pt>
                <c:pt idx="61">
                  <c:v>6.1000000000000005</c:v>
                </c:pt>
                <c:pt idx="62">
                  <c:v>6.2</c:v>
                </c:pt>
                <c:pt idx="63">
                  <c:v>6.3000000000000007</c:v>
                </c:pt>
                <c:pt idx="64">
                  <c:v>6.4</c:v>
                </c:pt>
                <c:pt idx="65">
                  <c:v>6.5</c:v>
                </c:pt>
                <c:pt idx="66">
                  <c:v>6.6000000000000005</c:v>
                </c:pt>
                <c:pt idx="67">
                  <c:v>6.7</c:v>
                </c:pt>
                <c:pt idx="68">
                  <c:v>6.8000000000000007</c:v>
                </c:pt>
                <c:pt idx="69">
                  <c:v>6.9</c:v>
                </c:pt>
                <c:pt idx="70">
                  <c:v>7</c:v>
                </c:pt>
                <c:pt idx="71">
                  <c:v>7.1000000000000005</c:v>
                </c:pt>
                <c:pt idx="72">
                  <c:v>7.2</c:v>
                </c:pt>
                <c:pt idx="73">
                  <c:v>7.3000000000000007</c:v>
                </c:pt>
                <c:pt idx="74">
                  <c:v>7.4</c:v>
                </c:pt>
                <c:pt idx="75">
                  <c:v>7.5</c:v>
                </c:pt>
                <c:pt idx="76">
                  <c:v>7.6000000000000005</c:v>
                </c:pt>
                <c:pt idx="77">
                  <c:v>7.7</c:v>
                </c:pt>
                <c:pt idx="78">
                  <c:v>7.8000000000000007</c:v>
                </c:pt>
                <c:pt idx="79">
                  <c:v>7.9</c:v>
                </c:pt>
                <c:pt idx="80">
                  <c:v>8</c:v>
                </c:pt>
                <c:pt idx="81">
                  <c:v>8.1</c:v>
                </c:pt>
                <c:pt idx="82">
                  <c:v>8.2000000000000011</c:v>
                </c:pt>
                <c:pt idx="83">
                  <c:v>8.3000000000000007</c:v>
                </c:pt>
                <c:pt idx="84">
                  <c:v>8.4</c:v>
                </c:pt>
                <c:pt idx="85">
                  <c:v>8.5</c:v>
                </c:pt>
                <c:pt idx="86">
                  <c:v>8.6</c:v>
                </c:pt>
                <c:pt idx="87">
                  <c:v>8.7000000000000011</c:v>
                </c:pt>
                <c:pt idx="88">
                  <c:v>8.8000000000000007</c:v>
                </c:pt>
                <c:pt idx="89">
                  <c:v>8.9</c:v>
                </c:pt>
                <c:pt idx="90">
                  <c:v>9</c:v>
                </c:pt>
                <c:pt idx="91">
                  <c:v>9.1</c:v>
                </c:pt>
                <c:pt idx="92">
                  <c:v>9.2000000000000011</c:v>
                </c:pt>
                <c:pt idx="93">
                  <c:v>9.3000000000000007</c:v>
                </c:pt>
                <c:pt idx="94">
                  <c:v>9.4</c:v>
                </c:pt>
                <c:pt idx="95">
                  <c:v>9.5</c:v>
                </c:pt>
                <c:pt idx="96">
                  <c:v>9.6000000000000014</c:v>
                </c:pt>
                <c:pt idx="97">
                  <c:v>9.7000000000000011</c:v>
                </c:pt>
                <c:pt idx="98">
                  <c:v>9.8000000000000007</c:v>
                </c:pt>
                <c:pt idx="99">
                  <c:v>9.9</c:v>
                </c:pt>
                <c:pt idx="100">
                  <c:v>10</c:v>
                </c:pt>
                <c:pt idx="101">
                  <c:v>10.100000000000001</c:v>
                </c:pt>
                <c:pt idx="102">
                  <c:v>10.200000000000001</c:v>
                </c:pt>
                <c:pt idx="103">
                  <c:v>10.3</c:v>
                </c:pt>
                <c:pt idx="104">
                  <c:v>10.4</c:v>
                </c:pt>
                <c:pt idx="105">
                  <c:v>10.5</c:v>
                </c:pt>
                <c:pt idx="106">
                  <c:v>10.600000000000001</c:v>
                </c:pt>
                <c:pt idx="107">
                  <c:v>10.700000000000001</c:v>
                </c:pt>
                <c:pt idx="108">
                  <c:v>10.8</c:v>
                </c:pt>
                <c:pt idx="109">
                  <c:v>10.9</c:v>
                </c:pt>
                <c:pt idx="110">
                  <c:v>11</c:v>
                </c:pt>
                <c:pt idx="111">
                  <c:v>11.100000000000001</c:v>
                </c:pt>
                <c:pt idx="112">
                  <c:v>11.200000000000001</c:v>
                </c:pt>
                <c:pt idx="113">
                  <c:v>11.3</c:v>
                </c:pt>
                <c:pt idx="114">
                  <c:v>11.4</c:v>
                </c:pt>
                <c:pt idx="115">
                  <c:v>11.5</c:v>
                </c:pt>
                <c:pt idx="116">
                  <c:v>11.600000000000001</c:v>
                </c:pt>
                <c:pt idx="117">
                  <c:v>11.700000000000001</c:v>
                </c:pt>
                <c:pt idx="118">
                  <c:v>11.8</c:v>
                </c:pt>
                <c:pt idx="119">
                  <c:v>11.9</c:v>
                </c:pt>
                <c:pt idx="120">
                  <c:v>12</c:v>
                </c:pt>
                <c:pt idx="121">
                  <c:v>12.100000000000001</c:v>
                </c:pt>
                <c:pt idx="122">
                  <c:v>12.200000000000001</c:v>
                </c:pt>
                <c:pt idx="123">
                  <c:v>12.3</c:v>
                </c:pt>
                <c:pt idx="124">
                  <c:v>12.4</c:v>
                </c:pt>
                <c:pt idx="125">
                  <c:v>12.5</c:v>
                </c:pt>
                <c:pt idx="126">
                  <c:v>12.600000000000001</c:v>
                </c:pt>
                <c:pt idx="127">
                  <c:v>12.700000000000001</c:v>
                </c:pt>
                <c:pt idx="128">
                  <c:v>12.8</c:v>
                </c:pt>
                <c:pt idx="129">
                  <c:v>12.9</c:v>
                </c:pt>
                <c:pt idx="130">
                  <c:v>13</c:v>
                </c:pt>
                <c:pt idx="131">
                  <c:v>13.100000000000001</c:v>
                </c:pt>
                <c:pt idx="132">
                  <c:v>13.200000000000001</c:v>
                </c:pt>
                <c:pt idx="133">
                  <c:v>13.3</c:v>
                </c:pt>
                <c:pt idx="134">
                  <c:v>13.4</c:v>
                </c:pt>
                <c:pt idx="135">
                  <c:v>13.5</c:v>
                </c:pt>
                <c:pt idx="136">
                  <c:v>13.600000000000001</c:v>
                </c:pt>
                <c:pt idx="137">
                  <c:v>13.700000000000001</c:v>
                </c:pt>
                <c:pt idx="138">
                  <c:v>13.8</c:v>
                </c:pt>
                <c:pt idx="139">
                  <c:v>13.9</c:v>
                </c:pt>
                <c:pt idx="140">
                  <c:v>14</c:v>
                </c:pt>
                <c:pt idx="141">
                  <c:v>14.100000000000001</c:v>
                </c:pt>
                <c:pt idx="142">
                  <c:v>14.200000000000001</c:v>
                </c:pt>
                <c:pt idx="143">
                  <c:v>14.3</c:v>
                </c:pt>
                <c:pt idx="144">
                  <c:v>14.4</c:v>
                </c:pt>
                <c:pt idx="145">
                  <c:v>14.5</c:v>
                </c:pt>
                <c:pt idx="146">
                  <c:v>14.600000000000001</c:v>
                </c:pt>
                <c:pt idx="147">
                  <c:v>14.700000000000001</c:v>
                </c:pt>
                <c:pt idx="148">
                  <c:v>14.8</c:v>
                </c:pt>
                <c:pt idx="149">
                  <c:v>14.9</c:v>
                </c:pt>
                <c:pt idx="150">
                  <c:v>15</c:v>
                </c:pt>
              </c:numCache>
            </c:numRef>
          </c:xVal>
          <c:yVal>
            <c:numRef>
              <c:f>Eff_vs_IOUT!$AP$7:$AP$157</c:f>
              <c:numCache>
                <c:formatCode>General</c:formatCode>
                <c:ptCount val="151"/>
                <c:pt idx="0">
                  <c:v>0</c:v>
                </c:pt>
                <c:pt idx="1">
                  <c:v>1.4907119849998595E-4</c:v>
                </c:pt>
                <c:pt idx="2">
                  <c:v>4.2163702135578394E-4</c:v>
                </c:pt>
                <c:pt idx="3">
                  <c:v>7.7459666924148331E-4</c:v>
                </c:pt>
                <c:pt idx="4">
                  <c:v>1.1925695879998872E-3</c:v>
                </c:pt>
                <c:pt idx="5">
                  <c:v>1.6666666666666661E-3</c:v>
                </c:pt>
                <c:pt idx="6">
                  <c:v>2.1908902300206653E-3</c:v>
                </c:pt>
                <c:pt idx="7">
                  <c:v>2.7608372321131554E-3</c:v>
                </c:pt>
                <c:pt idx="8">
                  <c:v>3.3866666666666659E-3</c:v>
                </c:pt>
                <c:pt idx="9">
                  <c:v>4.0949999999999997E-3</c:v>
                </c:pt>
                <c:pt idx="10">
                  <c:v>4.8866666666666676E-3</c:v>
                </c:pt>
                <c:pt idx="11">
                  <c:v>5.7616666666666667E-3</c:v>
                </c:pt>
                <c:pt idx="12">
                  <c:v>6.7200000000000046E-3</c:v>
                </c:pt>
                <c:pt idx="13">
                  <c:v>7.7616666666666667E-3</c:v>
                </c:pt>
                <c:pt idx="14">
                  <c:v>8.8866666666666677E-3</c:v>
                </c:pt>
                <c:pt idx="15">
                  <c:v>1.0095000000000002E-2</c:v>
                </c:pt>
                <c:pt idx="16">
                  <c:v>1.1386666666666668E-2</c:v>
                </c:pt>
                <c:pt idx="17">
                  <c:v>1.2761666666666669E-2</c:v>
                </c:pt>
                <c:pt idx="18">
                  <c:v>1.4220000000000003E-2</c:v>
                </c:pt>
                <c:pt idx="19">
                  <c:v>1.5761666666666667E-2</c:v>
                </c:pt>
                <c:pt idx="20">
                  <c:v>1.7386666666666672E-2</c:v>
                </c:pt>
                <c:pt idx="21">
                  <c:v>1.9095000000000001E-2</c:v>
                </c:pt>
                <c:pt idx="22">
                  <c:v>2.0886666666666664E-2</c:v>
                </c:pt>
                <c:pt idx="23">
                  <c:v>2.2761666666666677E-2</c:v>
                </c:pt>
                <c:pt idx="24">
                  <c:v>2.4720000000000013E-2</c:v>
                </c:pt>
                <c:pt idx="25">
                  <c:v>2.6761666666666677E-2</c:v>
                </c:pt>
                <c:pt idx="26">
                  <c:v>2.8886666666666665E-2</c:v>
                </c:pt>
                <c:pt idx="27">
                  <c:v>3.1094999999999998E-2</c:v>
                </c:pt>
                <c:pt idx="28">
                  <c:v>3.3386666666666669E-2</c:v>
                </c:pt>
                <c:pt idx="29">
                  <c:v>3.5761666666666685E-2</c:v>
                </c:pt>
                <c:pt idx="30">
                  <c:v>3.8220000000000004E-2</c:v>
                </c:pt>
                <c:pt idx="31">
                  <c:v>4.0761666666666668E-2</c:v>
                </c:pt>
                <c:pt idx="32">
                  <c:v>4.3386666666666664E-2</c:v>
                </c:pt>
                <c:pt idx="33">
                  <c:v>4.6095000000000004E-2</c:v>
                </c:pt>
                <c:pt idx="34">
                  <c:v>4.8886666666666655E-2</c:v>
                </c:pt>
                <c:pt idx="35">
                  <c:v>5.176166666666665E-2</c:v>
                </c:pt>
                <c:pt idx="36">
                  <c:v>5.4719999999999998E-2</c:v>
                </c:pt>
                <c:pt idx="37">
                  <c:v>5.7761666666666676E-2</c:v>
                </c:pt>
                <c:pt idx="38">
                  <c:v>6.0886666666666658E-2</c:v>
                </c:pt>
                <c:pt idx="39">
                  <c:v>6.4094999999999985E-2</c:v>
                </c:pt>
                <c:pt idx="40">
                  <c:v>6.7386666666666678E-2</c:v>
                </c:pt>
                <c:pt idx="41">
                  <c:v>7.0761666666666681E-2</c:v>
                </c:pt>
                <c:pt idx="42">
                  <c:v>7.4220000000000008E-2</c:v>
                </c:pt>
                <c:pt idx="43">
                  <c:v>7.7761666666666673E-2</c:v>
                </c:pt>
                <c:pt idx="44">
                  <c:v>8.1386666666666663E-2</c:v>
                </c:pt>
                <c:pt idx="45">
                  <c:v>8.5095000000000004E-2</c:v>
                </c:pt>
                <c:pt idx="46">
                  <c:v>8.8886666666666697E-2</c:v>
                </c:pt>
                <c:pt idx="47">
                  <c:v>9.2761666666666659E-2</c:v>
                </c:pt>
                <c:pt idx="48">
                  <c:v>9.672000000000007E-2</c:v>
                </c:pt>
                <c:pt idx="49">
                  <c:v>0.10076166666666665</c:v>
                </c:pt>
                <c:pt idx="50">
                  <c:v>0.1048866666666667</c:v>
                </c:pt>
                <c:pt idx="51">
                  <c:v>0.10909500000000005</c:v>
                </c:pt>
                <c:pt idx="52">
                  <c:v>0.11338666666666666</c:v>
                </c:pt>
                <c:pt idx="53">
                  <c:v>0.11776166666666668</c:v>
                </c:pt>
                <c:pt idx="54">
                  <c:v>0.12221999999999998</c:v>
                </c:pt>
                <c:pt idx="55">
                  <c:v>0.12676166666666666</c:v>
                </c:pt>
                <c:pt idx="56">
                  <c:v>0.13138666666666671</c:v>
                </c:pt>
                <c:pt idx="57">
                  <c:v>0.13609500000000002</c:v>
                </c:pt>
                <c:pt idx="58">
                  <c:v>0.14088666666666669</c:v>
                </c:pt>
                <c:pt idx="59">
                  <c:v>0.14576166666666671</c:v>
                </c:pt>
                <c:pt idx="60">
                  <c:v>0.15071999999999999</c:v>
                </c:pt>
                <c:pt idx="61">
                  <c:v>0.15576166666666671</c:v>
                </c:pt>
                <c:pt idx="62">
                  <c:v>0.16088666666666668</c:v>
                </c:pt>
                <c:pt idx="63">
                  <c:v>0.16609500000000008</c:v>
                </c:pt>
                <c:pt idx="64">
                  <c:v>0.17138666666666669</c:v>
                </c:pt>
                <c:pt idx="65">
                  <c:v>0.17676166666666671</c:v>
                </c:pt>
                <c:pt idx="66">
                  <c:v>0.18222000000000002</c:v>
                </c:pt>
                <c:pt idx="67">
                  <c:v>0.18776166666666663</c:v>
                </c:pt>
                <c:pt idx="68">
                  <c:v>0.19338666666666662</c:v>
                </c:pt>
                <c:pt idx="69">
                  <c:v>0.19909499999999994</c:v>
                </c:pt>
                <c:pt idx="70">
                  <c:v>0.20488666666666661</c:v>
                </c:pt>
                <c:pt idx="71">
                  <c:v>0.21076166666666668</c:v>
                </c:pt>
                <c:pt idx="72">
                  <c:v>0.21672</c:v>
                </c:pt>
                <c:pt idx="73">
                  <c:v>0.22276166666666664</c:v>
                </c:pt>
                <c:pt idx="74">
                  <c:v>0.22888666666666665</c:v>
                </c:pt>
                <c:pt idx="75">
                  <c:v>0.235095</c:v>
                </c:pt>
                <c:pt idx="76">
                  <c:v>0.24138666666666664</c:v>
                </c:pt>
                <c:pt idx="77">
                  <c:v>0.24776166666666669</c:v>
                </c:pt>
                <c:pt idx="78">
                  <c:v>0.25422</c:v>
                </c:pt>
                <c:pt idx="79">
                  <c:v>0.26076166666666656</c:v>
                </c:pt>
                <c:pt idx="80">
                  <c:v>0.26738666666666666</c:v>
                </c:pt>
                <c:pt idx="81">
                  <c:v>0.27409500000000003</c:v>
                </c:pt>
                <c:pt idx="82">
                  <c:v>0.28088666666666678</c:v>
                </c:pt>
                <c:pt idx="83">
                  <c:v>0.28776166666666664</c:v>
                </c:pt>
                <c:pt idx="84">
                  <c:v>0.29471999999999993</c:v>
                </c:pt>
                <c:pt idx="85">
                  <c:v>0.30176166666666665</c:v>
                </c:pt>
                <c:pt idx="86">
                  <c:v>0.3088866666666667</c:v>
                </c:pt>
                <c:pt idx="87">
                  <c:v>0.31609500000000013</c:v>
                </c:pt>
                <c:pt idx="88">
                  <c:v>0.32338666666666666</c:v>
                </c:pt>
                <c:pt idx="89">
                  <c:v>0.33076166666666668</c:v>
                </c:pt>
                <c:pt idx="90">
                  <c:v>0.33821999999999997</c:v>
                </c:pt>
                <c:pt idx="91">
                  <c:v>0.34576166666666663</c:v>
                </c:pt>
                <c:pt idx="92">
                  <c:v>0.35338666666666674</c:v>
                </c:pt>
                <c:pt idx="93">
                  <c:v>0.361095</c:v>
                </c:pt>
                <c:pt idx="94">
                  <c:v>0.36888666666666664</c:v>
                </c:pt>
                <c:pt idx="95">
                  <c:v>0.37676166666666666</c:v>
                </c:pt>
                <c:pt idx="96">
                  <c:v>0.38472000000000012</c:v>
                </c:pt>
                <c:pt idx="97">
                  <c:v>0.39276166666666673</c:v>
                </c:pt>
                <c:pt idx="98">
                  <c:v>0.40088666666666661</c:v>
                </c:pt>
                <c:pt idx="99">
                  <c:v>0.40909500000000004</c:v>
                </c:pt>
                <c:pt idx="100">
                  <c:v>0.41738666666666668</c:v>
                </c:pt>
                <c:pt idx="101">
                  <c:v>0.42576166666666682</c:v>
                </c:pt>
                <c:pt idx="102">
                  <c:v>0.43422000000000011</c:v>
                </c:pt>
                <c:pt idx="103">
                  <c:v>0.44276166666666672</c:v>
                </c:pt>
                <c:pt idx="104">
                  <c:v>0.45138666666666666</c:v>
                </c:pt>
                <c:pt idx="105">
                  <c:v>0.46009500000000003</c:v>
                </c:pt>
                <c:pt idx="106">
                  <c:v>0.46888666666666673</c:v>
                </c:pt>
                <c:pt idx="107">
                  <c:v>0.47776166666666681</c:v>
                </c:pt>
                <c:pt idx="108">
                  <c:v>0.4867200000000001</c:v>
                </c:pt>
                <c:pt idx="109">
                  <c:v>0.49576166666666677</c:v>
                </c:pt>
                <c:pt idx="110">
                  <c:v>0.50488666666666671</c:v>
                </c:pt>
                <c:pt idx="111">
                  <c:v>0.5140950000000003</c:v>
                </c:pt>
                <c:pt idx="112">
                  <c:v>0.52338666666666678</c:v>
                </c:pt>
                <c:pt idx="113">
                  <c:v>0.53276166666666669</c:v>
                </c:pt>
                <c:pt idx="114">
                  <c:v>0.54222000000000004</c:v>
                </c:pt>
                <c:pt idx="115">
                  <c:v>0.55176166666666682</c:v>
                </c:pt>
                <c:pt idx="116">
                  <c:v>0.56138666666666681</c:v>
                </c:pt>
                <c:pt idx="117">
                  <c:v>0.57109500000000024</c:v>
                </c:pt>
                <c:pt idx="118">
                  <c:v>0.58088666666666688</c:v>
                </c:pt>
                <c:pt idx="119">
                  <c:v>0.59076166666666674</c:v>
                </c:pt>
                <c:pt idx="120">
                  <c:v>0.60072000000000003</c:v>
                </c:pt>
                <c:pt idx="121">
                  <c:v>0.61076166666666676</c:v>
                </c:pt>
                <c:pt idx="122">
                  <c:v>0.62088666666666692</c:v>
                </c:pt>
                <c:pt idx="123">
                  <c:v>0.63109500000000007</c:v>
                </c:pt>
                <c:pt idx="124">
                  <c:v>0.64138666666666688</c:v>
                </c:pt>
                <c:pt idx="125">
                  <c:v>0.65176166666666668</c:v>
                </c:pt>
                <c:pt idx="126">
                  <c:v>0.66222000000000025</c:v>
                </c:pt>
                <c:pt idx="127">
                  <c:v>0.6727616666666667</c:v>
                </c:pt>
                <c:pt idx="128">
                  <c:v>0.6833866666666667</c:v>
                </c:pt>
                <c:pt idx="129">
                  <c:v>0.69409500000000002</c:v>
                </c:pt>
                <c:pt idx="130">
                  <c:v>0.70488666666666677</c:v>
                </c:pt>
                <c:pt idx="131">
                  <c:v>0.71576166666666663</c:v>
                </c:pt>
                <c:pt idx="132">
                  <c:v>0.72672000000000014</c:v>
                </c:pt>
                <c:pt idx="133">
                  <c:v>0.73776166666666665</c:v>
                </c:pt>
                <c:pt idx="134">
                  <c:v>0.74888666666666659</c:v>
                </c:pt>
                <c:pt idx="135">
                  <c:v>0.76009500000000008</c:v>
                </c:pt>
                <c:pt idx="136">
                  <c:v>0.77138666666666678</c:v>
                </c:pt>
                <c:pt idx="137">
                  <c:v>0.78276166666666669</c:v>
                </c:pt>
                <c:pt idx="138">
                  <c:v>0.79422000000000004</c:v>
                </c:pt>
                <c:pt idx="139">
                  <c:v>0.80576166666666671</c:v>
                </c:pt>
                <c:pt idx="140">
                  <c:v>0.81738666666666659</c:v>
                </c:pt>
                <c:pt idx="141">
                  <c:v>0.82909500000000003</c:v>
                </c:pt>
                <c:pt idx="142">
                  <c:v>0.84088666666666689</c:v>
                </c:pt>
                <c:pt idx="143">
                  <c:v>0.85276166666666664</c:v>
                </c:pt>
                <c:pt idx="144">
                  <c:v>0.86472000000000004</c:v>
                </c:pt>
                <c:pt idx="145">
                  <c:v>0.87676166666666677</c:v>
                </c:pt>
                <c:pt idx="146">
                  <c:v>0.88888666666666682</c:v>
                </c:pt>
                <c:pt idx="147">
                  <c:v>0.90109500000000009</c:v>
                </c:pt>
                <c:pt idx="148">
                  <c:v>0.91338666666666668</c:v>
                </c:pt>
                <c:pt idx="149">
                  <c:v>0.9257616666666667</c:v>
                </c:pt>
                <c:pt idx="150">
                  <c:v>0.93822000000000016</c:v>
                </c:pt>
              </c:numCache>
            </c:numRef>
          </c:yVal>
          <c:smooth val="1"/>
          <c:extLst>
            <c:ext xmlns:c16="http://schemas.microsoft.com/office/drawing/2014/chart" uri="{C3380CC4-5D6E-409C-BE32-E72D297353CC}">
              <c16:uniqueId val="{00000003-F850-4D08-8BFC-748D436DD73B}"/>
            </c:ext>
          </c:extLst>
        </c:ser>
        <c:dLbls>
          <c:showLegendKey val="0"/>
          <c:showVal val="0"/>
          <c:showCatName val="0"/>
          <c:showSerName val="0"/>
          <c:showPercent val="0"/>
          <c:showBubbleSize val="0"/>
        </c:dLbls>
        <c:axId val="543660288"/>
        <c:axId val="543658752"/>
      </c:scatterChart>
      <c:valAx>
        <c:axId val="224130176"/>
        <c:scaling>
          <c:orientation val="minMax"/>
          <c:max val="6"/>
        </c:scaling>
        <c:delete val="0"/>
        <c:axPos val="b"/>
        <c:majorGridlines/>
        <c:numFmt formatCode="General" sourceLinked="1"/>
        <c:majorTickMark val="out"/>
        <c:minorTickMark val="none"/>
        <c:tickLblPos val="nextTo"/>
        <c:crossAx val="224131712"/>
        <c:crosses val="autoZero"/>
        <c:crossBetween val="midCat"/>
      </c:valAx>
      <c:valAx>
        <c:axId val="224131712"/>
        <c:scaling>
          <c:orientation val="minMax"/>
          <c:max val="100"/>
          <c:min val="60"/>
        </c:scaling>
        <c:delete val="0"/>
        <c:axPos val="l"/>
        <c:majorGridlines/>
        <c:title>
          <c:overlay val="0"/>
          <c:txPr>
            <a:bodyPr rot="-5400000" vert="horz"/>
            <a:lstStyle/>
            <a:p>
              <a:pPr>
                <a:defRPr/>
              </a:pPr>
              <a:endParaRPr lang="en-US"/>
            </a:p>
          </c:txPr>
        </c:title>
        <c:numFmt formatCode="General" sourceLinked="1"/>
        <c:majorTickMark val="out"/>
        <c:minorTickMark val="none"/>
        <c:tickLblPos val="nextTo"/>
        <c:crossAx val="224130176"/>
        <c:crosses val="autoZero"/>
        <c:crossBetween val="midCat"/>
      </c:valAx>
      <c:valAx>
        <c:axId val="543658752"/>
        <c:scaling>
          <c:orientation val="minMax"/>
        </c:scaling>
        <c:delete val="0"/>
        <c:axPos val="r"/>
        <c:numFmt formatCode="General" sourceLinked="1"/>
        <c:majorTickMark val="out"/>
        <c:minorTickMark val="none"/>
        <c:tickLblPos val="nextTo"/>
        <c:crossAx val="543660288"/>
        <c:crosses val="max"/>
        <c:crossBetween val="midCat"/>
      </c:valAx>
      <c:valAx>
        <c:axId val="543660288"/>
        <c:scaling>
          <c:orientation val="minMax"/>
        </c:scaling>
        <c:delete val="1"/>
        <c:axPos val="b"/>
        <c:numFmt formatCode="General" sourceLinked="1"/>
        <c:majorTickMark val="out"/>
        <c:minorTickMark val="none"/>
        <c:tickLblPos val="nextTo"/>
        <c:crossAx val="543658752"/>
        <c:crosses val="autoZero"/>
        <c:crossBetween val="midCat"/>
      </c:valAx>
    </c:plotArea>
    <c:legend>
      <c:legendPos val="r"/>
      <c:overlay val="1"/>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l">
              <a:defRPr sz="2400"/>
            </a:pPr>
            <a:r>
              <a:rPr lang="el-GR" sz="2400"/>
              <a:t>η</a:t>
            </a:r>
            <a:endParaRPr lang="en-US" sz="2400"/>
          </a:p>
        </c:rich>
      </c:tx>
      <c:layout>
        <c:manualLayout>
          <c:xMode val="edge"/>
          <c:yMode val="edge"/>
          <c:x val="9.2321838295158831E-2"/>
          <c:y val="6.7069081153588199E-3"/>
        </c:manualLayout>
      </c:layout>
      <c:overlay val="1"/>
    </c:title>
    <c:autoTitleDeleted val="0"/>
    <c:plotArea>
      <c:layout>
        <c:manualLayout>
          <c:layoutTarget val="inner"/>
          <c:xMode val="edge"/>
          <c:yMode val="edge"/>
          <c:x val="9.4343575816580413E-2"/>
          <c:y val="0.12777504924560487"/>
          <c:w val="0.82170691922728745"/>
          <c:h val="0.74982770867653059"/>
        </c:manualLayout>
      </c:layout>
      <c:scatterChart>
        <c:scatterStyle val="smoothMarker"/>
        <c:varyColors val="0"/>
        <c:ser>
          <c:idx val="0"/>
          <c:order val="0"/>
          <c:tx>
            <c:v>Eff</c:v>
          </c:tx>
          <c:spPr>
            <a:ln>
              <a:solidFill>
                <a:srgbClr val="FF0000"/>
              </a:solidFill>
            </a:ln>
          </c:spPr>
          <c:marker>
            <c:symbol val="none"/>
          </c:marker>
          <c:xVal>
            <c:numRef>
              <c:f>Eff_vs_IOUT!$S$7:$S$157</c:f>
              <c:numCache>
                <c:formatCode>General</c:formatCode>
                <c:ptCount val="151"/>
                <c:pt idx="0">
                  <c:v>0</c:v>
                </c:pt>
                <c:pt idx="1">
                  <c:v>0.1</c:v>
                </c:pt>
                <c:pt idx="2">
                  <c:v>0.2</c:v>
                </c:pt>
                <c:pt idx="3">
                  <c:v>0.30000000000000004</c:v>
                </c:pt>
                <c:pt idx="4">
                  <c:v>0.4</c:v>
                </c:pt>
                <c:pt idx="5">
                  <c:v>0.5</c:v>
                </c:pt>
                <c:pt idx="6">
                  <c:v>0.60000000000000009</c:v>
                </c:pt>
                <c:pt idx="7">
                  <c:v>0.70000000000000007</c:v>
                </c:pt>
                <c:pt idx="8">
                  <c:v>0.8</c:v>
                </c:pt>
                <c:pt idx="9">
                  <c:v>0.9</c:v>
                </c:pt>
                <c:pt idx="10">
                  <c:v>1</c:v>
                </c:pt>
                <c:pt idx="11">
                  <c:v>1.1000000000000001</c:v>
                </c:pt>
                <c:pt idx="12">
                  <c:v>1.2000000000000002</c:v>
                </c:pt>
                <c:pt idx="13">
                  <c:v>1.3</c:v>
                </c:pt>
                <c:pt idx="14">
                  <c:v>1.4000000000000001</c:v>
                </c:pt>
                <c:pt idx="15">
                  <c:v>1.5</c:v>
                </c:pt>
                <c:pt idx="16">
                  <c:v>1.6</c:v>
                </c:pt>
                <c:pt idx="17">
                  <c:v>1.7000000000000002</c:v>
                </c:pt>
                <c:pt idx="18">
                  <c:v>1.8</c:v>
                </c:pt>
                <c:pt idx="19">
                  <c:v>1.9000000000000001</c:v>
                </c:pt>
                <c:pt idx="20">
                  <c:v>2</c:v>
                </c:pt>
                <c:pt idx="21">
                  <c:v>2.1</c:v>
                </c:pt>
                <c:pt idx="22">
                  <c:v>2.2000000000000002</c:v>
                </c:pt>
                <c:pt idx="23">
                  <c:v>2.3000000000000003</c:v>
                </c:pt>
                <c:pt idx="24">
                  <c:v>2.4000000000000004</c:v>
                </c:pt>
                <c:pt idx="25">
                  <c:v>2.5</c:v>
                </c:pt>
                <c:pt idx="26">
                  <c:v>2.6</c:v>
                </c:pt>
                <c:pt idx="27">
                  <c:v>2.7</c:v>
                </c:pt>
                <c:pt idx="28">
                  <c:v>2.8000000000000003</c:v>
                </c:pt>
                <c:pt idx="29">
                  <c:v>2.9000000000000004</c:v>
                </c:pt>
                <c:pt idx="30">
                  <c:v>3</c:v>
                </c:pt>
                <c:pt idx="31">
                  <c:v>3.1</c:v>
                </c:pt>
                <c:pt idx="32">
                  <c:v>3.2</c:v>
                </c:pt>
                <c:pt idx="33">
                  <c:v>3.3000000000000003</c:v>
                </c:pt>
                <c:pt idx="34">
                  <c:v>3.4000000000000004</c:v>
                </c:pt>
                <c:pt idx="35">
                  <c:v>3.5</c:v>
                </c:pt>
                <c:pt idx="36">
                  <c:v>3.6</c:v>
                </c:pt>
                <c:pt idx="37">
                  <c:v>3.7</c:v>
                </c:pt>
                <c:pt idx="38">
                  <c:v>3.8000000000000003</c:v>
                </c:pt>
                <c:pt idx="39">
                  <c:v>3.9000000000000004</c:v>
                </c:pt>
                <c:pt idx="40">
                  <c:v>4</c:v>
                </c:pt>
                <c:pt idx="41">
                  <c:v>4.1000000000000005</c:v>
                </c:pt>
                <c:pt idx="42">
                  <c:v>4.2</c:v>
                </c:pt>
                <c:pt idx="43">
                  <c:v>4.3</c:v>
                </c:pt>
                <c:pt idx="44">
                  <c:v>4.4000000000000004</c:v>
                </c:pt>
                <c:pt idx="45">
                  <c:v>4.5</c:v>
                </c:pt>
                <c:pt idx="46">
                  <c:v>4.6000000000000005</c:v>
                </c:pt>
                <c:pt idx="47">
                  <c:v>4.7</c:v>
                </c:pt>
                <c:pt idx="48">
                  <c:v>4.8000000000000007</c:v>
                </c:pt>
                <c:pt idx="49">
                  <c:v>4.9000000000000004</c:v>
                </c:pt>
                <c:pt idx="50">
                  <c:v>5</c:v>
                </c:pt>
                <c:pt idx="51">
                  <c:v>5.1000000000000005</c:v>
                </c:pt>
                <c:pt idx="52">
                  <c:v>5.2</c:v>
                </c:pt>
                <c:pt idx="53">
                  <c:v>5.3000000000000007</c:v>
                </c:pt>
                <c:pt idx="54">
                  <c:v>5.4</c:v>
                </c:pt>
                <c:pt idx="55">
                  <c:v>5.5</c:v>
                </c:pt>
                <c:pt idx="56">
                  <c:v>5.6000000000000005</c:v>
                </c:pt>
                <c:pt idx="57">
                  <c:v>5.7</c:v>
                </c:pt>
                <c:pt idx="58">
                  <c:v>5.8000000000000007</c:v>
                </c:pt>
                <c:pt idx="59">
                  <c:v>5.9</c:v>
                </c:pt>
                <c:pt idx="60">
                  <c:v>6</c:v>
                </c:pt>
                <c:pt idx="61">
                  <c:v>6.1000000000000005</c:v>
                </c:pt>
                <c:pt idx="62">
                  <c:v>6.2</c:v>
                </c:pt>
                <c:pt idx="63">
                  <c:v>6.3000000000000007</c:v>
                </c:pt>
                <c:pt idx="64">
                  <c:v>6.4</c:v>
                </c:pt>
                <c:pt idx="65">
                  <c:v>6.5</c:v>
                </c:pt>
                <c:pt idx="66">
                  <c:v>6.6000000000000005</c:v>
                </c:pt>
                <c:pt idx="67">
                  <c:v>6.7</c:v>
                </c:pt>
                <c:pt idx="68">
                  <c:v>6.8000000000000007</c:v>
                </c:pt>
                <c:pt idx="69">
                  <c:v>6.9</c:v>
                </c:pt>
                <c:pt idx="70">
                  <c:v>7</c:v>
                </c:pt>
                <c:pt idx="71">
                  <c:v>7.1000000000000005</c:v>
                </c:pt>
                <c:pt idx="72">
                  <c:v>7.2</c:v>
                </c:pt>
                <c:pt idx="73">
                  <c:v>7.3000000000000007</c:v>
                </c:pt>
                <c:pt idx="74">
                  <c:v>7.4</c:v>
                </c:pt>
                <c:pt idx="75">
                  <c:v>7.5</c:v>
                </c:pt>
                <c:pt idx="76">
                  <c:v>7.6000000000000005</c:v>
                </c:pt>
                <c:pt idx="77">
                  <c:v>7.7</c:v>
                </c:pt>
                <c:pt idx="78">
                  <c:v>7.8000000000000007</c:v>
                </c:pt>
                <c:pt idx="79">
                  <c:v>7.9</c:v>
                </c:pt>
                <c:pt idx="80">
                  <c:v>8</c:v>
                </c:pt>
                <c:pt idx="81">
                  <c:v>8.1</c:v>
                </c:pt>
                <c:pt idx="82">
                  <c:v>8.2000000000000011</c:v>
                </c:pt>
                <c:pt idx="83">
                  <c:v>8.3000000000000007</c:v>
                </c:pt>
                <c:pt idx="84">
                  <c:v>8.4</c:v>
                </c:pt>
                <c:pt idx="85">
                  <c:v>8.5</c:v>
                </c:pt>
                <c:pt idx="86">
                  <c:v>8.6</c:v>
                </c:pt>
                <c:pt idx="87">
                  <c:v>8.7000000000000011</c:v>
                </c:pt>
                <c:pt idx="88">
                  <c:v>8.8000000000000007</c:v>
                </c:pt>
                <c:pt idx="89">
                  <c:v>8.9</c:v>
                </c:pt>
                <c:pt idx="90">
                  <c:v>9</c:v>
                </c:pt>
                <c:pt idx="91">
                  <c:v>9.1</c:v>
                </c:pt>
                <c:pt idx="92">
                  <c:v>9.2000000000000011</c:v>
                </c:pt>
                <c:pt idx="93">
                  <c:v>9.3000000000000007</c:v>
                </c:pt>
                <c:pt idx="94">
                  <c:v>9.4</c:v>
                </c:pt>
                <c:pt idx="95">
                  <c:v>9.5</c:v>
                </c:pt>
                <c:pt idx="96">
                  <c:v>9.6000000000000014</c:v>
                </c:pt>
                <c:pt idx="97">
                  <c:v>9.7000000000000011</c:v>
                </c:pt>
                <c:pt idx="98">
                  <c:v>9.8000000000000007</c:v>
                </c:pt>
                <c:pt idx="99">
                  <c:v>9.9</c:v>
                </c:pt>
                <c:pt idx="100">
                  <c:v>10</c:v>
                </c:pt>
                <c:pt idx="101">
                  <c:v>10.100000000000001</c:v>
                </c:pt>
                <c:pt idx="102">
                  <c:v>10.200000000000001</c:v>
                </c:pt>
                <c:pt idx="103">
                  <c:v>10.3</c:v>
                </c:pt>
                <c:pt idx="104">
                  <c:v>10.4</c:v>
                </c:pt>
                <c:pt idx="105">
                  <c:v>10.5</c:v>
                </c:pt>
                <c:pt idx="106">
                  <c:v>10.600000000000001</c:v>
                </c:pt>
                <c:pt idx="107">
                  <c:v>10.700000000000001</c:v>
                </c:pt>
                <c:pt idx="108">
                  <c:v>10.8</c:v>
                </c:pt>
                <c:pt idx="109">
                  <c:v>10.9</c:v>
                </c:pt>
                <c:pt idx="110">
                  <c:v>11</c:v>
                </c:pt>
                <c:pt idx="111">
                  <c:v>11.100000000000001</c:v>
                </c:pt>
                <c:pt idx="112">
                  <c:v>11.200000000000001</c:v>
                </c:pt>
                <c:pt idx="113">
                  <c:v>11.3</c:v>
                </c:pt>
                <c:pt idx="114">
                  <c:v>11.4</c:v>
                </c:pt>
                <c:pt idx="115">
                  <c:v>11.5</c:v>
                </c:pt>
                <c:pt idx="116">
                  <c:v>11.600000000000001</c:v>
                </c:pt>
                <c:pt idx="117">
                  <c:v>11.700000000000001</c:v>
                </c:pt>
                <c:pt idx="118">
                  <c:v>11.8</c:v>
                </c:pt>
                <c:pt idx="119">
                  <c:v>11.9</c:v>
                </c:pt>
                <c:pt idx="120">
                  <c:v>12</c:v>
                </c:pt>
                <c:pt idx="121">
                  <c:v>12.100000000000001</c:v>
                </c:pt>
                <c:pt idx="122">
                  <c:v>12.200000000000001</c:v>
                </c:pt>
                <c:pt idx="123">
                  <c:v>12.3</c:v>
                </c:pt>
                <c:pt idx="124">
                  <c:v>12.4</c:v>
                </c:pt>
                <c:pt idx="125">
                  <c:v>12.5</c:v>
                </c:pt>
                <c:pt idx="126">
                  <c:v>12.600000000000001</c:v>
                </c:pt>
                <c:pt idx="127">
                  <c:v>12.700000000000001</c:v>
                </c:pt>
                <c:pt idx="128">
                  <c:v>12.8</c:v>
                </c:pt>
                <c:pt idx="129">
                  <c:v>12.9</c:v>
                </c:pt>
                <c:pt idx="130">
                  <c:v>13</c:v>
                </c:pt>
                <c:pt idx="131">
                  <c:v>13.100000000000001</c:v>
                </c:pt>
                <c:pt idx="132">
                  <c:v>13.200000000000001</c:v>
                </c:pt>
                <c:pt idx="133">
                  <c:v>13.3</c:v>
                </c:pt>
                <c:pt idx="134">
                  <c:v>13.4</c:v>
                </c:pt>
                <c:pt idx="135">
                  <c:v>13.5</c:v>
                </c:pt>
                <c:pt idx="136">
                  <c:v>13.600000000000001</c:v>
                </c:pt>
                <c:pt idx="137">
                  <c:v>13.700000000000001</c:v>
                </c:pt>
                <c:pt idx="138">
                  <c:v>13.8</c:v>
                </c:pt>
                <c:pt idx="139">
                  <c:v>13.9</c:v>
                </c:pt>
                <c:pt idx="140">
                  <c:v>14</c:v>
                </c:pt>
                <c:pt idx="141">
                  <c:v>14.100000000000001</c:v>
                </c:pt>
                <c:pt idx="142">
                  <c:v>14.200000000000001</c:v>
                </c:pt>
                <c:pt idx="143">
                  <c:v>14.3</c:v>
                </c:pt>
                <c:pt idx="144">
                  <c:v>14.4</c:v>
                </c:pt>
                <c:pt idx="145">
                  <c:v>14.5</c:v>
                </c:pt>
                <c:pt idx="146">
                  <c:v>14.600000000000001</c:v>
                </c:pt>
                <c:pt idx="147">
                  <c:v>14.700000000000001</c:v>
                </c:pt>
                <c:pt idx="148">
                  <c:v>14.8</c:v>
                </c:pt>
                <c:pt idx="149">
                  <c:v>14.9</c:v>
                </c:pt>
                <c:pt idx="150">
                  <c:v>15</c:v>
                </c:pt>
              </c:numCache>
            </c:numRef>
          </c:xVal>
          <c:yVal>
            <c:numRef>
              <c:f>Eff_vs_IOUT!$AW$7:$AW$157</c:f>
              <c:numCache>
                <c:formatCode>General</c:formatCode>
                <c:ptCount val="151"/>
                <c:pt idx="0">
                  <c:v>0</c:v>
                </c:pt>
                <c:pt idx="1">
                  <c:v>53.436155743681113</c:v>
                </c:pt>
                <c:pt idx="2">
                  <c:v>67.632828206566529</c:v>
                </c:pt>
                <c:pt idx="3">
                  <c:v>74.151370871490215</c:v>
                </c:pt>
                <c:pt idx="4">
                  <c:v>77.871016719572111</c:v>
                </c:pt>
                <c:pt idx="5">
                  <c:v>80.262958325614747</c:v>
                </c:pt>
                <c:pt idx="6">
                  <c:v>81.922588250678501</c:v>
                </c:pt>
                <c:pt idx="7">
                  <c:v>83.136406555482793</c:v>
                </c:pt>
                <c:pt idx="8">
                  <c:v>84.490341376110422</c:v>
                </c:pt>
                <c:pt idx="9">
                  <c:v>85.669510246206741</c:v>
                </c:pt>
                <c:pt idx="10">
                  <c:v>86.63408778158616</c:v>
                </c:pt>
                <c:pt idx="11">
                  <c:v>87.437072389024166</c:v>
                </c:pt>
                <c:pt idx="12">
                  <c:v>88.115338072752351</c:v>
                </c:pt>
                <c:pt idx="13">
                  <c:v>88.695333158571998</c:v>
                </c:pt>
                <c:pt idx="14">
                  <c:v>89.196521707079725</c:v>
                </c:pt>
                <c:pt idx="15">
                  <c:v>89.633546175789931</c:v>
                </c:pt>
                <c:pt idx="16">
                  <c:v>90.017633349143892</c:v>
                </c:pt>
                <c:pt idx="17">
                  <c:v>90.357535431154574</c:v>
                </c:pt>
                <c:pt idx="18">
                  <c:v>90.660176238383073</c:v>
                </c:pt>
                <c:pt idx="19">
                  <c:v>90.9311049531062</c:v>
                </c:pt>
                <c:pt idx="20">
                  <c:v>91.174821136230335</c:v>
                </c:pt>
                <c:pt idx="21">
                  <c:v>91.395011690172765</c:v>
                </c:pt>
                <c:pt idx="22">
                  <c:v>91.594726398924735</c:v>
                </c:pt>
                <c:pt idx="23">
                  <c:v>91.776509850943526</c:v>
                </c:pt>
                <c:pt idx="24">
                  <c:v>91.94250188610674</c:v>
                </c:pt>
                <c:pt idx="25">
                  <c:v>92.094514993254563</c:v>
                </c:pt>
                <c:pt idx="26">
                  <c:v>92.234094601651677</c:v>
                </c:pt>
                <c:pt idx="27">
                  <c:v>92.362566520497126</c:v>
                </c:pt>
                <c:pt idx="28">
                  <c:v>92.481074612991748</c:v>
                </c:pt>
                <c:pt idx="29">
                  <c:v>92.590610972426873</c:v>
                </c:pt>
                <c:pt idx="30">
                  <c:v>92.692040285375526</c:v>
                </c:pt>
                <c:pt idx="31">
                  <c:v>92.786119647727489</c:v>
                </c:pt>
                <c:pt idx="32">
                  <c:v>92.873514793828264</c:v>
                </c:pt>
                <c:pt idx="33">
                  <c:v>92.954813474013079</c:v>
                </c:pt>
                <c:pt idx="34">
                  <c:v>93.030536548465676</c:v>
                </c:pt>
                <c:pt idx="35">
                  <c:v>93.101147239639062</c:v>
                </c:pt>
                <c:pt idx="36">
                  <c:v>93.167058890236589</c:v>
                </c:pt>
                <c:pt idx="37">
                  <c:v>93.228641500980984</c:v>
                </c:pt>
                <c:pt idx="38">
                  <c:v>93.28622726635956</c:v>
                </c:pt>
                <c:pt idx="39">
                  <c:v>93.340115283055567</c:v>
                </c:pt>
                <c:pt idx="40">
                  <c:v>93.39057557180908</c:v>
                </c:pt>
                <c:pt idx="41">
                  <c:v>93.437852526735256</c:v>
                </c:pt>
                <c:pt idx="42">
                  <c:v>93.482167884986339</c:v>
                </c:pt>
                <c:pt idx="43">
                  <c:v>93.523723292811695</c:v>
                </c:pt>
                <c:pt idx="44">
                  <c:v>93.562702530593384</c:v>
                </c:pt>
                <c:pt idx="45">
                  <c:v>93.59927344858653</c:v>
                </c:pt>
                <c:pt idx="46">
                  <c:v>93.633589656316474</c:v>
                </c:pt>
                <c:pt idx="47">
                  <c:v>93.6657920014475</c:v>
                </c:pt>
                <c:pt idx="48">
                  <c:v>93.696009868108817</c:v>
                </c:pt>
                <c:pt idx="49">
                  <c:v>93.724362319879248</c:v>
                </c:pt>
                <c:pt idx="50">
                  <c:v>93.750959108690495</c:v>
                </c:pt>
                <c:pt idx="51">
                  <c:v>93.775901567647637</c:v>
                </c:pt>
                <c:pt idx="52">
                  <c:v>93.79928340305581</c:v>
                </c:pt>
                <c:pt idx="53">
                  <c:v>93.821191398683467</c:v>
                </c:pt>
                <c:pt idx="54">
                  <c:v>93.84170604340224</c:v>
                </c:pt>
                <c:pt idx="55">
                  <c:v>93.86090209175623</c:v>
                </c:pt>
                <c:pt idx="56">
                  <c:v>93.87884906567605</c:v>
                </c:pt>
                <c:pt idx="57">
                  <c:v>93.895611704423189</c:v>
                </c:pt>
                <c:pt idx="58">
                  <c:v>93.911250368891061</c:v>
                </c:pt>
                <c:pt idx="59">
                  <c:v>93.925821405575263</c:v>
                </c:pt>
                <c:pt idx="60">
                  <c:v>93.939377474829612</c:v>
                </c:pt>
                <c:pt idx="61">
                  <c:v>93.951967847430865</c:v>
                </c:pt>
                <c:pt idx="62">
                  <c:v>93.963638672965033</c:v>
                </c:pt>
                <c:pt idx="63">
                  <c:v>93.974433223110466</c:v>
                </c:pt>
                <c:pt idx="64">
                  <c:v>93.984392112514541</c:v>
                </c:pt>
                <c:pt idx="65">
                  <c:v>93.993553499635695</c:v>
                </c:pt>
                <c:pt idx="66">
                  <c:v>94.001953269638904</c:v>
                </c:pt>
                <c:pt idx="67">
                  <c:v>94.009625201188214</c:v>
                </c:pt>
                <c:pt idx="68">
                  <c:v>94.016601118766616</c:v>
                </c:pt>
                <c:pt idx="69">
                  <c:v>94.022911031967269</c:v>
                </c:pt>
                <c:pt idx="70">
                  <c:v>94.02858326303803</c:v>
                </c:pt>
                <c:pt idx="71">
                  <c:v>94.033644563818925</c:v>
                </c:pt>
                <c:pt idx="72">
                  <c:v>94.038120223087901</c:v>
                </c:pt>
                <c:pt idx="73">
                  <c:v>94.042034165219818</c:v>
                </c:pt>
                <c:pt idx="74">
                  <c:v>94.045409040968593</c:v>
                </c:pt>
                <c:pt idx="75">
                  <c:v>94.048266311095901</c:v>
                </c:pt>
                <c:pt idx="76">
                  <c:v>94.050626323495933</c:v>
                </c:pt>
                <c:pt idx="77">
                  <c:v>94.052508384398635</c:v>
                </c:pt>
                <c:pt idx="78">
                  <c:v>94.053930824175254</c:v>
                </c:pt>
                <c:pt idx="79">
                  <c:v>94.054911058217399</c:v>
                </c:pt>
                <c:pt idx="80">
                  <c:v>94.055465643314861</c:v>
                </c:pt>
                <c:pt idx="81">
                  <c:v>94.055610329915538</c:v>
                </c:pt>
                <c:pt idx="82">
                  <c:v>94.05536011061433</c:v>
                </c:pt>
                <c:pt idx="83">
                  <c:v>94.054729265184477</c:v>
                </c:pt>
                <c:pt idx="84">
                  <c:v>94.053731402435886</c:v>
                </c:pt>
                <c:pt idx="85">
                  <c:v>94.052379499157894</c:v>
                </c:pt>
                <c:pt idx="86">
                  <c:v>94.050685936381029</c:v>
                </c:pt>
                <c:pt idx="87">
                  <c:v>94.048662533170486</c:v>
                </c:pt>
                <c:pt idx="88">
                  <c:v>94.046320578145099</c:v>
                </c:pt>
                <c:pt idx="89">
                  <c:v>94.043670858898508</c:v>
                </c:pt>
                <c:pt idx="90">
                  <c:v>94.040723689483656</c:v>
                </c:pt>
                <c:pt idx="91">
                  <c:v>94.037488936107621</c:v>
                </c:pt>
                <c:pt idx="92">
                  <c:v>94.033976041171314</c:v>
                </c:pt>
                <c:pt idx="93">
                  <c:v>94.030194045777264</c:v>
                </c:pt>
                <c:pt idx="94">
                  <c:v>94.026151610817934</c:v>
                </c:pt>
                <c:pt idx="95">
                  <c:v>94.021857036748045</c:v>
                </c:pt>
                <c:pt idx="96">
                  <c:v>94.017318282135847</c:v>
                </c:pt>
                <c:pt idx="97">
                  <c:v>94.012542981080088</c:v>
                </c:pt>
                <c:pt idx="98">
                  <c:v>94.00753845957324</c:v>
                </c:pt>
                <c:pt idx="99">
                  <c:v>94.002311750884132</c:v>
                </c:pt>
                <c:pt idx="100">
                  <c:v>93.996869610028256</c:v>
                </c:pt>
                <c:pt idx="101">
                  <c:v>93.991218527388071</c:v>
                </c:pt>
                <c:pt idx="102">
                  <c:v>93.985364741540934</c:v>
                </c:pt>
                <c:pt idx="103">
                  <c:v>93.979314251348171</c:v>
                </c:pt>
                <c:pt idx="104">
                  <c:v>93.973072827354159</c:v>
                </c:pt>
                <c:pt idx="105">
                  <c:v>93.966646022541141</c:v>
                </c:pt>
                <c:pt idx="106">
                  <c:v>93.960039182481808</c:v>
                </c:pt>
                <c:pt idx="107">
                  <c:v>93.95325745492859</c:v>
                </c:pt>
                <c:pt idx="108">
                  <c:v>93.946305798875798</c:v>
                </c:pt>
                <c:pt idx="109">
                  <c:v>93.939188993128184</c:v>
                </c:pt>
                <c:pt idx="110">
                  <c:v>93.93191164440691</c:v>
                </c:pt>
                <c:pt idx="111">
                  <c:v>93.924478195021806</c:v>
                </c:pt>
                <c:pt idx="112">
                  <c:v>93.916892930136811</c:v>
                </c:pt>
                <c:pt idx="113">
                  <c:v>93.909159984653627</c:v>
                </c:pt>
                <c:pt idx="114">
                  <c:v>93.901283349736474</c:v>
                </c:pt>
                <c:pt idx="115">
                  <c:v>93.89326687899991</c:v>
                </c:pt>
                <c:pt idx="116">
                  <c:v>93.885114294379761</c:v>
                </c:pt>
                <c:pt idx="117">
                  <c:v>93.876829191705809</c:v>
                </c:pt>
                <c:pt idx="118">
                  <c:v>93.868415045993885</c:v>
                </c:pt>
                <c:pt idx="119">
                  <c:v>93.859875216473768</c:v>
                </c:pt>
                <c:pt idx="120">
                  <c:v>93.851212951367842</c:v>
                </c:pt>
                <c:pt idx="121">
                  <c:v>93.84243139243533</c:v>
                </c:pt>
                <c:pt idx="122">
                  <c:v>93.833533579294894</c:v>
                </c:pt>
                <c:pt idx="123">
                  <c:v>93.824522453538336</c:v>
                </c:pt>
                <c:pt idx="124">
                  <c:v>93.815400862647309</c:v>
                </c:pt>
                <c:pt idx="125">
                  <c:v>93.806171563723296</c:v>
                </c:pt>
                <c:pt idx="126">
                  <c:v>93.796837227042076</c:v>
                </c:pt>
                <c:pt idx="127">
                  <c:v>93.787400439441456</c:v>
                </c:pt>
                <c:pt idx="128">
                  <c:v>93.777863707551589</c:v>
                </c:pt>
                <c:pt idx="129">
                  <c:v>93.768229460876611</c:v>
                </c:pt>
                <c:pt idx="130">
                  <c:v>93.758500054734995</c:v>
                </c:pt>
                <c:pt idx="131">
                  <c:v>93.748677773066731</c:v>
                </c:pt>
                <c:pt idx="132">
                  <c:v>93.738764831113684</c:v>
                </c:pt>
                <c:pt idx="133">
                  <c:v>93.728763377980258</c:v>
                </c:pt>
                <c:pt idx="134">
                  <c:v>93.718675499080334</c:v>
                </c:pt>
                <c:pt idx="135">
                  <c:v>93.708503218476395</c:v>
                </c:pt>
                <c:pt idx="136">
                  <c:v>93.698248501116268</c:v>
                </c:pt>
                <c:pt idx="137">
                  <c:v>93.687913254972671</c:v>
                </c:pt>
                <c:pt idx="138">
                  <c:v>93.677499333090779</c:v>
                </c:pt>
                <c:pt idx="139">
                  <c:v>93.66700853554768</c:v>
                </c:pt>
                <c:pt idx="140">
                  <c:v>93.656442611328913</c:v>
                </c:pt>
                <c:pt idx="141">
                  <c:v>93.645803260125732</c:v>
                </c:pt>
                <c:pt idx="142">
                  <c:v>93.635092134056805</c:v>
                </c:pt>
                <c:pt idx="143">
                  <c:v>93.624310839318568</c:v>
                </c:pt>
                <c:pt idx="144">
                  <c:v>93.61346093776713</c:v>
                </c:pt>
                <c:pt idx="145">
                  <c:v>93.602543948435269</c:v>
                </c:pt>
                <c:pt idx="146">
                  <c:v>93.591561348987767</c:v>
                </c:pt>
                <c:pt idx="147">
                  <c:v>93.580514577117512</c:v>
                </c:pt>
                <c:pt idx="148">
                  <c:v>93.569405031885609</c:v>
                </c:pt>
                <c:pt idx="149">
                  <c:v>93.558234075007931</c:v>
                </c:pt>
                <c:pt idx="150">
                  <c:v>93.547003032090572</c:v>
                </c:pt>
              </c:numCache>
            </c:numRef>
          </c:yVal>
          <c:smooth val="0"/>
          <c:extLst>
            <c:ext xmlns:c16="http://schemas.microsoft.com/office/drawing/2014/chart" uri="{C3380CC4-5D6E-409C-BE32-E72D297353CC}">
              <c16:uniqueId val="{00000000-901A-4CE4-83F4-75906C9CC573}"/>
            </c:ext>
          </c:extLst>
        </c:ser>
        <c:dLbls>
          <c:showLegendKey val="0"/>
          <c:showVal val="0"/>
          <c:showCatName val="0"/>
          <c:showSerName val="0"/>
          <c:showPercent val="0"/>
          <c:showBubbleSize val="0"/>
        </c:dLbls>
        <c:axId val="361445248"/>
        <c:axId val="361446784"/>
      </c:scatterChart>
      <c:scatterChart>
        <c:scatterStyle val="smoothMarker"/>
        <c:varyColors val="0"/>
        <c:ser>
          <c:idx val="1"/>
          <c:order val="1"/>
          <c:tx>
            <c:v>LS MOSFET</c:v>
          </c:tx>
          <c:spPr>
            <a:ln>
              <a:solidFill>
                <a:schemeClr val="tx2">
                  <a:lumMod val="75000"/>
                </a:schemeClr>
              </a:solidFill>
              <a:prstDash val="dashDot"/>
            </a:ln>
          </c:spPr>
          <c:marker>
            <c:symbol val="none"/>
          </c:marker>
          <c:xVal>
            <c:numRef>
              <c:f>Eff_vs_IOUT!$S$7:$S$157</c:f>
              <c:numCache>
                <c:formatCode>General</c:formatCode>
                <c:ptCount val="151"/>
                <c:pt idx="0">
                  <c:v>0</c:v>
                </c:pt>
                <c:pt idx="1">
                  <c:v>0.1</c:v>
                </c:pt>
                <c:pt idx="2">
                  <c:v>0.2</c:v>
                </c:pt>
                <c:pt idx="3">
                  <c:v>0.30000000000000004</c:v>
                </c:pt>
                <c:pt idx="4">
                  <c:v>0.4</c:v>
                </c:pt>
                <c:pt idx="5">
                  <c:v>0.5</c:v>
                </c:pt>
                <c:pt idx="6">
                  <c:v>0.60000000000000009</c:v>
                </c:pt>
                <c:pt idx="7">
                  <c:v>0.70000000000000007</c:v>
                </c:pt>
                <c:pt idx="8">
                  <c:v>0.8</c:v>
                </c:pt>
                <c:pt idx="9">
                  <c:v>0.9</c:v>
                </c:pt>
                <c:pt idx="10">
                  <c:v>1</c:v>
                </c:pt>
                <c:pt idx="11">
                  <c:v>1.1000000000000001</c:v>
                </c:pt>
                <c:pt idx="12">
                  <c:v>1.2000000000000002</c:v>
                </c:pt>
                <c:pt idx="13">
                  <c:v>1.3</c:v>
                </c:pt>
                <c:pt idx="14">
                  <c:v>1.4000000000000001</c:v>
                </c:pt>
                <c:pt idx="15">
                  <c:v>1.5</c:v>
                </c:pt>
                <c:pt idx="16">
                  <c:v>1.6</c:v>
                </c:pt>
                <c:pt idx="17">
                  <c:v>1.7000000000000002</c:v>
                </c:pt>
                <c:pt idx="18">
                  <c:v>1.8</c:v>
                </c:pt>
                <c:pt idx="19">
                  <c:v>1.9000000000000001</c:v>
                </c:pt>
                <c:pt idx="20">
                  <c:v>2</c:v>
                </c:pt>
                <c:pt idx="21">
                  <c:v>2.1</c:v>
                </c:pt>
                <c:pt idx="22">
                  <c:v>2.2000000000000002</c:v>
                </c:pt>
                <c:pt idx="23">
                  <c:v>2.3000000000000003</c:v>
                </c:pt>
                <c:pt idx="24">
                  <c:v>2.4000000000000004</c:v>
                </c:pt>
                <c:pt idx="25">
                  <c:v>2.5</c:v>
                </c:pt>
                <c:pt idx="26">
                  <c:v>2.6</c:v>
                </c:pt>
                <c:pt idx="27">
                  <c:v>2.7</c:v>
                </c:pt>
                <c:pt idx="28">
                  <c:v>2.8000000000000003</c:v>
                </c:pt>
                <c:pt idx="29">
                  <c:v>2.9000000000000004</c:v>
                </c:pt>
                <c:pt idx="30">
                  <c:v>3</c:v>
                </c:pt>
                <c:pt idx="31">
                  <c:v>3.1</c:v>
                </c:pt>
                <c:pt idx="32">
                  <c:v>3.2</c:v>
                </c:pt>
                <c:pt idx="33">
                  <c:v>3.3000000000000003</c:v>
                </c:pt>
                <c:pt idx="34">
                  <c:v>3.4000000000000004</c:v>
                </c:pt>
                <c:pt idx="35">
                  <c:v>3.5</c:v>
                </c:pt>
                <c:pt idx="36">
                  <c:v>3.6</c:v>
                </c:pt>
                <c:pt idx="37">
                  <c:v>3.7</c:v>
                </c:pt>
                <c:pt idx="38">
                  <c:v>3.8000000000000003</c:v>
                </c:pt>
                <c:pt idx="39">
                  <c:v>3.9000000000000004</c:v>
                </c:pt>
                <c:pt idx="40">
                  <c:v>4</c:v>
                </c:pt>
                <c:pt idx="41">
                  <c:v>4.1000000000000005</c:v>
                </c:pt>
                <c:pt idx="42">
                  <c:v>4.2</c:v>
                </c:pt>
                <c:pt idx="43">
                  <c:v>4.3</c:v>
                </c:pt>
                <c:pt idx="44">
                  <c:v>4.4000000000000004</c:v>
                </c:pt>
                <c:pt idx="45">
                  <c:v>4.5</c:v>
                </c:pt>
                <c:pt idx="46">
                  <c:v>4.6000000000000005</c:v>
                </c:pt>
                <c:pt idx="47">
                  <c:v>4.7</c:v>
                </c:pt>
                <c:pt idx="48">
                  <c:v>4.8000000000000007</c:v>
                </c:pt>
                <c:pt idx="49">
                  <c:v>4.9000000000000004</c:v>
                </c:pt>
                <c:pt idx="50">
                  <c:v>5</c:v>
                </c:pt>
                <c:pt idx="51">
                  <c:v>5.1000000000000005</c:v>
                </c:pt>
                <c:pt idx="52">
                  <c:v>5.2</c:v>
                </c:pt>
                <c:pt idx="53">
                  <c:v>5.3000000000000007</c:v>
                </c:pt>
                <c:pt idx="54">
                  <c:v>5.4</c:v>
                </c:pt>
                <c:pt idx="55">
                  <c:v>5.5</c:v>
                </c:pt>
                <c:pt idx="56">
                  <c:v>5.6000000000000005</c:v>
                </c:pt>
                <c:pt idx="57">
                  <c:v>5.7</c:v>
                </c:pt>
                <c:pt idx="58">
                  <c:v>5.8000000000000007</c:v>
                </c:pt>
                <c:pt idx="59">
                  <c:v>5.9</c:v>
                </c:pt>
                <c:pt idx="60">
                  <c:v>6</c:v>
                </c:pt>
                <c:pt idx="61">
                  <c:v>6.1000000000000005</c:v>
                </c:pt>
                <c:pt idx="62">
                  <c:v>6.2</c:v>
                </c:pt>
                <c:pt idx="63">
                  <c:v>6.3000000000000007</c:v>
                </c:pt>
                <c:pt idx="64">
                  <c:v>6.4</c:v>
                </c:pt>
                <c:pt idx="65">
                  <c:v>6.5</c:v>
                </c:pt>
                <c:pt idx="66">
                  <c:v>6.6000000000000005</c:v>
                </c:pt>
                <c:pt idx="67">
                  <c:v>6.7</c:v>
                </c:pt>
                <c:pt idx="68">
                  <c:v>6.8000000000000007</c:v>
                </c:pt>
                <c:pt idx="69">
                  <c:v>6.9</c:v>
                </c:pt>
                <c:pt idx="70">
                  <c:v>7</c:v>
                </c:pt>
                <c:pt idx="71">
                  <c:v>7.1000000000000005</c:v>
                </c:pt>
                <c:pt idx="72">
                  <c:v>7.2</c:v>
                </c:pt>
                <c:pt idx="73">
                  <c:v>7.3000000000000007</c:v>
                </c:pt>
                <c:pt idx="74">
                  <c:v>7.4</c:v>
                </c:pt>
                <c:pt idx="75">
                  <c:v>7.5</c:v>
                </c:pt>
                <c:pt idx="76">
                  <c:v>7.6000000000000005</c:v>
                </c:pt>
                <c:pt idx="77">
                  <c:v>7.7</c:v>
                </c:pt>
                <c:pt idx="78">
                  <c:v>7.8000000000000007</c:v>
                </c:pt>
                <c:pt idx="79">
                  <c:v>7.9</c:v>
                </c:pt>
                <c:pt idx="80">
                  <c:v>8</c:v>
                </c:pt>
                <c:pt idx="81">
                  <c:v>8.1</c:v>
                </c:pt>
                <c:pt idx="82">
                  <c:v>8.2000000000000011</c:v>
                </c:pt>
                <c:pt idx="83">
                  <c:v>8.3000000000000007</c:v>
                </c:pt>
                <c:pt idx="84">
                  <c:v>8.4</c:v>
                </c:pt>
                <c:pt idx="85">
                  <c:v>8.5</c:v>
                </c:pt>
                <c:pt idx="86">
                  <c:v>8.6</c:v>
                </c:pt>
                <c:pt idx="87">
                  <c:v>8.7000000000000011</c:v>
                </c:pt>
                <c:pt idx="88">
                  <c:v>8.8000000000000007</c:v>
                </c:pt>
                <c:pt idx="89">
                  <c:v>8.9</c:v>
                </c:pt>
                <c:pt idx="90">
                  <c:v>9</c:v>
                </c:pt>
                <c:pt idx="91">
                  <c:v>9.1</c:v>
                </c:pt>
                <c:pt idx="92">
                  <c:v>9.2000000000000011</c:v>
                </c:pt>
                <c:pt idx="93">
                  <c:v>9.3000000000000007</c:v>
                </c:pt>
                <c:pt idx="94">
                  <c:v>9.4</c:v>
                </c:pt>
                <c:pt idx="95">
                  <c:v>9.5</c:v>
                </c:pt>
                <c:pt idx="96">
                  <c:v>9.6000000000000014</c:v>
                </c:pt>
                <c:pt idx="97">
                  <c:v>9.7000000000000011</c:v>
                </c:pt>
                <c:pt idx="98">
                  <c:v>9.8000000000000007</c:v>
                </c:pt>
                <c:pt idx="99">
                  <c:v>9.9</c:v>
                </c:pt>
                <c:pt idx="100">
                  <c:v>10</c:v>
                </c:pt>
                <c:pt idx="101">
                  <c:v>10.100000000000001</c:v>
                </c:pt>
                <c:pt idx="102">
                  <c:v>10.200000000000001</c:v>
                </c:pt>
                <c:pt idx="103">
                  <c:v>10.3</c:v>
                </c:pt>
                <c:pt idx="104">
                  <c:v>10.4</c:v>
                </c:pt>
                <c:pt idx="105">
                  <c:v>10.5</c:v>
                </c:pt>
                <c:pt idx="106">
                  <c:v>10.600000000000001</c:v>
                </c:pt>
                <c:pt idx="107">
                  <c:v>10.700000000000001</c:v>
                </c:pt>
                <c:pt idx="108">
                  <c:v>10.8</c:v>
                </c:pt>
                <c:pt idx="109">
                  <c:v>10.9</c:v>
                </c:pt>
                <c:pt idx="110">
                  <c:v>11</c:v>
                </c:pt>
                <c:pt idx="111">
                  <c:v>11.100000000000001</c:v>
                </c:pt>
                <c:pt idx="112">
                  <c:v>11.200000000000001</c:v>
                </c:pt>
                <c:pt idx="113">
                  <c:v>11.3</c:v>
                </c:pt>
                <c:pt idx="114">
                  <c:v>11.4</c:v>
                </c:pt>
                <c:pt idx="115">
                  <c:v>11.5</c:v>
                </c:pt>
                <c:pt idx="116">
                  <c:v>11.600000000000001</c:v>
                </c:pt>
                <c:pt idx="117">
                  <c:v>11.700000000000001</c:v>
                </c:pt>
                <c:pt idx="118">
                  <c:v>11.8</c:v>
                </c:pt>
                <c:pt idx="119">
                  <c:v>11.9</c:v>
                </c:pt>
                <c:pt idx="120">
                  <c:v>12</c:v>
                </c:pt>
                <c:pt idx="121">
                  <c:v>12.100000000000001</c:v>
                </c:pt>
                <c:pt idx="122">
                  <c:v>12.200000000000001</c:v>
                </c:pt>
                <c:pt idx="123">
                  <c:v>12.3</c:v>
                </c:pt>
                <c:pt idx="124">
                  <c:v>12.4</c:v>
                </c:pt>
                <c:pt idx="125">
                  <c:v>12.5</c:v>
                </c:pt>
                <c:pt idx="126">
                  <c:v>12.600000000000001</c:v>
                </c:pt>
                <c:pt idx="127">
                  <c:v>12.700000000000001</c:v>
                </c:pt>
                <c:pt idx="128">
                  <c:v>12.8</c:v>
                </c:pt>
                <c:pt idx="129">
                  <c:v>12.9</c:v>
                </c:pt>
                <c:pt idx="130">
                  <c:v>13</c:v>
                </c:pt>
                <c:pt idx="131">
                  <c:v>13.100000000000001</c:v>
                </c:pt>
                <c:pt idx="132">
                  <c:v>13.200000000000001</c:v>
                </c:pt>
                <c:pt idx="133">
                  <c:v>13.3</c:v>
                </c:pt>
                <c:pt idx="134">
                  <c:v>13.4</c:v>
                </c:pt>
                <c:pt idx="135">
                  <c:v>13.5</c:v>
                </c:pt>
                <c:pt idx="136">
                  <c:v>13.600000000000001</c:v>
                </c:pt>
                <c:pt idx="137">
                  <c:v>13.700000000000001</c:v>
                </c:pt>
                <c:pt idx="138">
                  <c:v>13.8</c:v>
                </c:pt>
                <c:pt idx="139">
                  <c:v>13.9</c:v>
                </c:pt>
                <c:pt idx="140">
                  <c:v>14</c:v>
                </c:pt>
                <c:pt idx="141">
                  <c:v>14.100000000000001</c:v>
                </c:pt>
                <c:pt idx="142">
                  <c:v>14.200000000000001</c:v>
                </c:pt>
                <c:pt idx="143">
                  <c:v>14.3</c:v>
                </c:pt>
                <c:pt idx="144">
                  <c:v>14.4</c:v>
                </c:pt>
                <c:pt idx="145">
                  <c:v>14.5</c:v>
                </c:pt>
                <c:pt idx="146">
                  <c:v>14.600000000000001</c:v>
                </c:pt>
                <c:pt idx="147">
                  <c:v>14.700000000000001</c:v>
                </c:pt>
                <c:pt idx="148">
                  <c:v>14.8</c:v>
                </c:pt>
                <c:pt idx="149">
                  <c:v>14.9</c:v>
                </c:pt>
                <c:pt idx="150">
                  <c:v>15</c:v>
                </c:pt>
              </c:numCache>
            </c:numRef>
          </c:xVal>
          <c:yVal>
            <c:numRef>
              <c:f>Eff_vs_IOUT!$AI$7:$AI$157</c:f>
              <c:numCache>
                <c:formatCode>General</c:formatCode>
                <c:ptCount val="151"/>
                <c:pt idx="0">
                  <c:v>0</c:v>
                </c:pt>
                <c:pt idx="1">
                  <c:v>6.2749176290096714E-2</c:v>
                </c:pt>
                <c:pt idx="2">
                  <c:v>0.12578815329868173</c:v>
                </c:pt>
                <c:pt idx="3">
                  <c:v>0.18901578781667031</c:v>
                </c:pt>
                <c:pt idx="4">
                  <c:v>0.25239598681030673</c:v>
                </c:pt>
                <c:pt idx="5">
                  <c:v>0.31590789049919488</c:v>
                </c:pt>
                <c:pt idx="6">
                  <c:v>0.37953742433881577</c:v>
                </c:pt>
                <c:pt idx="7">
                  <c:v>0.4432742558480095</c:v>
                </c:pt>
                <c:pt idx="8">
                  <c:v>0.50714222479871174</c:v>
                </c:pt>
                <c:pt idx="9">
                  <c:v>0.57120380289855077</c:v>
                </c:pt>
                <c:pt idx="10">
                  <c:v>0.63546093655394531</c:v>
                </c:pt>
                <c:pt idx="11">
                  <c:v>0.69991362576489535</c:v>
                </c:pt>
                <c:pt idx="12">
                  <c:v>0.76456187053140123</c:v>
                </c:pt>
                <c:pt idx="13">
                  <c:v>0.82940567085346206</c:v>
                </c:pt>
                <c:pt idx="14">
                  <c:v>0.89444502673107906</c:v>
                </c:pt>
                <c:pt idx="15">
                  <c:v>0.95967993816425123</c:v>
                </c:pt>
                <c:pt idx="16">
                  <c:v>1.0251104051529791</c:v>
                </c:pt>
                <c:pt idx="17">
                  <c:v>1.0907364276972626</c:v>
                </c:pt>
                <c:pt idx="18">
                  <c:v>1.1565580057971017</c:v>
                </c:pt>
                <c:pt idx="19">
                  <c:v>1.222575139452496</c:v>
                </c:pt>
                <c:pt idx="20">
                  <c:v>1.2887878286634462</c:v>
                </c:pt>
                <c:pt idx="21">
                  <c:v>1.3551960734299517</c:v>
                </c:pt>
                <c:pt idx="22">
                  <c:v>1.421799873752013</c:v>
                </c:pt>
                <c:pt idx="23">
                  <c:v>1.48859922962963</c:v>
                </c:pt>
                <c:pt idx="24">
                  <c:v>1.5555941410628025</c:v>
                </c:pt>
                <c:pt idx="25">
                  <c:v>1.62278460805153</c:v>
                </c:pt>
                <c:pt idx="26">
                  <c:v>1.6901706305958131</c:v>
                </c:pt>
                <c:pt idx="27">
                  <c:v>1.7577522086956523</c:v>
                </c:pt>
                <c:pt idx="28">
                  <c:v>1.825529342351047</c:v>
                </c:pt>
                <c:pt idx="29">
                  <c:v>1.8935020315619973</c:v>
                </c:pt>
                <c:pt idx="30">
                  <c:v>1.9616702763285025</c:v>
                </c:pt>
                <c:pt idx="31">
                  <c:v>2.0300340766505638</c:v>
                </c:pt>
                <c:pt idx="32">
                  <c:v>2.0985934325281805</c:v>
                </c:pt>
                <c:pt idx="33">
                  <c:v>2.1673483439613528</c:v>
                </c:pt>
                <c:pt idx="34">
                  <c:v>2.236298810950081</c:v>
                </c:pt>
                <c:pt idx="35">
                  <c:v>2.3054448334943642</c:v>
                </c:pt>
                <c:pt idx="36">
                  <c:v>2.374786411594203</c:v>
                </c:pt>
                <c:pt idx="37">
                  <c:v>2.4443235452495977</c:v>
                </c:pt>
                <c:pt idx="38">
                  <c:v>2.5140562344605475</c:v>
                </c:pt>
                <c:pt idx="39">
                  <c:v>2.5839844792270537</c:v>
                </c:pt>
                <c:pt idx="40">
                  <c:v>2.6541082795491149</c:v>
                </c:pt>
                <c:pt idx="41">
                  <c:v>2.7244276354267316</c:v>
                </c:pt>
                <c:pt idx="42">
                  <c:v>2.7949425468599034</c:v>
                </c:pt>
                <c:pt idx="43">
                  <c:v>2.865653013848632</c:v>
                </c:pt>
                <c:pt idx="44">
                  <c:v>2.9365590363929148</c:v>
                </c:pt>
                <c:pt idx="45">
                  <c:v>3.007660614492754</c:v>
                </c:pt>
                <c:pt idx="46">
                  <c:v>3.0789577481481492</c:v>
                </c:pt>
                <c:pt idx="47">
                  <c:v>3.150450437359098</c:v>
                </c:pt>
                <c:pt idx="48">
                  <c:v>3.2221386821256051</c:v>
                </c:pt>
                <c:pt idx="49">
                  <c:v>3.2940224824476649</c:v>
                </c:pt>
                <c:pt idx="50">
                  <c:v>3.3661018383252825</c:v>
                </c:pt>
                <c:pt idx="51">
                  <c:v>3.4383767497584548</c:v>
                </c:pt>
                <c:pt idx="52">
                  <c:v>3.510847216747182</c:v>
                </c:pt>
                <c:pt idx="53">
                  <c:v>3.5835132392914661</c:v>
                </c:pt>
                <c:pt idx="54">
                  <c:v>3.6563748173913044</c:v>
                </c:pt>
                <c:pt idx="55">
                  <c:v>3.7294319510466987</c:v>
                </c:pt>
                <c:pt idx="56">
                  <c:v>3.8026846402576497</c:v>
                </c:pt>
                <c:pt idx="57">
                  <c:v>3.876132885024155</c:v>
                </c:pt>
                <c:pt idx="58">
                  <c:v>3.9497766853462166</c:v>
                </c:pt>
                <c:pt idx="59">
                  <c:v>4.0236160412238338</c:v>
                </c:pt>
                <c:pt idx="60">
                  <c:v>4.0976509526570055</c:v>
                </c:pt>
                <c:pt idx="61">
                  <c:v>4.1718814196457341</c:v>
                </c:pt>
                <c:pt idx="62">
                  <c:v>4.2463074421900169</c:v>
                </c:pt>
                <c:pt idx="63">
                  <c:v>4.3209290202898565</c:v>
                </c:pt>
                <c:pt idx="64">
                  <c:v>4.3957461539452494</c:v>
                </c:pt>
                <c:pt idx="65">
                  <c:v>4.4707588431562</c:v>
                </c:pt>
                <c:pt idx="66">
                  <c:v>4.5459670879227057</c:v>
                </c:pt>
                <c:pt idx="67">
                  <c:v>4.6213708882447664</c:v>
                </c:pt>
                <c:pt idx="68">
                  <c:v>4.6969702441223848</c:v>
                </c:pt>
                <c:pt idx="69">
                  <c:v>4.7727651555555557</c:v>
                </c:pt>
                <c:pt idx="70">
                  <c:v>4.8487556225442834</c:v>
                </c:pt>
                <c:pt idx="71">
                  <c:v>4.9249416450885679</c:v>
                </c:pt>
                <c:pt idx="72">
                  <c:v>5.0013232231884057</c:v>
                </c:pt>
                <c:pt idx="73">
                  <c:v>5.0779003568438004</c:v>
                </c:pt>
                <c:pt idx="74">
                  <c:v>5.154673046054751</c:v>
                </c:pt>
                <c:pt idx="75">
                  <c:v>5.2316412908212557</c:v>
                </c:pt>
                <c:pt idx="76">
                  <c:v>5.3088050911433173</c:v>
                </c:pt>
                <c:pt idx="77">
                  <c:v>5.3861644470209349</c:v>
                </c:pt>
                <c:pt idx="78">
                  <c:v>5.4637193584541066</c:v>
                </c:pt>
                <c:pt idx="79">
                  <c:v>5.5414698254428343</c:v>
                </c:pt>
                <c:pt idx="80">
                  <c:v>5.6194158479871188</c:v>
                </c:pt>
                <c:pt idx="81">
                  <c:v>5.6975574260869566</c:v>
                </c:pt>
                <c:pt idx="82">
                  <c:v>5.7758945597423521</c:v>
                </c:pt>
                <c:pt idx="83">
                  <c:v>5.8544272489533018</c:v>
                </c:pt>
                <c:pt idx="84">
                  <c:v>5.9331554937198066</c:v>
                </c:pt>
                <c:pt idx="85">
                  <c:v>6.0120792940418681</c:v>
                </c:pt>
                <c:pt idx="86">
                  <c:v>6.0911986499194866</c:v>
                </c:pt>
                <c:pt idx="87">
                  <c:v>6.1705135613526592</c:v>
                </c:pt>
                <c:pt idx="88">
                  <c:v>6.2500240283413859</c:v>
                </c:pt>
                <c:pt idx="89">
                  <c:v>6.3297300508856695</c:v>
                </c:pt>
                <c:pt idx="90">
                  <c:v>6.4096316289855082</c:v>
                </c:pt>
                <c:pt idx="91">
                  <c:v>6.4897287626409019</c:v>
                </c:pt>
                <c:pt idx="92">
                  <c:v>6.5700214518518534</c:v>
                </c:pt>
                <c:pt idx="93">
                  <c:v>6.6505096966183572</c:v>
                </c:pt>
                <c:pt idx="94">
                  <c:v>6.7311934969404188</c:v>
                </c:pt>
                <c:pt idx="95">
                  <c:v>6.8120728528180372</c:v>
                </c:pt>
                <c:pt idx="96">
                  <c:v>6.8931477642512098</c:v>
                </c:pt>
                <c:pt idx="97">
                  <c:v>6.9744182312399374</c:v>
                </c:pt>
                <c:pt idx="98">
                  <c:v>7.0558842537842192</c:v>
                </c:pt>
                <c:pt idx="99">
                  <c:v>7.1375458318840588</c:v>
                </c:pt>
                <c:pt idx="100">
                  <c:v>7.2194029655394534</c:v>
                </c:pt>
                <c:pt idx="101">
                  <c:v>7.3014556547504048</c:v>
                </c:pt>
                <c:pt idx="102">
                  <c:v>7.3837038995169095</c:v>
                </c:pt>
                <c:pt idx="103">
                  <c:v>7.4661476998389702</c:v>
                </c:pt>
                <c:pt idx="104">
                  <c:v>7.5487870557165859</c:v>
                </c:pt>
                <c:pt idx="105">
                  <c:v>7.6316219671497594</c:v>
                </c:pt>
                <c:pt idx="106">
                  <c:v>7.7146524341384879</c:v>
                </c:pt>
                <c:pt idx="107">
                  <c:v>7.7978784566827724</c:v>
                </c:pt>
                <c:pt idx="108">
                  <c:v>7.8813000347826092</c:v>
                </c:pt>
                <c:pt idx="109">
                  <c:v>7.9649171684380047</c:v>
                </c:pt>
                <c:pt idx="110">
                  <c:v>8.0487298576489525</c:v>
                </c:pt>
                <c:pt idx="111">
                  <c:v>8.1327381024154608</c:v>
                </c:pt>
                <c:pt idx="112">
                  <c:v>8.2169419027375206</c:v>
                </c:pt>
                <c:pt idx="113">
                  <c:v>8.3013412586151372</c:v>
                </c:pt>
                <c:pt idx="114">
                  <c:v>8.3859361700483106</c:v>
                </c:pt>
                <c:pt idx="115">
                  <c:v>8.4707266370370391</c:v>
                </c:pt>
                <c:pt idx="116">
                  <c:v>8.5557126595813227</c:v>
                </c:pt>
                <c:pt idx="117">
                  <c:v>8.6408942376811613</c:v>
                </c:pt>
                <c:pt idx="118">
                  <c:v>8.7262713713365549</c:v>
                </c:pt>
                <c:pt idx="119">
                  <c:v>8.8118440605475037</c:v>
                </c:pt>
                <c:pt idx="120">
                  <c:v>8.8976123053140093</c:v>
                </c:pt>
                <c:pt idx="121">
                  <c:v>8.9835761056360717</c:v>
                </c:pt>
                <c:pt idx="122">
                  <c:v>9.0697354615136909</c:v>
                </c:pt>
                <c:pt idx="123">
                  <c:v>9.1560903729468617</c:v>
                </c:pt>
                <c:pt idx="124">
                  <c:v>9.2426408399355893</c:v>
                </c:pt>
                <c:pt idx="125">
                  <c:v>9.3293868624798719</c:v>
                </c:pt>
                <c:pt idx="126">
                  <c:v>9.4163284405797132</c:v>
                </c:pt>
                <c:pt idx="127">
                  <c:v>9.503465574235106</c:v>
                </c:pt>
                <c:pt idx="128">
                  <c:v>9.5907982634460538</c:v>
                </c:pt>
                <c:pt idx="129">
                  <c:v>9.678326508212562</c:v>
                </c:pt>
                <c:pt idx="130">
                  <c:v>9.7660503085346235</c:v>
                </c:pt>
                <c:pt idx="131">
                  <c:v>9.8539696644122383</c:v>
                </c:pt>
                <c:pt idx="132">
                  <c:v>9.9420845758454117</c:v>
                </c:pt>
                <c:pt idx="133">
                  <c:v>10.03039504283414</c:v>
                </c:pt>
                <c:pt idx="134">
                  <c:v>10.11890106537842</c:v>
                </c:pt>
                <c:pt idx="135">
                  <c:v>10.207602643478262</c:v>
                </c:pt>
                <c:pt idx="136">
                  <c:v>10.296499777133658</c:v>
                </c:pt>
                <c:pt idx="137">
                  <c:v>10.385592466344605</c:v>
                </c:pt>
                <c:pt idx="138">
                  <c:v>10.474880711111112</c:v>
                </c:pt>
                <c:pt idx="139">
                  <c:v>10.564364511433173</c:v>
                </c:pt>
                <c:pt idx="140">
                  <c:v>10.65404386731079</c:v>
                </c:pt>
                <c:pt idx="141">
                  <c:v>10.743918778743961</c:v>
                </c:pt>
                <c:pt idx="142">
                  <c:v>10.83398924573269</c:v>
                </c:pt>
                <c:pt idx="143">
                  <c:v>10.924255268276973</c:v>
                </c:pt>
                <c:pt idx="144">
                  <c:v>11.014716846376812</c:v>
                </c:pt>
                <c:pt idx="145">
                  <c:v>11.105373980032208</c:v>
                </c:pt>
                <c:pt idx="146">
                  <c:v>11.196226669243156</c:v>
                </c:pt>
                <c:pt idx="147">
                  <c:v>11.287274914009664</c:v>
                </c:pt>
                <c:pt idx="148">
                  <c:v>11.378518714331724</c:v>
                </c:pt>
                <c:pt idx="149">
                  <c:v>11.469958070209341</c:v>
                </c:pt>
                <c:pt idx="150">
                  <c:v>11.561592981642512</c:v>
                </c:pt>
              </c:numCache>
            </c:numRef>
          </c:yVal>
          <c:smooth val="1"/>
          <c:extLst>
            <c:ext xmlns:c16="http://schemas.microsoft.com/office/drawing/2014/chart" uri="{C3380CC4-5D6E-409C-BE32-E72D297353CC}">
              <c16:uniqueId val="{00000001-901A-4CE4-83F4-75906C9CC573}"/>
            </c:ext>
          </c:extLst>
        </c:ser>
        <c:ser>
          <c:idx val="2"/>
          <c:order val="2"/>
          <c:tx>
            <c:v>HS MOSFET</c:v>
          </c:tx>
          <c:spPr>
            <a:ln>
              <a:solidFill>
                <a:schemeClr val="bg2">
                  <a:lumMod val="50000"/>
                </a:schemeClr>
              </a:solidFill>
              <a:prstDash val="sysDash"/>
            </a:ln>
          </c:spPr>
          <c:marker>
            <c:symbol val="none"/>
          </c:marker>
          <c:xVal>
            <c:numRef>
              <c:f>Eff_vs_IOUT!$S$7:$S$157</c:f>
              <c:numCache>
                <c:formatCode>General</c:formatCode>
                <c:ptCount val="151"/>
                <c:pt idx="0">
                  <c:v>0</c:v>
                </c:pt>
                <c:pt idx="1">
                  <c:v>0.1</c:v>
                </c:pt>
                <c:pt idx="2">
                  <c:v>0.2</c:v>
                </c:pt>
                <c:pt idx="3">
                  <c:v>0.30000000000000004</c:v>
                </c:pt>
                <c:pt idx="4">
                  <c:v>0.4</c:v>
                </c:pt>
                <c:pt idx="5">
                  <c:v>0.5</c:v>
                </c:pt>
                <c:pt idx="6">
                  <c:v>0.60000000000000009</c:v>
                </c:pt>
                <c:pt idx="7">
                  <c:v>0.70000000000000007</c:v>
                </c:pt>
                <c:pt idx="8">
                  <c:v>0.8</c:v>
                </c:pt>
                <c:pt idx="9">
                  <c:v>0.9</c:v>
                </c:pt>
                <c:pt idx="10">
                  <c:v>1</c:v>
                </c:pt>
                <c:pt idx="11">
                  <c:v>1.1000000000000001</c:v>
                </c:pt>
                <c:pt idx="12">
                  <c:v>1.2000000000000002</c:v>
                </c:pt>
                <c:pt idx="13">
                  <c:v>1.3</c:v>
                </c:pt>
                <c:pt idx="14">
                  <c:v>1.4000000000000001</c:v>
                </c:pt>
                <c:pt idx="15">
                  <c:v>1.5</c:v>
                </c:pt>
                <c:pt idx="16">
                  <c:v>1.6</c:v>
                </c:pt>
                <c:pt idx="17">
                  <c:v>1.7000000000000002</c:v>
                </c:pt>
                <c:pt idx="18">
                  <c:v>1.8</c:v>
                </c:pt>
                <c:pt idx="19">
                  <c:v>1.9000000000000001</c:v>
                </c:pt>
                <c:pt idx="20">
                  <c:v>2</c:v>
                </c:pt>
                <c:pt idx="21">
                  <c:v>2.1</c:v>
                </c:pt>
                <c:pt idx="22">
                  <c:v>2.2000000000000002</c:v>
                </c:pt>
                <c:pt idx="23">
                  <c:v>2.3000000000000003</c:v>
                </c:pt>
                <c:pt idx="24">
                  <c:v>2.4000000000000004</c:v>
                </c:pt>
                <c:pt idx="25">
                  <c:v>2.5</c:v>
                </c:pt>
                <c:pt idx="26">
                  <c:v>2.6</c:v>
                </c:pt>
                <c:pt idx="27">
                  <c:v>2.7</c:v>
                </c:pt>
                <c:pt idx="28">
                  <c:v>2.8000000000000003</c:v>
                </c:pt>
                <c:pt idx="29">
                  <c:v>2.9000000000000004</c:v>
                </c:pt>
                <c:pt idx="30">
                  <c:v>3</c:v>
                </c:pt>
                <c:pt idx="31">
                  <c:v>3.1</c:v>
                </c:pt>
                <c:pt idx="32">
                  <c:v>3.2</c:v>
                </c:pt>
                <c:pt idx="33">
                  <c:v>3.3000000000000003</c:v>
                </c:pt>
                <c:pt idx="34">
                  <c:v>3.4000000000000004</c:v>
                </c:pt>
                <c:pt idx="35">
                  <c:v>3.5</c:v>
                </c:pt>
                <c:pt idx="36">
                  <c:v>3.6</c:v>
                </c:pt>
                <c:pt idx="37">
                  <c:v>3.7</c:v>
                </c:pt>
                <c:pt idx="38">
                  <c:v>3.8000000000000003</c:v>
                </c:pt>
                <c:pt idx="39">
                  <c:v>3.9000000000000004</c:v>
                </c:pt>
                <c:pt idx="40">
                  <c:v>4</c:v>
                </c:pt>
                <c:pt idx="41">
                  <c:v>4.1000000000000005</c:v>
                </c:pt>
                <c:pt idx="42">
                  <c:v>4.2</c:v>
                </c:pt>
                <c:pt idx="43">
                  <c:v>4.3</c:v>
                </c:pt>
                <c:pt idx="44">
                  <c:v>4.4000000000000004</c:v>
                </c:pt>
                <c:pt idx="45">
                  <c:v>4.5</c:v>
                </c:pt>
                <c:pt idx="46">
                  <c:v>4.6000000000000005</c:v>
                </c:pt>
                <c:pt idx="47">
                  <c:v>4.7</c:v>
                </c:pt>
                <c:pt idx="48">
                  <c:v>4.8000000000000007</c:v>
                </c:pt>
                <c:pt idx="49">
                  <c:v>4.9000000000000004</c:v>
                </c:pt>
                <c:pt idx="50">
                  <c:v>5</c:v>
                </c:pt>
                <c:pt idx="51">
                  <c:v>5.1000000000000005</c:v>
                </c:pt>
                <c:pt idx="52">
                  <c:v>5.2</c:v>
                </c:pt>
                <c:pt idx="53">
                  <c:v>5.3000000000000007</c:v>
                </c:pt>
                <c:pt idx="54">
                  <c:v>5.4</c:v>
                </c:pt>
                <c:pt idx="55">
                  <c:v>5.5</c:v>
                </c:pt>
                <c:pt idx="56">
                  <c:v>5.6000000000000005</c:v>
                </c:pt>
                <c:pt idx="57">
                  <c:v>5.7</c:v>
                </c:pt>
                <c:pt idx="58">
                  <c:v>5.8000000000000007</c:v>
                </c:pt>
                <c:pt idx="59">
                  <c:v>5.9</c:v>
                </c:pt>
                <c:pt idx="60">
                  <c:v>6</c:v>
                </c:pt>
                <c:pt idx="61">
                  <c:v>6.1000000000000005</c:v>
                </c:pt>
                <c:pt idx="62">
                  <c:v>6.2</c:v>
                </c:pt>
                <c:pt idx="63">
                  <c:v>6.3000000000000007</c:v>
                </c:pt>
                <c:pt idx="64">
                  <c:v>6.4</c:v>
                </c:pt>
                <c:pt idx="65">
                  <c:v>6.5</c:v>
                </c:pt>
                <c:pt idx="66">
                  <c:v>6.6000000000000005</c:v>
                </c:pt>
                <c:pt idx="67">
                  <c:v>6.7</c:v>
                </c:pt>
                <c:pt idx="68">
                  <c:v>6.8000000000000007</c:v>
                </c:pt>
                <c:pt idx="69">
                  <c:v>6.9</c:v>
                </c:pt>
                <c:pt idx="70">
                  <c:v>7</c:v>
                </c:pt>
                <c:pt idx="71">
                  <c:v>7.1000000000000005</c:v>
                </c:pt>
                <c:pt idx="72">
                  <c:v>7.2</c:v>
                </c:pt>
                <c:pt idx="73">
                  <c:v>7.3000000000000007</c:v>
                </c:pt>
                <c:pt idx="74">
                  <c:v>7.4</c:v>
                </c:pt>
                <c:pt idx="75">
                  <c:v>7.5</c:v>
                </c:pt>
                <c:pt idx="76">
                  <c:v>7.6000000000000005</c:v>
                </c:pt>
                <c:pt idx="77">
                  <c:v>7.7</c:v>
                </c:pt>
                <c:pt idx="78">
                  <c:v>7.8000000000000007</c:v>
                </c:pt>
                <c:pt idx="79">
                  <c:v>7.9</c:v>
                </c:pt>
                <c:pt idx="80">
                  <c:v>8</c:v>
                </c:pt>
                <c:pt idx="81">
                  <c:v>8.1</c:v>
                </c:pt>
                <c:pt idx="82">
                  <c:v>8.2000000000000011</c:v>
                </c:pt>
                <c:pt idx="83">
                  <c:v>8.3000000000000007</c:v>
                </c:pt>
                <c:pt idx="84">
                  <c:v>8.4</c:v>
                </c:pt>
                <c:pt idx="85">
                  <c:v>8.5</c:v>
                </c:pt>
                <c:pt idx="86">
                  <c:v>8.6</c:v>
                </c:pt>
                <c:pt idx="87">
                  <c:v>8.7000000000000011</c:v>
                </c:pt>
                <c:pt idx="88">
                  <c:v>8.8000000000000007</c:v>
                </c:pt>
                <c:pt idx="89">
                  <c:v>8.9</c:v>
                </c:pt>
                <c:pt idx="90">
                  <c:v>9</c:v>
                </c:pt>
                <c:pt idx="91">
                  <c:v>9.1</c:v>
                </c:pt>
                <c:pt idx="92">
                  <c:v>9.2000000000000011</c:v>
                </c:pt>
                <c:pt idx="93">
                  <c:v>9.3000000000000007</c:v>
                </c:pt>
                <c:pt idx="94">
                  <c:v>9.4</c:v>
                </c:pt>
                <c:pt idx="95">
                  <c:v>9.5</c:v>
                </c:pt>
                <c:pt idx="96">
                  <c:v>9.6000000000000014</c:v>
                </c:pt>
                <c:pt idx="97">
                  <c:v>9.7000000000000011</c:v>
                </c:pt>
                <c:pt idx="98">
                  <c:v>9.8000000000000007</c:v>
                </c:pt>
                <c:pt idx="99">
                  <c:v>9.9</c:v>
                </c:pt>
                <c:pt idx="100">
                  <c:v>10</c:v>
                </c:pt>
                <c:pt idx="101">
                  <c:v>10.100000000000001</c:v>
                </c:pt>
                <c:pt idx="102">
                  <c:v>10.200000000000001</c:v>
                </c:pt>
                <c:pt idx="103">
                  <c:v>10.3</c:v>
                </c:pt>
                <c:pt idx="104">
                  <c:v>10.4</c:v>
                </c:pt>
                <c:pt idx="105">
                  <c:v>10.5</c:v>
                </c:pt>
                <c:pt idx="106">
                  <c:v>10.600000000000001</c:v>
                </c:pt>
                <c:pt idx="107">
                  <c:v>10.700000000000001</c:v>
                </c:pt>
                <c:pt idx="108">
                  <c:v>10.8</c:v>
                </c:pt>
                <c:pt idx="109">
                  <c:v>10.9</c:v>
                </c:pt>
                <c:pt idx="110">
                  <c:v>11</c:v>
                </c:pt>
                <c:pt idx="111">
                  <c:v>11.100000000000001</c:v>
                </c:pt>
                <c:pt idx="112">
                  <c:v>11.200000000000001</c:v>
                </c:pt>
                <c:pt idx="113">
                  <c:v>11.3</c:v>
                </c:pt>
                <c:pt idx="114">
                  <c:v>11.4</c:v>
                </c:pt>
                <c:pt idx="115">
                  <c:v>11.5</c:v>
                </c:pt>
                <c:pt idx="116">
                  <c:v>11.600000000000001</c:v>
                </c:pt>
                <c:pt idx="117">
                  <c:v>11.700000000000001</c:v>
                </c:pt>
                <c:pt idx="118">
                  <c:v>11.8</c:v>
                </c:pt>
                <c:pt idx="119">
                  <c:v>11.9</c:v>
                </c:pt>
                <c:pt idx="120">
                  <c:v>12</c:v>
                </c:pt>
                <c:pt idx="121">
                  <c:v>12.100000000000001</c:v>
                </c:pt>
                <c:pt idx="122">
                  <c:v>12.200000000000001</c:v>
                </c:pt>
                <c:pt idx="123">
                  <c:v>12.3</c:v>
                </c:pt>
                <c:pt idx="124">
                  <c:v>12.4</c:v>
                </c:pt>
                <c:pt idx="125">
                  <c:v>12.5</c:v>
                </c:pt>
                <c:pt idx="126">
                  <c:v>12.600000000000001</c:v>
                </c:pt>
                <c:pt idx="127">
                  <c:v>12.700000000000001</c:v>
                </c:pt>
                <c:pt idx="128">
                  <c:v>12.8</c:v>
                </c:pt>
                <c:pt idx="129">
                  <c:v>12.9</c:v>
                </c:pt>
                <c:pt idx="130">
                  <c:v>13</c:v>
                </c:pt>
                <c:pt idx="131">
                  <c:v>13.100000000000001</c:v>
                </c:pt>
                <c:pt idx="132">
                  <c:v>13.200000000000001</c:v>
                </c:pt>
                <c:pt idx="133">
                  <c:v>13.3</c:v>
                </c:pt>
                <c:pt idx="134">
                  <c:v>13.4</c:v>
                </c:pt>
                <c:pt idx="135">
                  <c:v>13.5</c:v>
                </c:pt>
                <c:pt idx="136">
                  <c:v>13.600000000000001</c:v>
                </c:pt>
                <c:pt idx="137">
                  <c:v>13.700000000000001</c:v>
                </c:pt>
                <c:pt idx="138">
                  <c:v>13.8</c:v>
                </c:pt>
                <c:pt idx="139">
                  <c:v>13.9</c:v>
                </c:pt>
                <c:pt idx="140">
                  <c:v>14</c:v>
                </c:pt>
                <c:pt idx="141">
                  <c:v>14.100000000000001</c:v>
                </c:pt>
                <c:pt idx="142">
                  <c:v>14.200000000000001</c:v>
                </c:pt>
                <c:pt idx="143">
                  <c:v>14.3</c:v>
                </c:pt>
                <c:pt idx="144">
                  <c:v>14.4</c:v>
                </c:pt>
                <c:pt idx="145">
                  <c:v>14.5</c:v>
                </c:pt>
                <c:pt idx="146">
                  <c:v>14.600000000000001</c:v>
                </c:pt>
                <c:pt idx="147">
                  <c:v>14.700000000000001</c:v>
                </c:pt>
                <c:pt idx="148">
                  <c:v>14.8</c:v>
                </c:pt>
                <c:pt idx="149">
                  <c:v>14.9</c:v>
                </c:pt>
                <c:pt idx="150">
                  <c:v>15</c:v>
                </c:pt>
              </c:numCache>
            </c:numRef>
          </c:xVal>
          <c:yVal>
            <c:numRef>
              <c:f>Eff_vs_IOUT!$AO$7:$AO$157</c:f>
              <c:numCache>
                <c:formatCode>General</c:formatCode>
                <c:ptCount val="151"/>
                <c:pt idx="0">
                  <c:v>0</c:v>
                </c:pt>
                <c:pt idx="1">
                  <c:v>1.4019464007307174</c:v>
                </c:pt>
                <c:pt idx="2">
                  <c:v>1.4147613163653279</c:v>
                </c:pt>
                <c:pt idx="3">
                  <c:v>1.4251007671071851</c:v>
                </c:pt>
                <c:pt idx="4">
                  <c:v>1.4342411851737544</c:v>
                </c:pt>
                <c:pt idx="5">
                  <c:v>1.442666666666667</c:v>
                </c:pt>
                <c:pt idx="6">
                  <c:v>1.4506204209703342</c:v>
                </c:pt>
                <c:pt idx="7">
                  <c:v>1.4582439682807136</c:v>
                </c:pt>
                <c:pt idx="8">
                  <c:v>1.4657877333333336</c:v>
                </c:pt>
                <c:pt idx="9">
                  <c:v>1.4736144000000002</c:v>
                </c:pt>
                <c:pt idx="10">
                  <c:v>1.4817344000000003</c:v>
                </c:pt>
                <c:pt idx="11">
                  <c:v>1.4901477333333335</c:v>
                </c:pt>
                <c:pt idx="12">
                  <c:v>1.4988544000000004</c:v>
                </c:pt>
                <c:pt idx="13">
                  <c:v>1.5078544</c:v>
                </c:pt>
                <c:pt idx="14">
                  <c:v>1.5171477333333336</c:v>
                </c:pt>
                <c:pt idx="15">
                  <c:v>1.5267344000000003</c:v>
                </c:pt>
                <c:pt idx="16">
                  <c:v>1.5366144000000002</c:v>
                </c:pt>
                <c:pt idx="17">
                  <c:v>1.5467877333333335</c:v>
                </c:pt>
                <c:pt idx="18">
                  <c:v>1.5572544000000004</c:v>
                </c:pt>
                <c:pt idx="19">
                  <c:v>1.5680144000000003</c:v>
                </c:pt>
                <c:pt idx="20">
                  <c:v>1.5790677333333336</c:v>
                </c:pt>
                <c:pt idx="21">
                  <c:v>1.5904144000000004</c:v>
                </c:pt>
                <c:pt idx="22">
                  <c:v>1.6020544000000003</c:v>
                </c:pt>
                <c:pt idx="23">
                  <c:v>1.6139877333333337</c:v>
                </c:pt>
                <c:pt idx="24">
                  <c:v>1.6262144000000003</c:v>
                </c:pt>
                <c:pt idx="25">
                  <c:v>1.6387344000000001</c:v>
                </c:pt>
                <c:pt idx="26">
                  <c:v>1.6515477333333335</c:v>
                </c:pt>
                <c:pt idx="27">
                  <c:v>1.6646544000000003</c:v>
                </c:pt>
                <c:pt idx="28">
                  <c:v>1.6780544000000002</c:v>
                </c:pt>
                <c:pt idx="29">
                  <c:v>1.6917477333333337</c:v>
                </c:pt>
                <c:pt idx="30">
                  <c:v>1.7057344000000003</c:v>
                </c:pt>
                <c:pt idx="31">
                  <c:v>1.7200144000000004</c:v>
                </c:pt>
                <c:pt idx="32">
                  <c:v>1.7345877333333337</c:v>
                </c:pt>
                <c:pt idx="33">
                  <c:v>1.7494544000000001</c:v>
                </c:pt>
                <c:pt idx="34">
                  <c:v>1.7646144000000004</c:v>
                </c:pt>
                <c:pt idx="35">
                  <c:v>1.7800677333333337</c:v>
                </c:pt>
                <c:pt idx="36">
                  <c:v>1.7958144000000003</c:v>
                </c:pt>
                <c:pt idx="37">
                  <c:v>1.8118544000000003</c:v>
                </c:pt>
                <c:pt idx="38">
                  <c:v>1.8281877333333336</c:v>
                </c:pt>
                <c:pt idx="39">
                  <c:v>1.8448144000000002</c:v>
                </c:pt>
                <c:pt idx="40">
                  <c:v>1.8617344000000002</c:v>
                </c:pt>
                <c:pt idx="41">
                  <c:v>1.8789477333333338</c:v>
                </c:pt>
                <c:pt idx="42">
                  <c:v>1.8964544000000001</c:v>
                </c:pt>
                <c:pt idx="43">
                  <c:v>1.9142544000000004</c:v>
                </c:pt>
                <c:pt idx="44">
                  <c:v>1.9323477333333337</c:v>
                </c:pt>
                <c:pt idx="45">
                  <c:v>1.9507344000000002</c:v>
                </c:pt>
                <c:pt idx="46">
                  <c:v>1.9694144000000005</c:v>
                </c:pt>
                <c:pt idx="47">
                  <c:v>1.9883877333333335</c:v>
                </c:pt>
                <c:pt idx="48">
                  <c:v>2.0076544000000003</c:v>
                </c:pt>
                <c:pt idx="49">
                  <c:v>2.0272144000000001</c:v>
                </c:pt>
                <c:pt idx="50">
                  <c:v>2.0470677333333338</c:v>
                </c:pt>
                <c:pt idx="51">
                  <c:v>2.0672144000000006</c:v>
                </c:pt>
                <c:pt idx="52">
                  <c:v>2.0876544000000004</c:v>
                </c:pt>
                <c:pt idx="53">
                  <c:v>2.1083877333333336</c:v>
                </c:pt>
                <c:pt idx="54">
                  <c:v>2.1294143999999999</c:v>
                </c:pt>
                <c:pt idx="55">
                  <c:v>2.1507344000000002</c:v>
                </c:pt>
                <c:pt idx="56">
                  <c:v>2.1723477333333339</c:v>
                </c:pt>
                <c:pt idx="57">
                  <c:v>2.1942544000000002</c:v>
                </c:pt>
                <c:pt idx="58">
                  <c:v>2.2164544000000004</c:v>
                </c:pt>
                <c:pt idx="59">
                  <c:v>2.2389477333333336</c:v>
                </c:pt>
                <c:pt idx="60">
                  <c:v>2.2617343999999999</c:v>
                </c:pt>
                <c:pt idx="61">
                  <c:v>2.2848144000000001</c:v>
                </c:pt>
                <c:pt idx="62">
                  <c:v>2.3081877333333338</c:v>
                </c:pt>
                <c:pt idx="63">
                  <c:v>2.3318544000000005</c:v>
                </c:pt>
                <c:pt idx="64">
                  <c:v>2.3558144000000003</c:v>
                </c:pt>
                <c:pt idx="65">
                  <c:v>2.3800677333333335</c:v>
                </c:pt>
                <c:pt idx="66">
                  <c:v>2.4046144000000003</c:v>
                </c:pt>
                <c:pt idx="67">
                  <c:v>2.4294544</c:v>
                </c:pt>
                <c:pt idx="68">
                  <c:v>2.4545877333333337</c:v>
                </c:pt>
                <c:pt idx="69">
                  <c:v>2.4800144000000004</c:v>
                </c:pt>
                <c:pt idx="70">
                  <c:v>2.5057344000000001</c:v>
                </c:pt>
                <c:pt idx="71">
                  <c:v>2.5317477333333342</c:v>
                </c:pt>
                <c:pt idx="72">
                  <c:v>2.5580544000000001</c:v>
                </c:pt>
                <c:pt idx="73">
                  <c:v>2.5846544000000002</c:v>
                </c:pt>
                <c:pt idx="74">
                  <c:v>2.6115477333333335</c:v>
                </c:pt>
                <c:pt idx="75">
                  <c:v>2.6387344000000001</c:v>
                </c:pt>
                <c:pt idx="76">
                  <c:v>2.6662144000000003</c:v>
                </c:pt>
                <c:pt idx="77">
                  <c:v>2.6939877333333335</c:v>
                </c:pt>
                <c:pt idx="78">
                  <c:v>2.7220544000000002</c:v>
                </c:pt>
                <c:pt idx="79">
                  <c:v>2.7504144000000004</c:v>
                </c:pt>
                <c:pt idx="80">
                  <c:v>2.779067733333334</c:v>
                </c:pt>
                <c:pt idx="81">
                  <c:v>2.8080144000000002</c:v>
                </c:pt>
                <c:pt idx="82">
                  <c:v>2.8372544000000008</c:v>
                </c:pt>
                <c:pt idx="83">
                  <c:v>2.866787733333334</c:v>
                </c:pt>
                <c:pt idx="84">
                  <c:v>2.8966144000000003</c:v>
                </c:pt>
                <c:pt idx="85">
                  <c:v>2.9267344</c:v>
                </c:pt>
                <c:pt idx="86">
                  <c:v>2.9571477333333336</c:v>
                </c:pt>
                <c:pt idx="87">
                  <c:v>2.9878544000000011</c:v>
                </c:pt>
                <c:pt idx="88">
                  <c:v>3.0188544000000004</c:v>
                </c:pt>
                <c:pt idx="89">
                  <c:v>3.0501477333333336</c:v>
                </c:pt>
                <c:pt idx="90">
                  <c:v>3.0817344000000002</c:v>
                </c:pt>
                <c:pt idx="91">
                  <c:v>3.1136144000000008</c:v>
                </c:pt>
                <c:pt idx="92">
                  <c:v>3.1457877333333339</c:v>
                </c:pt>
                <c:pt idx="93">
                  <c:v>3.1782544000000001</c:v>
                </c:pt>
                <c:pt idx="94">
                  <c:v>3.2110144000000007</c:v>
                </c:pt>
                <c:pt idx="95">
                  <c:v>3.2440677333333343</c:v>
                </c:pt>
                <c:pt idx="96">
                  <c:v>3.2774144000000009</c:v>
                </c:pt>
                <c:pt idx="97">
                  <c:v>3.3110544000000006</c:v>
                </c:pt>
                <c:pt idx="98">
                  <c:v>3.3449877333333333</c:v>
                </c:pt>
                <c:pt idx="99">
                  <c:v>3.3792144000000004</c:v>
                </c:pt>
                <c:pt idx="100">
                  <c:v>3.4137344000000005</c:v>
                </c:pt>
                <c:pt idx="101">
                  <c:v>3.4485477333333336</c:v>
                </c:pt>
                <c:pt idx="102">
                  <c:v>3.4836544000000012</c:v>
                </c:pt>
                <c:pt idx="103">
                  <c:v>3.5190544000000008</c:v>
                </c:pt>
                <c:pt idx="104">
                  <c:v>3.554747733333333</c:v>
                </c:pt>
                <c:pt idx="105">
                  <c:v>3.5907344000000005</c:v>
                </c:pt>
                <c:pt idx="106">
                  <c:v>3.6270144000000002</c:v>
                </c:pt>
                <c:pt idx="107">
                  <c:v>3.6635877333333338</c:v>
                </c:pt>
                <c:pt idx="108">
                  <c:v>3.7004544000000008</c:v>
                </c:pt>
                <c:pt idx="109">
                  <c:v>3.7376144000000004</c:v>
                </c:pt>
                <c:pt idx="110">
                  <c:v>3.7750677333333331</c:v>
                </c:pt>
                <c:pt idx="111">
                  <c:v>3.8128144000000006</c:v>
                </c:pt>
                <c:pt idx="112">
                  <c:v>3.8508544000000007</c:v>
                </c:pt>
                <c:pt idx="113">
                  <c:v>3.8891877333333333</c:v>
                </c:pt>
                <c:pt idx="114">
                  <c:v>3.9278144000000004</c:v>
                </c:pt>
                <c:pt idx="115">
                  <c:v>3.9667344000000009</c:v>
                </c:pt>
                <c:pt idx="116">
                  <c:v>4.0059477333333344</c:v>
                </c:pt>
                <c:pt idx="117">
                  <c:v>4.0454544000000014</c:v>
                </c:pt>
                <c:pt idx="118">
                  <c:v>4.0852544000000011</c:v>
                </c:pt>
                <c:pt idx="119">
                  <c:v>4.1253477333333324</c:v>
                </c:pt>
                <c:pt idx="120">
                  <c:v>4.1657344000000007</c:v>
                </c:pt>
                <c:pt idx="121">
                  <c:v>4.2064144000000008</c:v>
                </c:pt>
                <c:pt idx="122">
                  <c:v>4.2473877333333334</c:v>
                </c:pt>
                <c:pt idx="123">
                  <c:v>4.2886544000000004</c:v>
                </c:pt>
                <c:pt idx="124">
                  <c:v>4.3302144</c:v>
                </c:pt>
                <c:pt idx="125">
                  <c:v>4.3720677333333331</c:v>
                </c:pt>
                <c:pt idx="126">
                  <c:v>4.4142144000000014</c:v>
                </c:pt>
                <c:pt idx="127">
                  <c:v>4.4566544000000006</c:v>
                </c:pt>
                <c:pt idx="128">
                  <c:v>4.4993877333333341</c:v>
                </c:pt>
                <c:pt idx="129">
                  <c:v>4.5424144000000002</c:v>
                </c:pt>
                <c:pt idx="130">
                  <c:v>4.5857343999999998</c:v>
                </c:pt>
                <c:pt idx="131">
                  <c:v>4.6293477333333328</c:v>
                </c:pt>
                <c:pt idx="132">
                  <c:v>4.6732544000000003</c:v>
                </c:pt>
                <c:pt idx="133">
                  <c:v>4.7174544000000012</c:v>
                </c:pt>
                <c:pt idx="134">
                  <c:v>4.761947733333332</c:v>
                </c:pt>
                <c:pt idx="135">
                  <c:v>4.8067343999999999</c:v>
                </c:pt>
                <c:pt idx="136">
                  <c:v>4.8518143999999994</c:v>
                </c:pt>
                <c:pt idx="137">
                  <c:v>4.8971877333333325</c:v>
                </c:pt>
                <c:pt idx="138">
                  <c:v>4.9428543999999999</c:v>
                </c:pt>
                <c:pt idx="139">
                  <c:v>4.9888144000000008</c:v>
                </c:pt>
                <c:pt idx="140">
                  <c:v>5.0350677333333325</c:v>
                </c:pt>
                <c:pt idx="141">
                  <c:v>5.0816143999999994</c:v>
                </c:pt>
                <c:pt idx="142">
                  <c:v>5.1284544000000016</c:v>
                </c:pt>
                <c:pt idx="143">
                  <c:v>5.1755877333333329</c:v>
                </c:pt>
                <c:pt idx="144">
                  <c:v>5.2230144000000003</c:v>
                </c:pt>
                <c:pt idx="145">
                  <c:v>5.2707343999999994</c:v>
                </c:pt>
                <c:pt idx="146">
                  <c:v>5.3187477333333328</c:v>
                </c:pt>
                <c:pt idx="147">
                  <c:v>5.3670543999999998</c:v>
                </c:pt>
                <c:pt idx="148">
                  <c:v>5.4156544000000002</c:v>
                </c:pt>
                <c:pt idx="149">
                  <c:v>5.4645477333333323</c:v>
                </c:pt>
                <c:pt idx="150">
                  <c:v>5.5137344000000006</c:v>
                </c:pt>
              </c:numCache>
            </c:numRef>
          </c:yVal>
          <c:smooth val="1"/>
          <c:extLst>
            <c:ext xmlns:c16="http://schemas.microsoft.com/office/drawing/2014/chart" uri="{C3380CC4-5D6E-409C-BE32-E72D297353CC}">
              <c16:uniqueId val="{00000002-901A-4CE4-83F4-75906C9CC573}"/>
            </c:ext>
          </c:extLst>
        </c:ser>
        <c:ser>
          <c:idx val="3"/>
          <c:order val="3"/>
          <c:tx>
            <c:v>RCS</c:v>
          </c:tx>
          <c:spPr>
            <a:ln>
              <a:solidFill>
                <a:schemeClr val="accent5">
                  <a:lumMod val="75000"/>
                </a:schemeClr>
              </a:solidFill>
              <a:prstDash val="lgDashDotDot"/>
            </a:ln>
          </c:spPr>
          <c:marker>
            <c:symbol val="none"/>
          </c:marker>
          <c:xVal>
            <c:numRef>
              <c:f>Eff_vs_IOUT!$S$7:$S$157</c:f>
              <c:numCache>
                <c:formatCode>General</c:formatCode>
                <c:ptCount val="151"/>
                <c:pt idx="0">
                  <c:v>0</c:v>
                </c:pt>
                <c:pt idx="1">
                  <c:v>0.1</c:v>
                </c:pt>
                <c:pt idx="2">
                  <c:v>0.2</c:v>
                </c:pt>
                <c:pt idx="3">
                  <c:v>0.30000000000000004</c:v>
                </c:pt>
                <c:pt idx="4">
                  <c:v>0.4</c:v>
                </c:pt>
                <c:pt idx="5">
                  <c:v>0.5</c:v>
                </c:pt>
                <c:pt idx="6">
                  <c:v>0.60000000000000009</c:v>
                </c:pt>
                <c:pt idx="7">
                  <c:v>0.70000000000000007</c:v>
                </c:pt>
                <c:pt idx="8">
                  <c:v>0.8</c:v>
                </c:pt>
                <c:pt idx="9">
                  <c:v>0.9</c:v>
                </c:pt>
                <c:pt idx="10">
                  <c:v>1</c:v>
                </c:pt>
                <c:pt idx="11">
                  <c:v>1.1000000000000001</c:v>
                </c:pt>
                <c:pt idx="12">
                  <c:v>1.2000000000000002</c:v>
                </c:pt>
                <c:pt idx="13">
                  <c:v>1.3</c:v>
                </c:pt>
                <c:pt idx="14">
                  <c:v>1.4000000000000001</c:v>
                </c:pt>
                <c:pt idx="15">
                  <c:v>1.5</c:v>
                </c:pt>
                <c:pt idx="16">
                  <c:v>1.6</c:v>
                </c:pt>
                <c:pt idx="17">
                  <c:v>1.7000000000000002</c:v>
                </c:pt>
                <c:pt idx="18">
                  <c:v>1.8</c:v>
                </c:pt>
                <c:pt idx="19">
                  <c:v>1.9000000000000001</c:v>
                </c:pt>
                <c:pt idx="20">
                  <c:v>2</c:v>
                </c:pt>
                <c:pt idx="21">
                  <c:v>2.1</c:v>
                </c:pt>
                <c:pt idx="22">
                  <c:v>2.2000000000000002</c:v>
                </c:pt>
                <c:pt idx="23">
                  <c:v>2.3000000000000003</c:v>
                </c:pt>
                <c:pt idx="24">
                  <c:v>2.4000000000000004</c:v>
                </c:pt>
                <c:pt idx="25">
                  <c:v>2.5</c:v>
                </c:pt>
                <c:pt idx="26">
                  <c:v>2.6</c:v>
                </c:pt>
                <c:pt idx="27">
                  <c:v>2.7</c:v>
                </c:pt>
                <c:pt idx="28">
                  <c:v>2.8000000000000003</c:v>
                </c:pt>
                <c:pt idx="29">
                  <c:v>2.9000000000000004</c:v>
                </c:pt>
                <c:pt idx="30">
                  <c:v>3</c:v>
                </c:pt>
                <c:pt idx="31">
                  <c:v>3.1</c:v>
                </c:pt>
                <c:pt idx="32">
                  <c:v>3.2</c:v>
                </c:pt>
                <c:pt idx="33">
                  <c:v>3.3000000000000003</c:v>
                </c:pt>
                <c:pt idx="34">
                  <c:v>3.4000000000000004</c:v>
                </c:pt>
                <c:pt idx="35">
                  <c:v>3.5</c:v>
                </c:pt>
                <c:pt idx="36">
                  <c:v>3.6</c:v>
                </c:pt>
                <c:pt idx="37">
                  <c:v>3.7</c:v>
                </c:pt>
                <c:pt idx="38">
                  <c:v>3.8000000000000003</c:v>
                </c:pt>
                <c:pt idx="39">
                  <c:v>3.9000000000000004</c:v>
                </c:pt>
                <c:pt idx="40">
                  <c:v>4</c:v>
                </c:pt>
                <c:pt idx="41">
                  <c:v>4.1000000000000005</c:v>
                </c:pt>
                <c:pt idx="42">
                  <c:v>4.2</c:v>
                </c:pt>
                <c:pt idx="43">
                  <c:v>4.3</c:v>
                </c:pt>
                <c:pt idx="44">
                  <c:v>4.4000000000000004</c:v>
                </c:pt>
                <c:pt idx="45">
                  <c:v>4.5</c:v>
                </c:pt>
                <c:pt idx="46">
                  <c:v>4.6000000000000005</c:v>
                </c:pt>
                <c:pt idx="47">
                  <c:v>4.7</c:v>
                </c:pt>
                <c:pt idx="48">
                  <c:v>4.8000000000000007</c:v>
                </c:pt>
                <c:pt idx="49">
                  <c:v>4.9000000000000004</c:v>
                </c:pt>
                <c:pt idx="50">
                  <c:v>5</c:v>
                </c:pt>
                <c:pt idx="51">
                  <c:v>5.1000000000000005</c:v>
                </c:pt>
                <c:pt idx="52">
                  <c:v>5.2</c:v>
                </c:pt>
                <c:pt idx="53">
                  <c:v>5.3000000000000007</c:v>
                </c:pt>
                <c:pt idx="54">
                  <c:v>5.4</c:v>
                </c:pt>
                <c:pt idx="55">
                  <c:v>5.5</c:v>
                </c:pt>
                <c:pt idx="56">
                  <c:v>5.6000000000000005</c:v>
                </c:pt>
                <c:pt idx="57">
                  <c:v>5.7</c:v>
                </c:pt>
                <c:pt idx="58">
                  <c:v>5.8000000000000007</c:v>
                </c:pt>
                <c:pt idx="59">
                  <c:v>5.9</c:v>
                </c:pt>
                <c:pt idx="60">
                  <c:v>6</c:v>
                </c:pt>
                <c:pt idx="61">
                  <c:v>6.1000000000000005</c:v>
                </c:pt>
                <c:pt idx="62">
                  <c:v>6.2</c:v>
                </c:pt>
                <c:pt idx="63">
                  <c:v>6.3000000000000007</c:v>
                </c:pt>
                <c:pt idx="64">
                  <c:v>6.4</c:v>
                </c:pt>
                <c:pt idx="65">
                  <c:v>6.5</c:v>
                </c:pt>
                <c:pt idx="66">
                  <c:v>6.6000000000000005</c:v>
                </c:pt>
                <c:pt idx="67">
                  <c:v>6.7</c:v>
                </c:pt>
                <c:pt idx="68">
                  <c:v>6.8000000000000007</c:v>
                </c:pt>
                <c:pt idx="69">
                  <c:v>6.9</c:v>
                </c:pt>
                <c:pt idx="70">
                  <c:v>7</c:v>
                </c:pt>
                <c:pt idx="71">
                  <c:v>7.1000000000000005</c:v>
                </c:pt>
                <c:pt idx="72">
                  <c:v>7.2</c:v>
                </c:pt>
                <c:pt idx="73">
                  <c:v>7.3000000000000007</c:v>
                </c:pt>
                <c:pt idx="74">
                  <c:v>7.4</c:v>
                </c:pt>
                <c:pt idx="75">
                  <c:v>7.5</c:v>
                </c:pt>
                <c:pt idx="76">
                  <c:v>7.6000000000000005</c:v>
                </c:pt>
                <c:pt idx="77">
                  <c:v>7.7</c:v>
                </c:pt>
                <c:pt idx="78">
                  <c:v>7.8000000000000007</c:v>
                </c:pt>
                <c:pt idx="79">
                  <c:v>7.9</c:v>
                </c:pt>
                <c:pt idx="80">
                  <c:v>8</c:v>
                </c:pt>
                <c:pt idx="81">
                  <c:v>8.1</c:v>
                </c:pt>
                <c:pt idx="82">
                  <c:v>8.2000000000000011</c:v>
                </c:pt>
                <c:pt idx="83">
                  <c:v>8.3000000000000007</c:v>
                </c:pt>
                <c:pt idx="84">
                  <c:v>8.4</c:v>
                </c:pt>
                <c:pt idx="85">
                  <c:v>8.5</c:v>
                </c:pt>
                <c:pt idx="86">
                  <c:v>8.6</c:v>
                </c:pt>
                <c:pt idx="87">
                  <c:v>8.7000000000000011</c:v>
                </c:pt>
                <c:pt idx="88">
                  <c:v>8.8000000000000007</c:v>
                </c:pt>
                <c:pt idx="89">
                  <c:v>8.9</c:v>
                </c:pt>
                <c:pt idx="90">
                  <c:v>9</c:v>
                </c:pt>
                <c:pt idx="91">
                  <c:v>9.1</c:v>
                </c:pt>
                <c:pt idx="92">
                  <c:v>9.2000000000000011</c:v>
                </c:pt>
                <c:pt idx="93">
                  <c:v>9.3000000000000007</c:v>
                </c:pt>
                <c:pt idx="94">
                  <c:v>9.4</c:v>
                </c:pt>
                <c:pt idx="95">
                  <c:v>9.5</c:v>
                </c:pt>
                <c:pt idx="96">
                  <c:v>9.6000000000000014</c:v>
                </c:pt>
                <c:pt idx="97">
                  <c:v>9.7000000000000011</c:v>
                </c:pt>
                <c:pt idx="98">
                  <c:v>9.8000000000000007</c:v>
                </c:pt>
                <c:pt idx="99">
                  <c:v>9.9</c:v>
                </c:pt>
                <c:pt idx="100">
                  <c:v>10</c:v>
                </c:pt>
                <c:pt idx="101">
                  <c:v>10.100000000000001</c:v>
                </c:pt>
                <c:pt idx="102">
                  <c:v>10.200000000000001</c:v>
                </c:pt>
                <c:pt idx="103">
                  <c:v>10.3</c:v>
                </c:pt>
                <c:pt idx="104">
                  <c:v>10.4</c:v>
                </c:pt>
                <c:pt idx="105">
                  <c:v>10.5</c:v>
                </c:pt>
                <c:pt idx="106">
                  <c:v>10.600000000000001</c:v>
                </c:pt>
                <c:pt idx="107">
                  <c:v>10.700000000000001</c:v>
                </c:pt>
                <c:pt idx="108">
                  <c:v>10.8</c:v>
                </c:pt>
                <c:pt idx="109">
                  <c:v>10.9</c:v>
                </c:pt>
                <c:pt idx="110">
                  <c:v>11</c:v>
                </c:pt>
                <c:pt idx="111">
                  <c:v>11.100000000000001</c:v>
                </c:pt>
                <c:pt idx="112">
                  <c:v>11.200000000000001</c:v>
                </c:pt>
                <c:pt idx="113">
                  <c:v>11.3</c:v>
                </c:pt>
                <c:pt idx="114">
                  <c:v>11.4</c:v>
                </c:pt>
                <c:pt idx="115">
                  <c:v>11.5</c:v>
                </c:pt>
                <c:pt idx="116">
                  <c:v>11.600000000000001</c:v>
                </c:pt>
                <c:pt idx="117">
                  <c:v>11.700000000000001</c:v>
                </c:pt>
                <c:pt idx="118">
                  <c:v>11.8</c:v>
                </c:pt>
                <c:pt idx="119">
                  <c:v>11.9</c:v>
                </c:pt>
                <c:pt idx="120">
                  <c:v>12</c:v>
                </c:pt>
                <c:pt idx="121">
                  <c:v>12.100000000000001</c:v>
                </c:pt>
                <c:pt idx="122">
                  <c:v>12.200000000000001</c:v>
                </c:pt>
                <c:pt idx="123">
                  <c:v>12.3</c:v>
                </c:pt>
                <c:pt idx="124">
                  <c:v>12.4</c:v>
                </c:pt>
                <c:pt idx="125">
                  <c:v>12.5</c:v>
                </c:pt>
                <c:pt idx="126">
                  <c:v>12.600000000000001</c:v>
                </c:pt>
                <c:pt idx="127">
                  <c:v>12.700000000000001</c:v>
                </c:pt>
                <c:pt idx="128">
                  <c:v>12.8</c:v>
                </c:pt>
                <c:pt idx="129">
                  <c:v>12.9</c:v>
                </c:pt>
                <c:pt idx="130">
                  <c:v>13</c:v>
                </c:pt>
                <c:pt idx="131">
                  <c:v>13.100000000000001</c:v>
                </c:pt>
                <c:pt idx="132">
                  <c:v>13.200000000000001</c:v>
                </c:pt>
                <c:pt idx="133">
                  <c:v>13.3</c:v>
                </c:pt>
                <c:pt idx="134">
                  <c:v>13.4</c:v>
                </c:pt>
                <c:pt idx="135">
                  <c:v>13.5</c:v>
                </c:pt>
                <c:pt idx="136">
                  <c:v>13.600000000000001</c:v>
                </c:pt>
                <c:pt idx="137">
                  <c:v>13.700000000000001</c:v>
                </c:pt>
                <c:pt idx="138">
                  <c:v>13.8</c:v>
                </c:pt>
                <c:pt idx="139">
                  <c:v>13.9</c:v>
                </c:pt>
                <c:pt idx="140">
                  <c:v>14</c:v>
                </c:pt>
                <c:pt idx="141">
                  <c:v>14.100000000000001</c:v>
                </c:pt>
                <c:pt idx="142">
                  <c:v>14.200000000000001</c:v>
                </c:pt>
                <c:pt idx="143">
                  <c:v>14.3</c:v>
                </c:pt>
                <c:pt idx="144">
                  <c:v>14.4</c:v>
                </c:pt>
                <c:pt idx="145">
                  <c:v>14.5</c:v>
                </c:pt>
                <c:pt idx="146">
                  <c:v>14.600000000000001</c:v>
                </c:pt>
                <c:pt idx="147">
                  <c:v>14.700000000000001</c:v>
                </c:pt>
                <c:pt idx="148">
                  <c:v>14.8</c:v>
                </c:pt>
                <c:pt idx="149">
                  <c:v>14.9</c:v>
                </c:pt>
                <c:pt idx="150">
                  <c:v>15</c:v>
                </c:pt>
              </c:numCache>
            </c:numRef>
          </c:xVal>
          <c:yVal>
            <c:numRef>
              <c:f>Eff_vs_IOUT!$AP$7:$AP$157</c:f>
              <c:numCache>
                <c:formatCode>General</c:formatCode>
                <c:ptCount val="151"/>
                <c:pt idx="0">
                  <c:v>0</c:v>
                </c:pt>
                <c:pt idx="1">
                  <c:v>1.4907119849998595E-4</c:v>
                </c:pt>
                <c:pt idx="2">
                  <c:v>4.2163702135578394E-4</c:v>
                </c:pt>
                <c:pt idx="3">
                  <c:v>7.7459666924148331E-4</c:v>
                </c:pt>
                <c:pt idx="4">
                  <c:v>1.1925695879998872E-3</c:v>
                </c:pt>
                <c:pt idx="5">
                  <c:v>1.6666666666666661E-3</c:v>
                </c:pt>
                <c:pt idx="6">
                  <c:v>2.1908902300206653E-3</c:v>
                </c:pt>
                <c:pt idx="7">
                  <c:v>2.7608372321131554E-3</c:v>
                </c:pt>
                <c:pt idx="8">
                  <c:v>3.3866666666666659E-3</c:v>
                </c:pt>
                <c:pt idx="9">
                  <c:v>4.0949999999999997E-3</c:v>
                </c:pt>
                <c:pt idx="10">
                  <c:v>4.8866666666666676E-3</c:v>
                </c:pt>
                <c:pt idx="11">
                  <c:v>5.7616666666666667E-3</c:v>
                </c:pt>
                <c:pt idx="12">
                  <c:v>6.7200000000000046E-3</c:v>
                </c:pt>
                <c:pt idx="13">
                  <c:v>7.7616666666666667E-3</c:v>
                </c:pt>
                <c:pt idx="14">
                  <c:v>8.8866666666666677E-3</c:v>
                </c:pt>
                <c:pt idx="15">
                  <c:v>1.0095000000000002E-2</c:v>
                </c:pt>
                <c:pt idx="16">
                  <c:v>1.1386666666666668E-2</c:v>
                </c:pt>
                <c:pt idx="17">
                  <c:v>1.2761666666666669E-2</c:v>
                </c:pt>
                <c:pt idx="18">
                  <c:v>1.4220000000000003E-2</c:v>
                </c:pt>
                <c:pt idx="19">
                  <c:v>1.5761666666666667E-2</c:v>
                </c:pt>
                <c:pt idx="20">
                  <c:v>1.7386666666666672E-2</c:v>
                </c:pt>
                <c:pt idx="21">
                  <c:v>1.9095000000000001E-2</c:v>
                </c:pt>
                <c:pt idx="22">
                  <c:v>2.0886666666666664E-2</c:v>
                </c:pt>
                <c:pt idx="23">
                  <c:v>2.2761666666666677E-2</c:v>
                </c:pt>
                <c:pt idx="24">
                  <c:v>2.4720000000000013E-2</c:v>
                </c:pt>
                <c:pt idx="25">
                  <c:v>2.6761666666666677E-2</c:v>
                </c:pt>
                <c:pt idx="26">
                  <c:v>2.8886666666666665E-2</c:v>
                </c:pt>
                <c:pt idx="27">
                  <c:v>3.1094999999999998E-2</c:v>
                </c:pt>
                <c:pt idx="28">
                  <c:v>3.3386666666666669E-2</c:v>
                </c:pt>
                <c:pt idx="29">
                  <c:v>3.5761666666666685E-2</c:v>
                </c:pt>
                <c:pt idx="30">
                  <c:v>3.8220000000000004E-2</c:v>
                </c:pt>
                <c:pt idx="31">
                  <c:v>4.0761666666666668E-2</c:v>
                </c:pt>
                <c:pt idx="32">
                  <c:v>4.3386666666666664E-2</c:v>
                </c:pt>
                <c:pt idx="33">
                  <c:v>4.6095000000000004E-2</c:v>
                </c:pt>
                <c:pt idx="34">
                  <c:v>4.8886666666666655E-2</c:v>
                </c:pt>
                <c:pt idx="35">
                  <c:v>5.176166666666665E-2</c:v>
                </c:pt>
                <c:pt idx="36">
                  <c:v>5.4719999999999998E-2</c:v>
                </c:pt>
                <c:pt idx="37">
                  <c:v>5.7761666666666676E-2</c:v>
                </c:pt>
                <c:pt idx="38">
                  <c:v>6.0886666666666658E-2</c:v>
                </c:pt>
                <c:pt idx="39">
                  <c:v>6.4094999999999985E-2</c:v>
                </c:pt>
                <c:pt idx="40">
                  <c:v>6.7386666666666678E-2</c:v>
                </c:pt>
                <c:pt idx="41">
                  <c:v>7.0761666666666681E-2</c:v>
                </c:pt>
                <c:pt idx="42">
                  <c:v>7.4220000000000008E-2</c:v>
                </c:pt>
                <c:pt idx="43">
                  <c:v>7.7761666666666673E-2</c:v>
                </c:pt>
                <c:pt idx="44">
                  <c:v>8.1386666666666663E-2</c:v>
                </c:pt>
                <c:pt idx="45">
                  <c:v>8.5095000000000004E-2</c:v>
                </c:pt>
                <c:pt idx="46">
                  <c:v>8.8886666666666697E-2</c:v>
                </c:pt>
                <c:pt idx="47">
                  <c:v>9.2761666666666659E-2</c:v>
                </c:pt>
                <c:pt idx="48">
                  <c:v>9.672000000000007E-2</c:v>
                </c:pt>
                <c:pt idx="49">
                  <c:v>0.10076166666666665</c:v>
                </c:pt>
                <c:pt idx="50">
                  <c:v>0.1048866666666667</c:v>
                </c:pt>
                <c:pt idx="51">
                  <c:v>0.10909500000000005</c:v>
                </c:pt>
                <c:pt idx="52">
                  <c:v>0.11338666666666666</c:v>
                </c:pt>
                <c:pt idx="53">
                  <c:v>0.11776166666666668</c:v>
                </c:pt>
                <c:pt idx="54">
                  <c:v>0.12221999999999998</c:v>
                </c:pt>
                <c:pt idx="55">
                  <c:v>0.12676166666666666</c:v>
                </c:pt>
                <c:pt idx="56">
                  <c:v>0.13138666666666671</c:v>
                </c:pt>
                <c:pt idx="57">
                  <c:v>0.13609500000000002</c:v>
                </c:pt>
                <c:pt idx="58">
                  <c:v>0.14088666666666669</c:v>
                </c:pt>
                <c:pt idx="59">
                  <c:v>0.14576166666666671</c:v>
                </c:pt>
                <c:pt idx="60">
                  <c:v>0.15071999999999999</c:v>
                </c:pt>
                <c:pt idx="61">
                  <c:v>0.15576166666666671</c:v>
                </c:pt>
                <c:pt idx="62">
                  <c:v>0.16088666666666668</c:v>
                </c:pt>
                <c:pt idx="63">
                  <c:v>0.16609500000000008</c:v>
                </c:pt>
                <c:pt idx="64">
                  <c:v>0.17138666666666669</c:v>
                </c:pt>
                <c:pt idx="65">
                  <c:v>0.17676166666666671</c:v>
                </c:pt>
                <c:pt idx="66">
                  <c:v>0.18222000000000002</c:v>
                </c:pt>
                <c:pt idx="67">
                  <c:v>0.18776166666666663</c:v>
                </c:pt>
                <c:pt idx="68">
                  <c:v>0.19338666666666662</c:v>
                </c:pt>
                <c:pt idx="69">
                  <c:v>0.19909499999999994</c:v>
                </c:pt>
                <c:pt idx="70">
                  <c:v>0.20488666666666661</c:v>
                </c:pt>
                <c:pt idx="71">
                  <c:v>0.21076166666666668</c:v>
                </c:pt>
                <c:pt idx="72">
                  <c:v>0.21672</c:v>
                </c:pt>
                <c:pt idx="73">
                  <c:v>0.22276166666666664</c:v>
                </c:pt>
                <c:pt idx="74">
                  <c:v>0.22888666666666665</c:v>
                </c:pt>
                <c:pt idx="75">
                  <c:v>0.235095</c:v>
                </c:pt>
                <c:pt idx="76">
                  <c:v>0.24138666666666664</c:v>
                </c:pt>
                <c:pt idx="77">
                  <c:v>0.24776166666666669</c:v>
                </c:pt>
                <c:pt idx="78">
                  <c:v>0.25422</c:v>
                </c:pt>
                <c:pt idx="79">
                  <c:v>0.26076166666666656</c:v>
                </c:pt>
                <c:pt idx="80">
                  <c:v>0.26738666666666666</c:v>
                </c:pt>
                <c:pt idx="81">
                  <c:v>0.27409500000000003</c:v>
                </c:pt>
                <c:pt idx="82">
                  <c:v>0.28088666666666678</c:v>
                </c:pt>
                <c:pt idx="83">
                  <c:v>0.28776166666666664</c:v>
                </c:pt>
                <c:pt idx="84">
                  <c:v>0.29471999999999993</c:v>
                </c:pt>
                <c:pt idx="85">
                  <c:v>0.30176166666666665</c:v>
                </c:pt>
                <c:pt idx="86">
                  <c:v>0.3088866666666667</c:v>
                </c:pt>
                <c:pt idx="87">
                  <c:v>0.31609500000000013</c:v>
                </c:pt>
                <c:pt idx="88">
                  <c:v>0.32338666666666666</c:v>
                </c:pt>
                <c:pt idx="89">
                  <c:v>0.33076166666666668</c:v>
                </c:pt>
                <c:pt idx="90">
                  <c:v>0.33821999999999997</c:v>
                </c:pt>
                <c:pt idx="91">
                  <c:v>0.34576166666666663</c:v>
                </c:pt>
                <c:pt idx="92">
                  <c:v>0.35338666666666674</c:v>
                </c:pt>
                <c:pt idx="93">
                  <c:v>0.361095</c:v>
                </c:pt>
                <c:pt idx="94">
                  <c:v>0.36888666666666664</c:v>
                </c:pt>
                <c:pt idx="95">
                  <c:v>0.37676166666666666</c:v>
                </c:pt>
                <c:pt idx="96">
                  <c:v>0.38472000000000012</c:v>
                </c:pt>
                <c:pt idx="97">
                  <c:v>0.39276166666666673</c:v>
                </c:pt>
                <c:pt idx="98">
                  <c:v>0.40088666666666661</c:v>
                </c:pt>
                <c:pt idx="99">
                  <c:v>0.40909500000000004</c:v>
                </c:pt>
                <c:pt idx="100">
                  <c:v>0.41738666666666668</c:v>
                </c:pt>
                <c:pt idx="101">
                  <c:v>0.42576166666666682</c:v>
                </c:pt>
                <c:pt idx="102">
                  <c:v>0.43422000000000011</c:v>
                </c:pt>
                <c:pt idx="103">
                  <c:v>0.44276166666666672</c:v>
                </c:pt>
                <c:pt idx="104">
                  <c:v>0.45138666666666666</c:v>
                </c:pt>
                <c:pt idx="105">
                  <c:v>0.46009500000000003</c:v>
                </c:pt>
                <c:pt idx="106">
                  <c:v>0.46888666666666673</c:v>
                </c:pt>
                <c:pt idx="107">
                  <c:v>0.47776166666666681</c:v>
                </c:pt>
                <c:pt idx="108">
                  <c:v>0.4867200000000001</c:v>
                </c:pt>
                <c:pt idx="109">
                  <c:v>0.49576166666666677</c:v>
                </c:pt>
                <c:pt idx="110">
                  <c:v>0.50488666666666671</c:v>
                </c:pt>
                <c:pt idx="111">
                  <c:v>0.5140950000000003</c:v>
                </c:pt>
                <c:pt idx="112">
                  <c:v>0.52338666666666678</c:v>
                </c:pt>
                <c:pt idx="113">
                  <c:v>0.53276166666666669</c:v>
                </c:pt>
                <c:pt idx="114">
                  <c:v>0.54222000000000004</c:v>
                </c:pt>
                <c:pt idx="115">
                  <c:v>0.55176166666666682</c:v>
                </c:pt>
                <c:pt idx="116">
                  <c:v>0.56138666666666681</c:v>
                </c:pt>
                <c:pt idx="117">
                  <c:v>0.57109500000000024</c:v>
                </c:pt>
                <c:pt idx="118">
                  <c:v>0.58088666666666688</c:v>
                </c:pt>
                <c:pt idx="119">
                  <c:v>0.59076166666666674</c:v>
                </c:pt>
                <c:pt idx="120">
                  <c:v>0.60072000000000003</c:v>
                </c:pt>
                <c:pt idx="121">
                  <c:v>0.61076166666666676</c:v>
                </c:pt>
                <c:pt idx="122">
                  <c:v>0.62088666666666692</c:v>
                </c:pt>
                <c:pt idx="123">
                  <c:v>0.63109500000000007</c:v>
                </c:pt>
                <c:pt idx="124">
                  <c:v>0.64138666666666688</c:v>
                </c:pt>
                <c:pt idx="125">
                  <c:v>0.65176166666666668</c:v>
                </c:pt>
                <c:pt idx="126">
                  <c:v>0.66222000000000025</c:v>
                </c:pt>
                <c:pt idx="127">
                  <c:v>0.6727616666666667</c:v>
                </c:pt>
                <c:pt idx="128">
                  <c:v>0.6833866666666667</c:v>
                </c:pt>
                <c:pt idx="129">
                  <c:v>0.69409500000000002</c:v>
                </c:pt>
                <c:pt idx="130">
                  <c:v>0.70488666666666677</c:v>
                </c:pt>
                <c:pt idx="131">
                  <c:v>0.71576166666666663</c:v>
                </c:pt>
                <c:pt idx="132">
                  <c:v>0.72672000000000014</c:v>
                </c:pt>
                <c:pt idx="133">
                  <c:v>0.73776166666666665</c:v>
                </c:pt>
                <c:pt idx="134">
                  <c:v>0.74888666666666659</c:v>
                </c:pt>
                <c:pt idx="135">
                  <c:v>0.76009500000000008</c:v>
                </c:pt>
                <c:pt idx="136">
                  <c:v>0.77138666666666678</c:v>
                </c:pt>
                <c:pt idx="137">
                  <c:v>0.78276166666666669</c:v>
                </c:pt>
                <c:pt idx="138">
                  <c:v>0.79422000000000004</c:v>
                </c:pt>
                <c:pt idx="139">
                  <c:v>0.80576166666666671</c:v>
                </c:pt>
                <c:pt idx="140">
                  <c:v>0.81738666666666659</c:v>
                </c:pt>
                <c:pt idx="141">
                  <c:v>0.82909500000000003</c:v>
                </c:pt>
                <c:pt idx="142">
                  <c:v>0.84088666666666689</c:v>
                </c:pt>
                <c:pt idx="143">
                  <c:v>0.85276166666666664</c:v>
                </c:pt>
                <c:pt idx="144">
                  <c:v>0.86472000000000004</c:v>
                </c:pt>
                <c:pt idx="145">
                  <c:v>0.87676166666666677</c:v>
                </c:pt>
                <c:pt idx="146">
                  <c:v>0.88888666666666682</c:v>
                </c:pt>
                <c:pt idx="147">
                  <c:v>0.90109500000000009</c:v>
                </c:pt>
                <c:pt idx="148">
                  <c:v>0.91338666666666668</c:v>
                </c:pt>
                <c:pt idx="149">
                  <c:v>0.9257616666666667</c:v>
                </c:pt>
                <c:pt idx="150">
                  <c:v>0.93822000000000016</c:v>
                </c:pt>
              </c:numCache>
            </c:numRef>
          </c:yVal>
          <c:smooth val="1"/>
          <c:extLst>
            <c:ext xmlns:c16="http://schemas.microsoft.com/office/drawing/2014/chart" uri="{C3380CC4-5D6E-409C-BE32-E72D297353CC}">
              <c16:uniqueId val="{00000003-901A-4CE4-83F4-75906C9CC573}"/>
            </c:ext>
          </c:extLst>
        </c:ser>
        <c:dLbls>
          <c:showLegendKey val="0"/>
          <c:showVal val="0"/>
          <c:showCatName val="0"/>
          <c:showSerName val="0"/>
          <c:showPercent val="0"/>
          <c:showBubbleSize val="0"/>
        </c:dLbls>
        <c:axId val="361467264"/>
        <c:axId val="361465344"/>
      </c:scatterChart>
      <c:valAx>
        <c:axId val="361445248"/>
        <c:scaling>
          <c:orientation val="minMax"/>
        </c:scaling>
        <c:delete val="0"/>
        <c:axPos val="b"/>
        <c:majorGridlines/>
        <c:numFmt formatCode="General" sourceLinked="1"/>
        <c:majorTickMark val="out"/>
        <c:minorTickMark val="none"/>
        <c:tickLblPos val="nextTo"/>
        <c:crossAx val="361446784"/>
        <c:crosses val="autoZero"/>
        <c:crossBetween val="midCat"/>
      </c:valAx>
      <c:valAx>
        <c:axId val="361446784"/>
        <c:scaling>
          <c:orientation val="minMax"/>
          <c:max val="100"/>
          <c:min val="60"/>
        </c:scaling>
        <c:delete val="0"/>
        <c:axPos val="l"/>
        <c:majorGridlines/>
        <c:title>
          <c:tx>
            <c:rich>
              <a:bodyPr rot="-5400000" vert="horz"/>
              <a:lstStyle/>
              <a:p>
                <a:pPr>
                  <a:defRPr sz="1400"/>
                </a:pPr>
                <a:r>
                  <a:rPr lang="en-US" sz="1400"/>
                  <a:t>Efficiency</a:t>
                </a:r>
                <a:r>
                  <a:rPr lang="en-US" sz="1400" baseline="0"/>
                  <a:t> (%)</a:t>
                </a:r>
                <a:endParaRPr lang="en-US" sz="1400"/>
              </a:p>
            </c:rich>
          </c:tx>
          <c:overlay val="0"/>
        </c:title>
        <c:numFmt formatCode="General" sourceLinked="1"/>
        <c:majorTickMark val="out"/>
        <c:minorTickMark val="none"/>
        <c:tickLblPos val="nextTo"/>
        <c:crossAx val="361445248"/>
        <c:crosses val="autoZero"/>
        <c:crossBetween val="midCat"/>
      </c:valAx>
      <c:valAx>
        <c:axId val="361465344"/>
        <c:scaling>
          <c:orientation val="minMax"/>
        </c:scaling>
        <c:delete val="0"/>
        <c:axPos val="r"/>
        <c:title>
          <c:tx>
            <c:rich>
              <a:bodyPr rot="-5400000" vert="horz"/>
              <a:lstStyle/>
              <a:p>
                <a:pPr>
                  <a:defRPr sz="1400"/>
                </a:pPr>
                <a:r>
                  <a:rPr lang="en-US" sz="1400"/>
                  <a:t>Losses</a:t>
                </a:r>
                <a:r>
                  <a:rPr lang="en-US" sz="1400" baseline="0"/>
                  <a:t> (W)</a:t>
                </a:r>
                <a:endParaRPr lang="en-US" sz="1400"/>
              </a:p>
            </c:rich>
          </c:tx>
          <c:overlay val="0"/>
        </c:title>
        <c:numFmt formatCode="General" sourceLinked="1"/>
        <c:majorTickMark val="out"/>
        <c:minorTickMark val="none"/>
        <c:tickLblPos val="nextTo"/>
        <c:crossAx val="361467264"/>
        <c:crosses val="max"/>
        <c:crossBetween val="midCat"/>
      </c:valAx>
      <c:valAx>
        <c:axId val="361467264"/>
        <c:scaling>
          <c:orientation val="minMax"/>
        </c:scaling>
        <c:delete val="1"/>
        <c:axPos val="b"/>
        <c:title>
          <c:tx>
            <c:rich>
              <a:bodyPr/>
              <a:lstStyle/>
              <a:p>
                <a:pPr>
                  <a:defRPr/>
                </a:pPr>
                <a:r>
                  <a:rPr lang="en-US"/>
                  <a:t>Loac</a:t>
                </a:r>
                <a:r>
                  <a:rPr lang="en-US" baseline="0"/>
                  <a:t> Current (A)</a:t>
                </a:r>
                <a:endParaRPr lang="en-US"/>
              </a:p>
            </c:rich>
          </c:tx>
          <c:overlay val="0"/>
        </c:title>
        <c:numFmt formatCode="General" sourceLinked="1"/>
        <c:majorTickMark val="out"/>
        <c:minorTickMark val="none"/>
        <c:tickLblPos val="nextTo"/>
        <c:crossAx val="361465344"/>
        <c:crosses val="autoZero"/>
        <c:crossBetween val="midCat"/>
      </c:valAx>
    </c:plotArea>
    <c:legend>
      <c:legendPos val="r"/>
      <c:layout>
        <c:manualLayout>
          <c:xMode val="edge"/>
          <c:yMode val="edge"/>
          <c:x val="0.51894403926190358"/>
          <c:y val="6.4862204724409449E-3"/>
          <c:w val="0.39609572935704079"/>
          <c:h val="0.12183653099700564"/>
        </c:manualLayout>
      </c:layout>
      <c:overlay val="1"/>
    </c:legend>
    <c:plotVisOnly val="1"/>
    <c:dispBlanksAs val="gap"/>
    <c:showDLblsOverMax val="0"/>
  </c:chart>
  <c:spPr>
    <a:ln>
      <a:noFill/>
    </a:ln>
  </c:sp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CCM Plant Transfer</a:t>
            </a:r>
            <a:r>
              <a:rPr lang="en-US" baseline="0"/>
              <a:t> Function</a:t>
            </a:r>
            <a:endParaRPr lang="en-US"/>
          </a:p>
        </c:rich>
      </c:tx>
      <c:overlay val="0"/>
    </c:title>
    <c:autoTitleDeleted val="0"/>
    <c:plotArea>
      <c:layout/>
      <c:scatterChart>
        <c:scatterStyle val="smoothMarker"/>
        <c:varyColors val="0"/>
        <c:ser>
          <c:idx val="0"/>
          <c:order val="0"/>
          <c:tx>
            <c:v>Gain(dB)</c:v>
          </c:tx>
          <c:marker>
            <c:symbol val="none"/>
          </c:marker>
          <c:xVal>
            <c:numRef>
              <c:f>Loop_Modeling!$O$19:$O$560</c:f>
              <c:numCache>
                <c:formatCode>0.00</c:formatCode>
                <c:ptCount val="542"/>
                <c:pt idx="0">
                  <c:v>10.232929922807543</c:v>
                </c:pt>
                <c:pt idx="1">
                  <c:v>10.471285480509</c:v>
                </c:pt>
                <c:pt idx="2">
                  <c:v>10.715193052376069</c:v>
                </c:pt>
                <c:pt idx="3">
                  <c:v>10.964781961431854</c:v>
                </c:pt>
                <c:pt idx="4">
                  <c:v>11.220184543019636</c:v>
                </c:pt>
                <c:pt idx="5">
                  <c:v>11.481536214968834</c:v>
                </c:pt>
                <c:pt idx="6">
                  <c:v>11.748975549395301</c:v>
                </c:pt>
                <c:pt idx="7">
                  <c:v>12.022644346174133</c:v>
                </c:pt>
                <c:pt idx="8">
                  <c:v>12.302687708123818</c:v>
                </c:pt>
                <c:pt idx="9">
                  <c:v>12.58925411794168</c:v>
                </c:pt>
                <c:pt idx="10">
                  <c:v>12.882495516931346</c:v>
                </c:pt>
                <c:pt idx="11">
                  <c:v>13.182567385564075</c:v>
                </c:pt>
                <c:pt idx="12">
                  <c:v>13.489628825916535</c:v>
                </c:pt>
                <c:pt idx="13">
                  <c:v>13.803842646028857</c:v>
                </c:pt>
                <c:pt idx="14">
                  <c:v>14.125375446227544</c:v>
                </c:pt>
                <c:pt idx="15">
                  <c:v>14.454397707459275</c:v>
                </c:pt>
                <c:pt idx="16">
                  <c:v>14.791083881682074</c:v>
                </c:pt>
                <c:pt idx="17">
                  <c:v>15.135612484362087</c:v>
                </c:pt>
                <c:pt idx="18">
                  <c:v>15.488166189124817</c:v>
                </c:pt>
                <c:pt idx="19">
                  <c:v>15.848931924611136</c:v>
                </c:pt>
                <c:pt idx="20">
                  <c:v>16.218100973589298</c:v>
                </c:pt>
                <c:pt idx="21">
                  <c:v>16.595869074375614</c:v>
                </c:pt>
                <c:pt idx="22">
                  <c:v>16.982436524617448</c:v>
                </c:pt>
                <c:pt idx="23">
                  <c:v>17.378008287493756</c:v>
                </c:pt>
                <c:pt idx="24">
                  <c:v>17.782794100389236</c:v>
                </c:pt>
                <c:pt idx="25">
                  <c:v>18.197008586099841</c:v>
                </c:pt>
                <c:pt idx="26">
                  <c:v>18.62087136662868</c:v>
                </c:pt>
                <c:pt idx="27">
                  <c:v>19.054607179632477</c:v>
                </c:pt>
                <c:pt idx="28">
                  <c:v>19.498445997580465</c:v>
                </c:pt>
                <c:pt idx="29">
                  <c:v>19.952623149688804</c:v>
                </c:pt>
                <c:pt idx="30">
                  <c:v>20.4173794466953</c:v>
                </c:pt>
                <c:pt idx="31">
                  <c:v>20.8929613085404</c:v>
                </c:pt>
                <c:pt idx="32">
                  <c:v>21.379620895022335</c:v>
                </c:pt>
                <c:pt idx="33">
                  <c:v>21.877616239495538</c:v>
                </c:pt>
                <c:pt idx="34">
                  <c:v>22.387211385683404</c:v>
                </c:pt>
                <c:pt idx="35">
                  <c:v>22.908676527677727</c:v>
                </c:pt>
                <c:pt idx="36">
                  <c:v>23.442288153199236</c:v>
                </c:pt>
                <c:pt idx="37">
                  <c:v>23.988329190194907</c:v>
                </c:pt>
                <c:pt idx="38">
                  <c:v>24.547089156850316</c:v>
                </c:pt>
                <c:pt idx="39">
                  <c:v>25.118864315095799</c:v>
                </c:pt>
                <c:pt idx="40">
                  <c:v>25.703957827688647</c:v>
                </c:pt>
                <c:pt idx="41">
                  <c:v>26.302679918953825</c:v>
                </c:pt>
                <c:pt idx="42">
                  <c:v>26.915348039269158</c:v>
                </c:pt>
                <c:pt idx="43">
                  <c:v>27.542287033381665</c:v>
                </c:pt>
                <c:pt idx="44">
                  <c:v>28.183829312644548</c:v>
                </c:pt>
                <c:pt idx="45">
                  <c:v>28.840315031266066</c:v>
                </c:pt>
                <c:pt idx="46">
                  <c:v>29.512092266663863</c:v>
                </c:pt>
                <c:pt idx="47">
                  <c:v>30.199517204020164</c:v>
                </c:pt>
                <c:pt idx="48">
                  <c:v>30.902954325135919</c:v>
                </c:pt>
                <c:pt idx="49">
                  <c:v>31.622776601683803</c:v>
                </c:pt>
                <c:pt idx="50">
                  <c:v>32.359365692962832</c:v>
                </c:pt>
                <c:pt idx="51">
                  <c:v>33.113112148259127</c:v>
                </c:pt>
                <c:pt idx="52">
                  <c:v>33.884415613920268</c:v>
                </c:pt>
                <c:pt idx="53">
                  <c:v>34.67368504525318</c:v>
                </c:pt>
                <c:pt idx="54">
                  <c:v>35.481338923357555</c:v>
                </c:pt>
                <c:pt idx="55">
                  <c:v>36.307805477010156</c:v>
                </c:pt>
                <c:pt idx="56">
                  <c:v>37.15352290971726</c:v>
                </c:pt>
                <c:pt idx="57">
                  <c:v>38.018939632056139</c:v>
                </c:pt>
                <c:pt idx="58">
                  <c:v>38.904514499428053</c:v>
                </c:pt>
                <c:pt idx="59">
                  <c:v>39.810717055349755</c:v>
                </c:pt>
                <c:pt idx="60">
                  <c:v>40.738027780411279</c:v>
                </c:pt>
                <c:pt idx="61">
                  <c:v>41.686938347033561</c:v>
                </c:pt>
                <c:pt idx="62">
                  <c:v>42.657951880159267</c:v>
                </c:pt>
                <c:pt idx="63">
                  <c:v>43.651583224016633</c:v>
                </c:pt>
                <c:pt idx="64">
                  <c:v>44.668359215096324</c:v>
                </c:pt>
                <c:pt idx="65">
                  <c:v>45.70881896148753</c:v>
                </c:pt>
                <c:pt idx="66">
                  <c:v>46.773514128719818</c:v>
                </c:pt>
                <c:pt idx="67">
                  <c:v>47.863009232263877</c:v>
                </c:pt>
                <c:pt idx="68">
                  <c:v>48.977881936844632</c:v>
                </c:pt>
                <c:pt idx="69">
                  <c:v>50.118723362727238</c:v>
                </c:pt>
                <c:pt idx="70">
                  <c:v>51.28613839913649</c:v>
                </c:pt>
                <c:pt idx="71">
                  <c:v>52.480746024977286</c:v>
                </c:pt>
                <c:pt idx="72">
                  <c:v>53.703179637025293</c:v>
                </c:pt>
                <c:pt idx="73">
                  <c:v>54.95408738576247</c:v>
                </c:pt>
                <c:pt idx="74">
                  <c:v>56.234132519034915</c:v>
                </c:pt>
                <c:pt idx="75">
                  <c:v>57.543993733715695</c:v>
                </c:pt>
                <c:pt idx="76">
                  <c:v>58.884365535558949</c:v>
                </c:pt>
                <c:pt idx="77">
                  <c:v>60.255958607435822</c:v>
                </c:pt>
                <c:pt idx="78">
                  <c:v>61.659500186148257</c:v>
                </c:pt>
                <c:pt idx="79">
                  <c:v>63.095734448019364</c:v>
                </c:pt>
                <c:pt idx="80">
                  <c:v>64.565422903465588</c:v>
                </c:pt>
                <c:pt idx="81">
                  <c:v>66.069344800759623</c:v>
                </c:pt>
                <c:pt idx="82">
                  <c:v>67.60829753919819</c:v>
                </c:pt>
                <c:pt idx="83">
                  <c:v>69.183097091893657</c:v>
                </c:pt>
                <c:pt idx="84">
                  <c:v>70.794578438413865</c:v>
                </c:pt>
                <c:pt idx="85">
                  <c:v>72.443596007499011</c:v>
                </c:pt>
                <c:pt idx="86">
                  <c:v>74.131024130091816</c:v>
                </c:pt>
                <c:pt idx="87">
                  <c:v>75.857757502918361</c:v>
                </c:pt>
                <c:pt idx="88">
                  <c:v>77.624711662869217</c:v>
                </c:pt>
                <c:pt idx="89">
                  <c:v>79.432823472428197</c:v>
                </c:pt>
                <c:pt idx="90">
                  <c:v>81.283051616409963</c:v>
                </c:pt>
                <c:pt idx="91">
                  <c:v>83.176377110267126</c:v>
                </c:pt>
                <c:pt idx="92">
                  <c:v>85.113803820237734</c:v>
                </c:pt>
                <c:pt idx="93">
                  <c:v>87.096358995608071</c:v>
                </c:pt>
                <c:pt idx="94">
                  <c:v>89.125093813374562</c:v>
                </c:pt>
                <c:pt idx="95">
                  <c:v>91.201083935590972</c:v>
                </c:pt>
                <c:pt idx="96">
                  <c:v>93.325430079699174</c:v>
                </c:pt>
                <c:pt idx="97">
                  <c:v>95.499258602143655</c:v>
                </c:pt>
                <c:pt idx="98">
                  <c:v>97.723722095581124</c:v>
                </c:pt>
                <c:pt idx="99">
                  <c:v>100</c:v>
                </c:pt>
                <c:pt idx="100">
                  <c:v>102.32929922807544</c:v>
                </c:pt>
                <c:pt idx="101">
                  <c:v>104.71285480508998</c:v>
                </c:pt>
                <c:pt idx="102">
                  <c:v>107.15193052376065</c:v>
                </c:pt>
                <c:pt idx="103">
                  <c:v>109.64781961431861</c:v>
                </c:pt>
                <c:pt idx="104">
                  <c:v>112.20184543019634</c:v>
                </c:pt>
                <c:pt idx="105">
                  <c:v>114.81536214968835</c:v>
                </c:pt>
                <c:pt idx="106">
                  <c:v>117.48975549395293</c:v>
                </c:pt>
                <c:pt idx="107">
                  <c:v>120.22644346174135</c:v>
                </c:pt>
                <c:pt idx="108">
                  <c:v>123.02687708123821</c:v>
                </c:pt>
                <c:pt idx="109">
                  <c:v>125.89254117941677</c:v>
                </c:pt>
                <c:pt idx="110">
                  <c:v>128.82495516931343</c:v>
                </c:pt>
                <c:pt idx="111">
                  <c:v>131.82567385564084</c:v>
                </c:pt>
                <c:pt idx="112">
                  <c:v>134.89628825916537</c:v>
                </c:pt>
                <c:pt idx="113">
                  <c:v>138.0384264602886</c:v>
                </c:pt>
                <c:pt idx="114">
                  <c:v>141.25375446227542</c:v>
                </c:pt>
                <c:pt idx="115">
                  <c:v>144.54397707459285</c:v>
                </c:pt>
                <c:pt idx="116">
                  <c:v>147.91083881682084</c:v>
                </c:pt>
                <c:pt idx="117">
                  <c:v>151.3561248436209</c:v>
                </c:pt>
                <c:pt idx="118">
                  <c:v>154.8816618912482</c:v>
                </c:pt>
                <c:pt idx="119">
                  <c:v>158.48931924611153</c:v>
                </c:pt>
                <c:pt idx="120">
                  <c:v>162.18100973589304</c:v>
                </c:pt>
                <c:pt idx="121">
                  <c:v>165.95869074375622</c:v>
                </c:pt>
                <c:pt idx="122">
                  <c:v>169.82436524617444</c:v>
                </c:pt>
                <c:pt idx="123">
                  <c:v>173.78008287493768</c:v>
                </c:pt>
                <c:pt idx="124">
                  <c:v>177.82794100389242</c:v>
                </c:pt>
                <c:pt idx="125">
                  <c:v>181.9700858609983</c:v>
                </c:pt>
                <c:pt idx="126">
                  <c:v>186.20871366628685</c:v>
                </c:pt>
                <c:pt idx="127">
                  <c:v>190.54607179632498</c:v>
                </c:pt>
                <c:pt idx="128">
                  <c:v>194.98445997580458</c:v>
                </c:pt>
                <c:pt idx="129">
                  <c:v>199.52623149688802</c:v>
                </c:pt>
                <c:pt idx="130">
                  <c:v>204.17379446695315</c:v>
                </c:pt>
                <c:pt idx="131">
                  <c:v>208.92961308540396</c:v>
                </c:pt>
                <c:pt idx="132">
                  <c:v>213.79620895022339</c:v>
                </c:pt>
                <c:pt idx="133">
                  <c:v>218.77616239495524</c:v>
                </c:pt>
                <c:pt idx="134">
                  <c:v>223.87211385683412</c:v>
                </c:pt>
                <c:pt idx="135">
                  <c:v>229.08676527677744</c:v>
                </c:pt>
                <c:pt idx="136">
                  <c:v>234.42288153199232</c:v>
                </c:pt>
                <c:pt idx="137">
                  <c:v>239.88329190194912</c:v>
                </c:pt>
                <c:pt idx="138">
                  <c:v>245.4708915685033</c:v>
                </c:pt>
                <c:pt idx="139">
                  <c:v>251.18864315095806</c:v>
                </c:pt>
                <c:pt idx="140">
                  <c:v>257.03957827688663</c:v>
                </c:pt>
                <c:pt idx="141">
                  <c:v>263.02679918953817</c:v>
                </c:pt>
                <c:pt idx="142">
                  <c:v>269.15348039269179</c:v>
                </c:pt>
                <c:pt idx="143">
                  <c:v>275.42287033381683</c:v>
                </c:pt>
                <c:pt idx="144">
                  <c:v>281.83829312644554</c:v>
                </c:pt>
                <c:pt idx="145">
                  <c:v>288.40315031266073</c:v>
                </c:pt>
                <c:pt idx="146">
                  <c:v>295.12092266663871</c:v>
                </c:pt>
                <c:pt idx="147">
                  <c:v>301.99517204020168</c:v>
                </c:pt>
                <c:pt idx="148">
                  <c:v>309.02954325135937</c:v>
                </c:pt>
                <c:pt idx="149">
                  <c:v>316.22776601683825</c:v>
                </c:pt>
                <c:pt idx="150">
                  <c:v>323.59365692962825</c:v>
                </c:pt>
                <c:pt idx="151">
                  <c:v>331.13112148259137</c:v>
                </c:pt>
                <c:pt idx="152">
                  <c:v>338.84415613920277</c:v>
                </c:pt>
                <c:pt idx="153">
                  <c:v>346.73685045253183</c:v>
                </c:pt>
                <c:pt idx="154">
                  <c:v>354.81338923357566</c:v>
                </c:pt>
                <c:pt idx="155">
                  <c:v>363.07805477010152</c:v>
                </c:pt>
                <c:pt idx="156">
                  <c:v>371.53522909717265</c:v>
                </c:pt>
                <c:pt idx="157">
                  <c:v>380.18939632056163</c:v>
                </c:pt>
                <c:pt idx="158">
                  <c:v>389.04514499428063</c:v>
                </c:pt>
                <c:pt idx="159">
                  <c:v>398.10717055349761</c:v>
                </c:pt>
                <c:pt idx="160">
                  <c:v>407.38027780411272</c:v>
                </c:pt>
                <c:pt idx="161">
                  <c:v>416.86938347033572</c:v>
                </c:pt>
                <c:pt idx="162">
                  <c:v>426.57951880159294</c:v>
                </c:pt>
                <c:pt idx="163">
                  <c:v>436.51583224016622</c:v>
                </c:pt>
                <c:pt idx="164">
                  <c:v>446.68359215096331</c:v>
                </c:pt>
                <c:pt idx="165">
                  <c:v>457.0881896148756</c:v>
                </c:pt>
                <c:pt idx="166">
                  <c:v>467.7351412871983</c:v>
                </c:pt>
                <c:pt idx="167">
                  <c:v>478.63009232263886</c:v>
                </c:pt>
                <c:pt idx="168">
                  <c:v>489.77881936844625</c:v>
                </c:pt>
                <c:pt idx="169">
                  <c:v>501.18723362727269</c:v>
                </c:pt>
                <c:pt idx="170">
                  <c:v>512.86138399136519</c:v>
                </c:pt>
                <c:pt idx="171">
                  <c:v>524.80746024977248</c:v>
                </c:pt>
                <c:pt idx="172">
                  <c:v>537.03179637025301</c:v>
                </c:pt>
                <c:pt idx="173">
                  <c:v>549.54087385762534</c:v>
                </c:pt>
                <c:pt idx="174">
                  <c:v>562.34132519034927</c:v>
                </c:pt>
                <c:pt idx="175">
                  <c:v>575.43993733715706</c:v>
                </c:pt>
                <c:pt idx="176">
                  <c:v>588.84365535558959</c:v>
                </c:pt>
                <c:pt idx="177">
                  <c:v>602.55958607435832</c:v>
                </c:pt>
                <c:pt idx="178">
                  <c:v>616.59500186148273</c:v>
                </c:pt>
                <c:pt idx="179">
                  <c:v>630.95734448019323</c:v>
                </c:pt>
                <c:pt idx="180">
                  <c:v>645.65422903465594</c:v>
                </c:pt>
                <c:pt idx="181">
                  <c:v>660.69344800759643</c:v>
                </c:pt>
                <c:pt idx="182">
                  <c:v>676.08297539198213</c:v>
                </c:pt>
                <c:pt idx="183">
                  <c:v>691.83097091893671</c:v>
                </c:pt>
                <c:pt idx="184">
                  <c:v>707.94578438413873</c:v>
                </c:pt>
                <c:pt idx="185">
                  <c:v>724.43596007499025</c:v>
                </c:pt>
                <c:pt idx="186">
                  <c:v>741.31024130091828</c:v>
                </c:pt>
                <c:pt idx="187">
                  <c:v>758.57757502918378</c:v>
                </c:pt>
                <c:pt idx="188">
                  <c:v>776.24711662869231</c:v>
                </c:pt>
                <c:pt idx="189">
                  <c:v>794.32823472428208</c:v>
                </c:pt>
                <c:pt idx="190">
                  <c:v>812.83051616409978</c:v>
                </c:pt>
                <c:pt idx="191">
                  <c:v>831.7637711026714</c:v>
                </c:pt>
                <c:pt idx="192">
                  <c:v>851.13803820237763</c:v>
                </c:pt>
                <c:pt idx="193">
                  <c:v>870.96358995608091</c:v>
                </c:pt>
                <c:pt idx="194">
                  <c:v>891.25093813374656</c:v>
                </c:pt>
                <c:pt idx="195">
                  <c:v>912.01083935590987</c:v>
                </c:pt>
                <c:pt idx="196">
                  <c:v>933.25430079699106</c:v>
                </c:pt>
                <c:pt idx="197">
                  <c:v>954.99258602143675</c:v>
                </c:pt>
                <c:pt idx="198">
                  <c:v>977.23722095581138</c:v>
                </c:pt>
                <c:pt idx="199">
                  <c:v>1000</c:v>
                </c:pt>
                <c:pt idx="200">
                  <c:v>1023.2929922807547</c:v>
                </c:pt>
                <c:pt idx="201">
                  <c:v>1047.1285480509</c:v>
                </c:pt>
                <c:pt idx="202">
                  <c:v>1071.5193052376069</c:v>
                </c:pt>
                <c:pt idx="203">
                  <c:v>1096.4781961431863</c:v>
                </c:pt>
                <c:pt idx="204">
                  <c:v>1122.0184543019636</c:v>
                </c:pt>
                <c:pt idx="205">
                  <c:v>1148.1536214968839</c:v>
                </c:pt>
                <c:pt idx="206">
                  <c:v>1174.8975549395295</c:v>
                </c:pt>
                <c:pt idx="207">
                  <c:v>1202.2644346174138</c:v>
                </c:pt>
                <c:pt idx="208">
                  <c:v>1230.2687708123824</c:v>
                </c:pt>
                <c:pt idx="209">
                  <c:v>1258.925411794168</c:v>
                </c:pt>
                <c:pt idx="210">
                  <c:v>1288.2495516931347</c:v>
                </c:pt>
                <c:pt idx="211">
                  <c:v>1318.2567385564089</c:v>
                </c:pt>
                <c:pt idx="212">
                  <c:v>1348.9628825916541</c:v>
                </c:pt>
                <c:pt idx="213">
                  <c:v>1380.3842646028863</c:v>
                </c:pt>
                <c:pt idx="214">
                  <c:v>1412.5375446227545</c:v>
                </c:pt>
                <c:pt idx="215">
                  <c:v>1445.4397707459289</c:v>
                </c:pt>
                <c:pt idx="216">
                  <c:v>1479.1083881682086</c:v>
                </c:pt>
                <c:pt idx="217">
                  <c:v>1513.5612484362093</c:v>
                </c:pt>
                <c:pt idx="218">
                  <c:v>1548.8166189124822</c:v>
                </c:pt>
                <c:pt idx="219">
                  <c:v>1584.8931924611156</c:v>
                </c:pt>
                <c:pt idx="220">
                  <c:v>1621.8100973589308</c:v>
                </c:pt>
                <c:pt idx="221">
                  <c:v>1659.5869074375626</c:v>
                </c:pt>
                <c:pt idx="222">
                  <c:v>1698.2436524617447</c:v>
                </c:pt>
                <c:pt idx="223">
                  <c:v>1737.8008287493772</c:v>
                </c:pt>
                <c:pt idx="224">
                  <c:v>1778.2794100389244</c:v>
                </c:pt>
                <c:pt idx="225">
                  <c:v>1819.7008586099832</c:v>
                </c:pt>
                <c:pt idx="226">
                  <c:v>1862.0871366628687</c:v>
                </c:pt>
                <c:pt idx="227">
                  <c:v>1905.4607179632501</c:v>
                </c:pt>
                <c:pt idx="228">
                  <c:v>1949.8445997580463</c:v>
                </c:pt>
                <c:pt idx="229">
                  <c:v>1995.2623149688804</c:v>
                </c:pt>
                <c:pt idx="230">
                  <c:v>2041.7379446695318</c:v>
                </c:pt>
                <c:pt idx="231">
                  <c:v>2089.2961308540398</c:v>
                </c:pt>
                <c:pt idx="232">
                  <c:v>2137.9620895022344</c:v>
                </c:pt>
                <c:pt idx="233">
                  <c:v>2187.7616239495528</c:v>
                </c:pt>
                <c:pt idx="234">
                  <c:v>2238.7211385683418</c:v>
                </c:pt>
                <c:pt idx="235">
                  <c:v>2290.8676527677749</c:v>
                </c:pt>
                <c:pt idx="236">
                  <c:v>2344.2288153199238</c:v>
                </c:pt>
                <c:pt idx="237">
                  <c:v>2398.8329190194918</c:v>
                </c:pt>
                <c:pt idx="238">
                  <c:v>2454.7089156850338</c:v>
                </c:pt>
                <c:pt idx="239">
                  <c:v>2511.8864315095811</c:v>
                </c:pt>
                <c:pt idx="240">
                  <c:v>2570.3957827688669</c:v>
                </c:pt>
                <c:pt idx="241">
                  <c:v>2630.2679918953822</c:v>
                </c:pt>
                <c:pt idx="242">
                  <c:v>2691.5348039269184</c:v>
                </c:pt>
                <c:pt idx="243">
                  <c:v>2754.228703338169</c:v>
                </c:pt>
                <c:pt idx="244">
                  <c:v>2818.3829312644561</c:v>
                </c:pt>
                <c:pt idx="245">
                  <c:v>2884.0315031266077</c:v>
                </c:pt>
                <c:pt idx="246">
                  <c:v>2951.2092266663876</c:v>
                </c:pt>
                <c:pt idx="247">
                  <c:v>3019.9517204020176</c:v>
                </c:pt>
                <c:pt idx="248">
                  <c:v>3090.295432513592</c:v>
                </c:pt>
                <c:pt idx="249">
                  <c:v>3162.2776601683804</c:v>
                </c:pt>
                <c:pt idx="250">
                  <c:v>3235.9365692962833</c:v>
                </c:pt>
                <c:pt idx="251">
                  <c:v>3311.3112148259115</c:v>
                </c:pt>
                <c:pt idx="252">
                  <c:v>3388.4415613920314</c:v>
                </c:pt>
                <c:pt idx="253">
                  <c:v>3467.3685045253224</c:v>
                </c:pt>
                <c:pt idx="254">
                  <c:v>3548.1338923357539</c:v>
                </c:pt>
                <c:pt idx="255">
                  <c:v>3630.7805477010188</c:v>
                </c:pt>
                <c:pt idx="256">
                  <c:v>3715.352290971724</c:v>
                </c:pt>
                <c:pt idx="257">
                  <c:v>3801.8939632056172</c:v>
                </c:pt>
                <c:pt idx="258">
                  <c:v>3890.451449942811</c:v>
                </c:pt>
                <c:pt idx="259">
                  <c:v>3981.0717055349769</c:v>
                </c:pt>
                <c:pt idx="260">
                  <c:v>4073.8027780411317</c:v>
                </c:pt>
                <c:pt idx="261">
                  <c:v>4168.6938347033583</c:v>
                </c:pt>
                <c:pt idx="262">
                  <c:v>4265.7951880159299</c:v>
                </c:pt>
                <c:pt idx="263">
                  <c:v>4365.1583224016631</c:v>
                </c:pt>
                <c:pt idx="264">
                  <c:v>4466.8359215096343</c:v>
                </c:pt>
                <c:pt idx="265">
                  <c:v>4570.8818961487532</c:v>
                </c:pt>
                <c:pt idx="266">
                  <c:v>4677.3514128719844</c:v>
                </c:pt>
                <c:pt idx="267">
                  <c:v>4786.3009232263848</c:v>
                </c:pt>
                <c:pt idx="268">
                  <c:v>4897.7881936844633</c:v>
                </c:pt>
                <c:pt idx="269">
                  <c:v>5011.8723362727324</c:v>
                </c:pt>
                <c:pt idx="270">
                  <c:v>5128.6138399136489</c:v>
                </c:pt>
                <c:pt idx="271">
                  <c:v>5248.0746024977261</c:v>
                </c:pt>
                <c:pt idx="272">
                  <c:v>5370.3179637025269</c:v>
                </c:pt>
                <c:pt idx="273">
                  <c:v>5495.4087385762541</c:v>
                </c:pt>
                <c:pt idx="274">
                  <c:v>5623.4132519034993</c:v>
                </c:pt>
                <c:pt idx="275">
                  <c:v>5754.399373371567</c:v>
                </c:pt>
                <c:pt idx="276">
                  <c:v>5888.4365535558973</c:v>
                </c:pt>
                <c:pt idx="277">
                  <c:v>6025.595860743585</c:v>
                </c:pt>
                <c:pt idx="278">
                  <c:v>6165.9500186148289</c:v>
                </c:pt>
                <c:pt idx="279">
                  <c:v>6309.5734448019384</c:v>
                </c:pt>
                <c:pt idx="280">
                  <c:v>6456.5422903465615</c:v>
                </c:pt>
                <c:pt idx="281">
                  <c:v>6606.9344800759654</c:v>
                </c:pt>
                <c:pt idx="282">
                  <c:v>6760.8297539198229</c:v>
                </c:pt>
                <c:pt idx="283">
                  <c:v>6918.3097091893687</c:v>
                </c:pt>
                <c:pt idx="284">
                  <c:v>7079.4578438413828</c:v>
                </c:pt>
                <c:pt idx="285">
                  <c:v>7244.3596007499036</c:v>
                </c:pt>
                <c:pt idx="286">
                  <c:v>7413.1024130091773</c:v>
                </c:pt>
                <c:pt idx="287">
                  <c:v>7585.7757502918394</c:v>
                </c:pt>
                <c:pt idx="288">
                  <c:v>7762.4711662869322</c:v>
                </c:pt>
                <c:pt idx="289">
                  <c:v>7943.2823472428154</c:v>
                </c:pt>
                <c:pt idx="290">
                  <c:v>8128.3051616410066</c:v>
                </c:pt>
                <c:pt idx="291">
                  <c:v>8317.6377110267094</c:v>
                </c:pt>
                <c:pt idx="292">
                  <c:v>8511.3803820237772</c:v>
                </c:pt>
                <c:pt idx="293">
                  <c:v>8709.6358995608189</c:v>
                </c:pt>
                <c:pt idx="294">
                  <c:v>8912.5093813374679</c:v>
                </c:pt>
                <c:pt idx="295">
                  <c:v>9120.1083935591087</c:v>
                </c:pt>
                <c:pt idx="296">
                  <c:v>9332.5430079699217</c:v>
                </c:pt>
                <c:pt idx="297">
                  <c:v>9549.9258602143691</c:v>
                </c:pt>
                <c:pt idx="298">
                  <c:v>9772.3722095581161</c:v>
                </c:pt>
                <c:pt idx="299">
                  <c:v>10000</c:v>
                </c:pt>
                <c:pt idx="300">
                  <c:v>10232.929922807549</c:v>
                </c:pt>
                <c:pt idx="301">
                  <c:v>10471.285480509003</c:v>
                </c:pt>
                <c:pt idx="302">
                  <c:v>10715.193052376071</c:v>
                </c:pt>
                <c:pt idx="303">
                  <c:v>10964.781961431856</c:v>
                </c:pt>
                <c:pt idx="304">
                  <c:v>11220.184543019639</c:v>
                </c:pt>
                <c:pt idx="305">
                  <c:v>11481.536214968832</c:v>
                </c:pt>
                <c:pt idx="306">
                  <c:v>11748.975549395318</c:v>
                </c:pt>
                <c:pt idx="307">
                  <c:v>12022.644346174151</c:v>
                </c:pt>
                <c:pt idx="308">
                  <c:v>12302.687708123816</c:v>
                </c:pt>
                <c:pt idx="309">
                  <c:v>12589.254117941671</c:v>
                </c:pt>
                <c:pt idx="310">
                  <c:v>12882.49551693136</c:v>
                </c:pt>
                <c:pt idx="311">
                  <c:v>13182.567385564091</c:v>
                </c:pt>
                <c:pt idx="312">
                  <c:v>13489.628825916556</c:v>
                </c:pt>
                <c:pt idx="313">
                  <c:v>13803.842646028841</c:v>
                </c:pt>
                <c:pt idx="314">
                  <c:v>14125.375446227561</c:v>
                </c:pt>
                <c:pt idx="315">
                  <c:v>14454.397707459291</c:v>
                </c:pt>
                <c:pt idx="316">
                  <c:v>14791.083881682089</c:v>
                </c:pt>
                <c:pt idx="317">
                  <c:v>15135.612484362096</c:v>
                </c:pt>
                <c:pt idx="318">
                  <c:v>15488.166189124853</c:v>
                </c:pt>
                <c:pt idx="319">
                  <c:v>15848.931924611146</c:v>
                </c:pt>
                <c:pt idx="320">
                  <c:v>16218.100973589309</c:v>
                </c:pt>
                <c:pt idx="321">
                  <c:v>16595.869074375616</c:v>
                </c:pt>
                <c:pt idx="322">
                  <c:v>16982.436524617482</c:v>
                </c:pt>
                <c:pt idx="323">
                  <c:v>17378.008287493791</c:v>
                </c:pt>
                <c:pt idx="324">
                  <c:v>17782.794100389234</c:v>
                </c:pt>
                <c:pt idx="325">
                  <c:v>18197.008586099837</c:v>
                </c:pt>
                <c:pt idx="326">
                  <c:v>18620.871366628675</c:v>
                </c:pt>
                <c:pt idx="327">
                  <c:v>19054.607179632505</c:v>
                </c:pt>
                <c:pt idx="328">
                  <c:v>19498.445997580486</c:v>
                </c:pt>
                <c:pt idx="329">
                  <c:v>19952.623149688792</c:v>
                </c:pt>
                <c:pt idx="330">
                  <c:v>20417.379446695286</c:v>
                </c:pt>
                <c:pt idx="331">
                  <c:v>20892.961308540423</c:v>
                </c:pt>
                <c:pt idx="332">
                  <c:v>21379.620895022348</c:v>
                </c:pt>
                <c:pt idx="333">
                  <c:v>21877.61623949555</c:v>
                </c:pt>
                <c:pt idx="334">
                  <c:v>22387.211385683382</c:v>
                </c:pt>
                <c:pt idx="335">
                  <c:v>22908.676527677751</c:v>
                </c:pt>
                <c:pt idx="336">
                  <c:v>23442.288153199243</c:v>
                </c:pt>
                <c:pt idx="337">
                  <c:v>23988.329190194923</c:v>
                </c:pt>
                <c:pt idx="338">
                  <c:v>24547.089156850321</c:v>
                </c:pt>
                <c:pt idx="339">
                  <c:v>25118.86431509586</c:v>
                </c:pt>
                <c:pt idx="340">
                  <c:v>25703.95782768865</c:v>
                </c:pt>
                <c:pt idx="341">
                  <c:v>26302.679918953829</c:v>
                </c:pt>
                <c:pt idx="342">
                  <c:v>26915.348039269167</c:v>
                </c:pt>
                <c:pt idx="343">
                  <c:v>27542.287033381719</c:v>
                </c:pt>
                <c:pt idx="344">
                  <c:v>28183.829312644593</c:v>
                </c:pt>
                <c:pt idx="345">
                  <c:v>28840.315031266062</c:v>
                </c:pt>
                <c:pt idx="346">
                  <c:v>29512.092266663854</c:v>
                </c:pt>
                <c:pt idx="347">
                  <c:v>30199.517204020212</c:v>
                </c:pt>
                <c:pt idx="348">
                  <c:v>30902.954325135954</c:v>
                </c:pt>
                <c:pt idx="349">
                  <c:v>31622.77660168384</c:v>
                </c:pt>
                <c:pt idx="350">
                  <c:v>32359.365692962871</c:v>
                </c:pt>
                <c:pt idx="351">
                  <c:v>33113.11214825909</c:v>
                </c:pt>
                <c:pt idx="352">
                  <c:v>33884.41561392029</c:v>
                </c:pt>
                <c:pt idx="353">
                  <c:v>34673.685045253202</c:v>
                </c:pt>
                <c:pt idx="354">
                  <c:v>35481.33892335758</c:v>
                </c:pt>
                <c:pt idx="355">
                  <c:v>36307.805477010232</c:v>
                </c:pt>
                <c:pt idx="356">
                  <c:v>37153.522909717351</c:v>
                </c:pt>
                <c:pt idx="357">
                  <c:v>38018.939632056143</c:v>
                </c:pt>
                <c:pt idx="358">
                  <c:v>38904.514499428085</c:v>
                </c:pt>
                <c:pt idx="359">
                  <c:v>39810.717055349742</c:v>
                </c:pt>
                <c:pt idx="360">
                  <c:v>40738.027780411358</c:v>
                </c:pt>
                <c:pt idx="361">
                  <c:v>41686.938347033625</c:v>
                </c:pt>
                <c:pt idx="362">
                  <c:v>42657.951880159271</c:v>
                </c:pt>
                <c:pt idx="363">
                  <c:v>43651.583224016598</c:v>
                </c:pt>
                <c:pt idx="364">
                  <c:v>44668.359215096389</c:v>
                </c:pt>
                <c:pt idx="365">
                  <c:v>45708.818961487581</c:v>
                </c:pt>
                <c:pt idx="366">
                  <c:v>46773.514128719893</c:v>
                </c:pt>
                <c:pt idx="367">
                  <c:v>47863.009232263823</c:v>
                </c:pt>
                <c:pt idx="368">
                  <c:v>48977.881936844598</c:v>
                </c:pt>
                <c:pt idx="369">
                  <c:v>50118.723362727294</c:v>
                </c:pt>
                <c:pt idx="370">
                  <c:v>51286.138399136544</c:v>
                </c:pt>
                <c:pt idx="371">
                  <c:v>52480.746024977314</c:v>
                </c:pt>
                <c:pt idx="372">
                  <c:v>53703.179637025423</c:v>
                </c:pt>
                <c:pt idx="373">
                  <c:v>54954.087385762505</c:v>
                </c:pt>
                <c:pt idx="374">
                  <c:v>56234.132519034953</c:v>
                </c:pt>
                <c:pt idx="375">
                  <c:v>57543.993733715732</c:v>
                </c:pt>
                <c:pt idx="376">
                  <c:v>58884.365535558936</c:v>
                </c:pt>
                <c:pt idx="377">
                  <c:v>60255.95860743591</c:v>
                </c:pt>
                <c:pt idx="378">
                  <c:v>61659.500186148245</c:v>
                </c:pt>
                <c:pt idx="379">
                  <c:v>63095.734448019342</c:v>
                </c:pt>
                <c:pt idx="380">
                  <c:v>64565.422903465682</c:v>
                </c:pt>
                <c:pt idx="381">
                  <c:v>66069.344800759733</c:v>
                </c:pt>
                <c:pt idx="382">
                  <c:v>67608.297539198305</c:v>
                </c:pt>
                <c:pt idx="383">
                  <c:v>69183.097091893651</c:v>
                </c:pt>
                <c:pt idx="384">
                  <c:v>70794.578438413781</c:v>
                </c:pt>
                <c:pt idx="385">
                  <c:v>72443.596007499116</c:v>
                </c:pt>
                <c:pt idx="386">
                  <c:v>74131.024130091857</c:v>
                </c:pt>
                <c:pt idx="387">
                  <c:v>75857.757502918481</c:v>
                </c:pt>
                <c:pt idx="388">
                  <c:v>77624.711662869129</c:v>
                </c:pt>
                <c:pt idx="389">
                  <c:v>79432.823472428237</c:v>
                </c:pt>
                <c:pt idx="390">
                  <c:v>81283.051616410012</c:v>
                </c:pt>
                <c:pt idx="391">
                  <c:v>83176.377110267174</c:v>
                </c:pt>
                <c:pt idx="392">
                  <c:v>85113.803820237721</c:v>
                </c:pt>
                <c:pt idx="393">
                  <c:v>87096.358995608127</c:v>
                </c:pt>
                <c:pt idx="394">
                  <c:v>89125.093813374609</c:v>
                </c:pt>
                <c:pt idx="395">
                  <c:v>91201.083935591028</c:v>
                </c:pt>
                <c:pt idx="396">
                  <c:v>93325.430079699145</c:v>
                </c:pt>
                <c:pt idx="397">
                  <c:v>95499.258602143804</c:v>
                </c:pt>
                <c:pt idx="398">
                  <c:v>97723.722095581266</c:v>
                </c:pt>
                <c:pt idx="399">
                  <c:v>100000</c:v>
                </c:pt>
                <c:pt idx="400">
                  <c:v>102329.29922807543</c:v>
                </c:pt>
                <c:pt idx="401">
                  <c:v>104712.85480508996</c:v>
                </c:pt>
                <c:pt idx="402">
                  <c:v>107151.93052376082</c:v>
                </c:pt>
                <c:pt idx="403">
                  <c:v>109647.81961431868</c:v>
                </c:pt>
                <c:pt idx="404">
                  <c:v>112201.84543019651</c:v>
                </c:pt>
                <c:pt idx="405">
                  <c:v>114815.36214968823</c:v>
                </c:pt>
                <c:pt idx="406">
                  <c:v>117489.75549395311</c:v>
                </c:pt>
                <c:pt idx="407">
                  <c:v>120226.44346174144</c:v>
                </c:pt>
                <c:pt idx="408">
                  <c:v>123026.87708123829</c:v>
                </c:pt>
                <c:pt idx="409">
                  <c:v>125892.54117941685</c:v>
                </c:pt>
                <c:pt idx="410">
                  <c:v>128824.95516931375</c:v>
                </c:pt>
                <c:pt idx="411">
                  <c:v>131825.67385564081</c:v>
                </c:pt>
                <c:pt idx="412">
                  <c:v>134896.28825916545</c:v>
                </c:pt>
                <c:pt idx="413">
                  <c:v>138038.42646028858</c:v>
                </c:pt>
                <c:pt idx="414">
                  <c:v>141253.75446227577</c:v>
                </c:pt>
                <c:pt idx="415">
                  <c:v>144543.97707459307</c:v>
                </c:pt>
                <c:pt idx="416">
                  <c:v>147910.83881682079</c:v>
                </c:pt>
                <c:pt idx="417">
                  <c:v>151356.12484362084</c:v>
                </c:pt>
                <c:pt idx="418">
                  <c:v>154881.66189124843</c:v>
                </c:pt>
                <c:pt idx="419">
                  <c:v>158489.31924611164</c:v>
                </c:pt>
                <c:pt idx="420">
                  <c:v>162181.00973589328</c:v>
                </c:pt>
                <c:pt idx="421">
                  <c:v>165958.69074375604</c:v>
                </c:pt>
                <c:pt idx="422">
                  <c:v>169824.36524617471</c:v>
                </c:pt>
                <c:pt idx="423">
                  <c:v>173780.0828749378</c:v>
                </c:pt>
                <c:pt idx="424">
                  <c:v>177827.94100389251</c:v>
                </c:pt>
                <c:pt idx="425">
                  <c:v>181970.08586099857</c:v>
                </c:pt>
                <c:pt idx="426">
                  <c:v>186208.71366628664</c:v>
                </c:pt>
                <c:pt idx="427">
                  <c:v>190546.07179632492</c:v>
                </c:pt>
                <c:pt idx="428">
                  <c:v>194984.45997580473</c:v>
                </c:pt>
                <c:pt idx="429">
                  <c:v>199526.23149688813</c:v>
                </c:pt>
                <c:pt idx="430">
                  <c:v>204173.79446695308</c:v>
                </c:pt>
                <c:pt idx="431">
                  <c:v>208929.61308540447</c:v>
                </c:pt>
                <c:pt idx="432">
                  <c:v>213796.20895022334</c:v>
                </c:pt>
                <c:pt idx="433">
                  <c:v>218776.16239495538</c:v>
                </c:pt>
                <c:pt idx="434">
                  <c:v>223872.11385683404</c:v>
                </c:pt>
                <c:pt idx="435">
                  <c:v>229086.76527677779</c:v>
                </c:pt>
                <c:pt idx="436">
                  <c:v>234422.88153199267</c:v>
                </c:pt>
                <c:pt idx="437">
                  <c:v>239883.29190194907</c:v>
                </c:pt>
                <c:pt idx="438">
                  <c:v>245470.89156850305</c:v>
                </c:pt>
                <c:pt idx="439">
                  <c:v>251188.64315095844</c:v>
                </c:pt>
                <c:pt idx="440">
                  <c:v>257039.57827688678</c:v>
                </c:pt>
                <c:pt idx="441">
                  <c:v>263026.79918953858</c:v>
                </c:pt>
                <c:pt idx="442">
                  <c:v>269153.48039269145</c:v>
                </c:pt>
                <c:pt idx="443">
                  <c:v>275422.87033381703</c:v>
                </c:pt>
                <c:pt idx="444">
                  <c:v>281838.29312644573</c:v>
                </c:pt>
                <c:pt idx="445">
                  <c:v>288403.1503126609</c:v>
                </c:pt>
                <c:pt idx="446">
                  <c:v>295120.92266663886</c:v>
                </c:pt>
                <c:pt idx="447">
                  <c:v>301995.17204020242</c:v>
                </c:pt>
                <c:pt idx="448">
                  <c:v>309029.54325135931</c:v>
                </c:pt>
                <c:pt idx="449">
                  <c:v>316227.7660168382</c:v>
                </c:pt>
                <c:pt idx="450">
                  <c:v>323593.65692962846</c:v>
                </c:pt>
                <c:pt idx="451">
                  <c:v>331131.12148259126</c:v>
                </c:pt>
                <c:pt idx="452">
                  <c:v>338844.15613920329</c:v>
                </c:pt>
                <c:pt idx="453">
                  <c:v>346736.85045253241</c:v>
                </c:pt>
                <c:pt idx="454">
                  <c:v>354813.38923357555</c:v>
                </c:pt>
                <c:pt idx="455">
                  <c:v>363078.05477010203</c:v>
                </c:pt>
                <c:pt idx="456">
                  <c:v>371535.2290971732</c:v>
                </c:pt>
                <c:pt idx="457">
                  <c:v>380189.39632056188</c:v>
                </c:pt>
                <c:pt idx="458">
                  <c:v>389045.14499428123</c:v>
                </c:pt>
                <c:pt idx="459">
                  <c:v>398107.17055349716</c:v>
                </c:pt>
                <c:pt idx="460">
                  <c:v>407380.27780411334</c:v>
                </c:pt>
                <c:pt idx="461">
                  <c:v>416869.38347033598</c:v>
                </c:pt>
                <c:pt idx="462">
                  <c:v>426579.51880159322</c:v>
                </c:pt>
                <c:pt idx="463">
                  <c:v>436515.83224016649</c:v>
                </c:pt>
                <c:pt idx="464">
                  <c:v>446683.59215096442</c:v>
                </c:pt>
                <c:pt idx="465">
                  <c:v>457088.18961487547</c:v>
                </c:pt>
                <c:pt idx="466">
                  <c:v>467735.14128719864</c:v>
                </c:pt>
                <c:pt idx="467">
                  <c:v>478630.09232263872</c:v>
                </c:pt>
                <c:pt idx="468">
                  <c:v>489778.81936844654</c:v>
                </c:pt>
                <c:pt idx="469">
                  <c:v>501187.23362727347</c:v>
                </c:pt>
                <c:pt idx="470">
                  <c:v>512861.38399136515</c:v>
                </c:pt>
                <c:pt idx="471">
                  <c:v>524807.46024977288</c:v>
                </c:pt>
                <c:pt idx="472">
                  <c:v>537031.7963702539</c:v>
                </c:pt>
                <c:pt idx="473">
                  <c:v>549540.87385762564</c:v>
                </c:pt>
                <c:pt idx="474">
                  <c:v>562341.32519035018</c:v>
                </c:pt>
                <c:pt idx="475">
                  <c:v>575439.93733715697</c:v>
                </c:pt>
                <c:pt idx="476">
                  <c:v>588843.65535558888</c:v>
                </c:pt>
                <c:pt idx="477">
                  <c:v>602559.58607435878</c:v>
                </c:pt>
                <c:pt idx="478">
                  <c:v>616595.00186148309</c:v>
                </c:pt>
                <c:pt idx="479">
                  <c:v>630957.34448019415</c:v>
                </c:pt>
                <c:pt idx="480">
                  <c:v>645654.22903465747</c:v>
                </c:pt>
                <c:pt idx="481">
                  <c:v>660693.44800759677</c:v>
                </c:pt>
                <c:pt idx="482">
                  <c:v>676082.97539198259</c:v>
                </c:pt>
                <c:pt idx="483">
                  <c:v>691830.97091893724</c:v>
                </c:pt>
                <c:pt idx="484">
                  <c:v>707945.78438413853</c:v>
                </c:pt>
                <c:pt idx="485">
                  <c:v>724435.96007499192</c:v>
                </c:pt>
                <c:pt idx="486">
                  <c:v>741310.24130091805</c:v>
                </c:pt>
                <c:pt idx="487">
                  <c:v>758577.57502918423</c:v>
                </c:pt>
                <c:pt idx="488">
                  <c:v>776247.11662869214</c:v>
                </c:pt>
                <c:pt idx="489">
                  <c:v>794328.23472428333</c:v>
                </c:pt>
                <c:pt idx="490">
                  <c:v>812830.51616410096</c:v>
                </c:pt>
                <c:pt idx="491">
                  <c:v>831763.77110267128</c:v>
                </c:pt>
                <c:pt idx="492">
                  <c:v>851138.03820237669</c:v>
                </c:pt>
                <c:pt idx="493">
                  <c:v>870963.58995608077</c:v>
                </c:pt>
                <c:pt idx="494">
                  <c:v>891250.93813374708</c:v>
                </c:pt>
                <c:pt idx="495">
                  <c:v>912010.83935591124</c:v>
                </c:pt>
                <c:pt idx="496">
                  <c:v>933254.30079699249</c:v>
                </c:pt>
                <c:pt idx="497">
                  <c:v>954992.58602143743</c:v>
                </c:pt>
                <c:pt idx="498">
                  <c:v>977237.22095581202</c:v>
                </c:pt>
                <c:pt idx="499">
                  <c:v>1000000</c:v>
                </c:pt>
                <c:pt idx="500">
                  <c:v>1023292.9922807553</c:v>
                </c:pt>
                <c:pt idx="501">
                  <c:v>1047128.5480509007</c:v>
                </c:pt>
                <c:pt idx="502">
                  <c:v>1071519.3052376076</c:v>
                </c:pt>
                <c:pt idx="503">
                  <c:v>1096478.196143186</c:v>
                </c:pt>
                <c:pt idx="504">
                  <c:v>1122018.4543019643</c:v>
                </c:pt>
                <c:pt idx="505">
                  <c:v>1148153.6214968837</c:v>
                </c:pt>
                <c:pt idx="506">
                  <c:v>1174897.5549395324</c:v>
                </c:pt>
                <c:pt idx="507">
                  <c:v>1202264.4346174158</c:v>
                </c:pt>
                <c:pt idx="508">
                  <c:v>1230268.770812382</c:v>
                </c:pt>
                <c:pt idx="509">
                  <c:v>1258925.4117941677</c:v>
                </c:pt>
                <c:pt idx="510">
                  <c:v>1288249.5516931366</c:v>
                </c:pt>
                <c:pt idx="511">
                  <c:v>1318256.7385564097</c:v>
                </c:pt>
                <c:pt idx="512">
                  <c:v>1348962.8825916562</c:v>
                </c:pt>
                <c:pt idx="513">
                  <c:v>1380384.2646028849</c:v>
                </c:pt>
                <c:pt idx="514">
                  <c:v>1412537.5446227565</c:v>
                </c:pt>
                <c:pt idx="515">
                  <c:v>1445439.7707459298</c:v>
                </c:pt>
                <c:pt idx="516">
                  <c:v>1479108.3881682095</c:v>
                </c:pt>
                <c:pt idx="517">
                  <c:v>1513561.2484362102</c:v>
                </c:pt>
                <c:pt idx="518">
                  <c:v>1548816.6189124861</c:v>
                </c:pt>
                <c:pt idx="519">
                  <c:v>1584893.1924611153</c:v>
                </c:pt>
                <c:pt idx="520">
                  <c:v>1621810.0973589318</c:v>
                </c:pt>
                <c:pt idx="521">
                  <c:v>1659586.9074375622</c:v>
                </c:pt>
                <c:pt idx="522">
                  <c:v>1698243.6524617488</c:v>
                </c:pt>
                <c:pt idx="523">
                  <c:v>1737800.8287493798</c:v>
                </c:pt>
                <c:pt idx="524">
                  <c:v>1778279.4100389241</c:v>
                </c:pt>
                <c:pt idx="525">
                  <c:v>1819700.8586099846</c:v>
                </c:pt>
                <c:pt idx="526">
                  <c:v>1862087.1366628683</c:v>
                </c:pt>
                <c:pt idx="527">
                  <c:v>1905460.7179632513</c:v>
                </c:pt>
                <c:pt idx="528">
                  <c:v>1949844.5997580495</c:v>
                </c:pt>
                <c:pt idx="529">
                  <c:v>1995262.31496888</c:v>
                </c:pt>
                <c:pt idx="530">
                  <c:v>2041737.9446695296</c:v>
                </c:pt>
                <c:pt idx="531">
                  <c:v>2089296.1308540432</c:v>
                </c:pt>
                <c:pt idx="532">
                  <c:v>2137962.0895022359</c:v>
                </c:pt>
                <c:pt idx="533">
                  <c:v>2187761.6239495561</c:v>
                </c:pt>
                <c:pt idx="534">
                  <c:v>2238721.1385683389</c:v>
                </c:pt>
                <c:pt idx="535">
                  <c:v>2290867.6527677765</c:v>
                </c:pt>
                <c:pt idx="536">
                  <c:v>2344228.8153199251</c:v>
                </c:pt>
                <c:pt idx="537">
                  <c:v>2398832.9190194933</c:v>
                </c:pt>
                <c:pt idx="538">
                  <c:v>2454708.915685033</c:v>
                </c:pt>
                <c:pt idx="539">
                  <c:v>2511886.431509587</c:v>
                </c:pt>
                <c:pt idx="540">
                  <c:v>2570395.782768866</c:v>
                </c:pt>
                <c:pt idx="541">
                  <c:v>2630267.9918953842</c:v>
                </c:pt>
              </c:numCache>
            </c:numRef>
          </c:xVal>
          <c:yVal>
            <c:numRef>
              <c:f>Loop_Modeling!$AD$19:$AD$560</c:f>
              <c:numCache>
                <c:formatCode>0.000</c:formatCode>
                <c:ptCount val="542"/>
                <c:pt idx="0">
                  <c:v>25.620762209540459</c:v>
                </c:pt>
                <c:pt idx="1">
                  <c:v>25.62071960667279</c:v>
                </c:pt>
                <c:pt idx="2">
                  <c:v>25.620674996442091</c:v>
                </c:pt>
                <c:pt idx="3">
                  <c:v>25.620628284287342</c:v>
                </c:pt>
                <c:pt idx="4">
                  <c:v>25.620579371195475</c:v>
                </c:pt>
                <c:pt idx="5">
                  <c:v>25.620528153491403</c:v>
                </c:pt>
                <c:pt idx="6">
                  <c:v>25.620474522619098</c:v>
                </c:pt>
                <c:pt idx="7">
                  <c:v>25.620418364911956</c:v>
                </c:pt>
                <c:pt idx="8">
                  <c:v>25.62035956135238</c:v>
                </c:pt>
                <c:pt idx="9">
                  <c:v>25.620297987320335</c:v>
                </c:pt>
                <c:pt idx="10">
                  <c:v>25.620233512329889</c:v>
                </c:pt>
                <c:pt idx="11">
                  <c:v>25.620165999753279</c:v>
                </c:pt>
                <c:pt idx="12">
                  <c:v>25.620095306532498</c:v>
                </c:pt>
                <c:pt idx="13">
                  <c:v>25.620021282876952</c:v>
                </c:pt>
                <c:pt idx="14">
                  <c:v>25.619943771947217</c:v>
                </c:pt>
                <c:pt idx="15">
                  <c:v>25.619862609523501</c:v>
                </c:pt>
                <c:pt idx="16">
                  <c:v>25.619777623659296</c:v>
                </c:pt>
                <c:pt idx="17">
                  <c:v>25.619688634318322</c:v>
                </c:pt>
                <c:pt idx="18">
                  <c:v>25.619595452994499</c:v>
                </c:pt>
                <c:pt idx="19">
                  <c:v>25.619497882314306</c:v>
                </c:pt>
                <c:pt idx="20">
                  <c:v>25.619395715620609</c:v>
                </c:pt>
                <c:pt idx="21">
                  <c:v>25.619288736536518</c:v>
                </c:pt>
                <c:pt idx="22">
                  <c:v>25.619176718509689</c:v>
                </c:pt>
                <c:pt idx="23">
                  <c:v>25.619059424334591</c:v>
                </c:pt>
                <c:pt idx="24">
                  <c:v>25.618936605652717</c:v>
                </c:pt>
                <c:pt idx="25">
                  <c:v>25.61880800242966</c:v>
                </c:pt>
                <c:pt idx="26">
                  <c:v>25.618673342407618</c:v>
                </c:pt>
                <c:pt idx="27">
                  <c:v>25.618532340532081</c:v>
                </c:pt>
                <c:pt idx="28">
                  <c:v>25.618384698352486</c:v>
                </c:pt>
                <c:pt idx="29">
                  <c:v>25.618230103394176</c:v>
                </c:pt>
                <c:pt idx="30">
                  <c:v>25.61806822850178</c:v>
                </c:pt>
                <c:pt idx="31">
                  <c:v>25.617898731151428</c:v>
                </c:pt>
                <c:pt idx="32">
                  <c:v>25.617721252731485</c:v>
                </c:pt>
                <c:pt idx="33">
                  <c:v>25.61753541778959</c:v>
                </c:pt>
                <c:pt idx="34">
                  <c:v>25.617340833244597</c:v>
                </c:pt>
                <c:pt idx="35">
                  <c:v>25.617137087562398</c:v>
                </c:pt>
                <c:pt idx="36">
                  <c:v>25.616923749893004</c:v>
                </c:pt>
                <c:pt idx="37">
                  <c:v>25.616700369167908</c:v>
                </c:pt>
                <c:pt idx="38">
                  <c:v>25.616466473155455</c:v>
                </c:pt>
                <c:pt idx="39">
                  <c:v>25.616221567472731</c:v>
                </c:pt>
                <c:pt idx="40">
                  <c:v>25.615965134551718</c:v>
                </c:pt>
                <c:pt idx="41">
                  <c:v>25.615696632557366</c:v>
                </c:pt>
                <c:pt idx="42">
                  <c:v>25.615415494256201</c:v>
                </c:pt>
                <c:pt idx="43">
                  <c:v>25.615121125832388</c:v>
                </c:pt>
                <c:pt idx="44">
                  <c:v>25.614812905649643</c:v>
                </c:pt>
                <c:pt idx="45">
                  <c:v>25.614490182955635</c:v>
                </c:pt>
                <c:pt idx="46">
                  <c:v>25.614152276527513</c:v>
                </c:pt>
                <c:pt idx="47">
                  <c:v>25.613798473254775</c:v>
                </c:pt>
                <c:pt idx="48">
                  <c:v>25.613428026657282</c:v>
                </c:pt>
                <c:pt idx="49">
                  <c:v>25.613040155335696</c:v>
                </c:pt>
                <c:pt idx="50">
                  <c:v>25.612634041350706</c:v>
                </c:pt>
                <c:pt idx="51">
                  <c:v>25.612208828528452</c:v>
                </c:pt>
                <c:pt idx="52">
                  <c:v>25.611763620688798</c:v>
                </c:pt>
                <c:pt idx="53">
                  <c:v>25.611297479792938</c:v>
                </c:pt>
                <c:pt idx="54">
                  <c:v>25.610809424006717</c:v>
                </c:pt>
                <c:pt idx="55">
                  <c:v>25.610298425676344</c:v>
                </c:pt>
                <c:pt idx="56">
                  <c:v>25.609763409212118</c:v>
                </c:pt>
                <c:pt idx="57">
                  <c:v>25.609203248877606</c:v>
                </c:pt>
                <c:pt idx="58">
                  <c:v>25.608616766477464</c:v>
                </c:pt>
                <c:pt idx="59">
                  <c:v>25.608002728942935</c:v>
                </c:pt>
                <c:pt idx="60">
                  <c:v>25.607359845808105</c:v>
                </c:pt>
                <c:pt idx="61">
                  <c:v>25.606686766573269</c:v>
                </c:pt>
                <c:pt idx="62">
                  <c:v>25.605982077950756</c:v>
                </c:pt>
                <c:pt idx="63">
                  <c:v>25.605244300988371</c:v>
                </c:pt>
                <c:pt idx="64">
                  <c:v>25.60447188806414</c:v>
                </c:pt>
                <c:pt idx="65">
                  <c:v>25.603663219749336</c:v>
                </c:pt>
                <c:pt idx="66">
                  <c:v>25.602816601531913</c:v>
                </c:pt>
                <c:pt idx="67">
                  <c:v>25.601930260396479</c:v>
                </c:pt>
                <c:pt idx="68">
                  <c:v>25.601002341253917</c:v>
                </c:pt>
                <c:pt idx="69">
                  <c:v>25.600030903215472</c:v>
                </c:pt>
                <c:pt idx="70">
                  <c:v>25.599013915704312</c:v>
                </c:pt>
                <c:pt idx="71">
                  <c:v>25.597949254398848</c:v>
                </c:pt>
                <c:pt idx="72">
                  <c:v>25.596834697000634</c:v>
                </c:pt>
                <c:pt idx="73">
                  <c:v>25.59566791882105</c:v>
                </c:pt>
                <c:pt idx="74">
                  <c:v>25.594446488178555</c:v>
                </c:pt>
                <c:pt idx="75">
                  <c:v>25.593167861600694</c:v>
                </c:pt>
                <c:pt idx="76">
                  <c:v>25.591829378822666</c:v>
                </c:pt>
                <c:pt idx="77">
                  <c:v>25.590428257575738</c:v>
                </c:pt>
                <c:pt idx="78">
                  <c:v>25.588961588157048</c:v>
                </c:pt>
                <c:pt idx="79">
                  <c:v>25.587426327774303</c:v>
                </c:pt>
                <c:pt idx="80">
                  <c:v>25.585819294656492</c:v>
                </c:pt>
                <c:pt idx="81">
                  <c:v>25.584137161922811</c:v>
                </c:pt>
                <c:pt idx="82">
                  <c:v>25.582376451202698</c:v>
                </c:pt>
                <c:pt idx="83">
                  <c:v>25.580533525996945</c:v>
                </c:pt>
                <c:pt idx="84">
                  <c:v>25.578604584774133</c:v>
                </c:pt>
                <c:pt idx="85">
                  <c:v>25.576585653791728</c:v>
                </c:pt>
                <c:pt idx="86">
                  <c:v>25.574472579635611</c:v>
                </c:pt>
                <c:pt idx="87">
                  <c:v>25.572261021468567</c:v>
                </c:pt>
                <c:pt idx="88">
                  <c:v>25.569946442980015</c:v>
                </c:pt>
                <c:pt idx="89">
                  <c:v>25.567524104028895</c:v>
                </c:pt>
                <c:pt idx="90">
                  <c:v>25.564989051972503</c:v>
                </c:pt>
                <c:pt idx="91">
                  <c:v>25.562336112672163</c:v>
                </c:pt>
                <c:pt idx="92">
                  <c:v>25.559559881169612</c:v>
                </c:pt>
                <c:pt idx="93">
                  <c:v>25.556654712026766</c:v>
                </c:pt>
                <c:pt idx="94">
                  <c:v>25.553614709321625</c:v>
                </c:pt>
                <c:pt idx="95">
                  <c:v>25.550433716294823</c:v>
                </c:pt>
                <c:pt idx="96">
                  <c:v>25.547105304640287</c:v>
                </c:pt>
                <c:pt idx="97">
                  <c:v>25.543622763436421</c:v>
                </c:pt>
                <c:pt idx="98">
                  <c:v>25.539979087711679</c:v>
                </c:pt>
                <c:pt idx="99">
                  <c:v>25.536166966642991</c:v>
                </c:pt>
                <c:pt idx="100">
                  <c:v>25.53217877138276</c:v>
                </c:pt>
                <c:pt idx="101">
                  <c:v>25.528006542515371</c:v>
                </c:pt>
                <c:pt idx="102">
                  <c:v>25.523641977140304</c:v>
                </c:pt>
                <c:pt idx="103">
                  <c:v>25.519076415586078</c:v>
                </c:pt>
                <c:pt idx="104">
                  <c:v>25.514300827755726</c:v>
                </c:pt>
                <c:pt idx="105">
                  <c:v>25.509305799109455</c:v>
                </c:pt>
                <c:pt idx="106">
                  <c:v>25.504081516291155</c:v>
                </c:pt>
                <c:pt idx="107">
                  <c:v>25.498617752406485</c:v>
                </c:pt>
                <c:pt idx="108">
                  <c:v>25.49290385196479</c:v>
                </c:pt>
                <c:pt idx="109">
                  <c:v>25.486928715497534</c:v>
                </c:pt>
                <c:pt idx="110">
                  <c:v>25.48068078387001</c:v>
                </c:pt>
                <c:pt idx="111">
                  <c:v>25.47414802230594</c:v>
                </c:pt>
                <c:pt idx="112">
                  <c:v>25.467317904147272</c:v>
                </c:pt>
                <c:pt idx="113">
                  <c:v>25.460177394376387</c:v>
                </c:pt>
                <c:pt idx="114">
                  <c:v>25.452712932930204</c:v>
                </c:pt>
                <c:pt idx="115">
                  <c:v>25.444910417841452</c:v>
                </c:pt>
                <c:pt idx="116">
                  <c:v>25.436755188245897</c:v>
                </c:pt>
                <c:pt idx="117">
                  <c:v>25.428232007299492</c:v>
                </c:pt>
                <c:pt idx="118">
                  <c:v>25.419325045054858</c:v>
                </c:pt>
                <c:pt idx="119">
                  <c:v>25.410017861351445</c:v>
                </c:pt>
                <c:pt idx="120">
                  <c:v>25.400293388780256</c:v>
                </c:pt>
                <c:pt idx="121">
                  <c:v>25.390133915789832</c:v>
                </c:pt>
                <c:pt idx="122">
                  <c:v>25.379521070007161</c:v>
                </c:pt>
                <c:pt idx="123">
                  <c:v>25.368435801852627</c:v>
                </c:pt>
                <c:pt idx="124">
                  <c:v>25.35685836853866</c:v>
                </c:pt>
                <c:pt idx="125">
                  <c:v>25.344768318543963</c:v>
                </c:pt>
                <c:pt idx="126">
                  <c:v>25.332144476669122</c:v>
                </c:pt>
                <c:pt idx="127">
                  <c:v>25.31896492978192</c:v>
                </c:pt>
                <c:pt idx="128">
                  <c:v>25.305207013372257</c:v>
                </c:pt>
                <c:pt idx="129">
                  <c:v>25.290847299043961</c:v>
                </c:pt>
                <c:pt idx="130">
                  <c:v>25.275861583078697</c:v>
                </c:pt>
                <c:pt idx="131">
                  <c:v>25.260224876216022</c:v>
                </c:pt>
                <c:pt idx="132">
                  <c:v>25.243911394802613</c:v>
                </c:pt>
                <c:pt idx="133">
                  <c:v>25.226894553470508</c:v>
                </c:pt>
                <c:pt idx="134">
                  <c:v>25.209146959514111</c:v>
                </c:pt>
                <c:pt idx="135">
                  <c:v>25.190640409141047</c:v>
                </c:pt>
                <c:pt idx="136">
                  <c:v>25.171345885781406</c:v>
                </c:pt>
                <c:pt idx="137">
                  <c:v>25.151233560644407</c:v>
                </c:pt>
                <c:pt idx="138">
                  <c:v>25.130272795718781</c:v>
                </c:pt>
                <c:pt idx="139">
                  <c:v>25.108432149417069</c:v>
                </c:pt>
                <c:pt idx="140">
                  <c:v>25.085679385067017</c:v>
                </c:pt>
                <c:pt idx="141">
                  <c:v>25.06198148245786</c:v>
                </c:pt>
                <c:pt idx="142">
                  <c:v>25.03730465264665</c:v>
                </c:pt>
                <c:pt idx="143">
                  <c:v>25.011614356232418</c:v>
                </c:pt>
                <c:pt idx="144">
                  <c:v>24.984875325299548</c:v>
                </c:pt>
                <c:pt idx="145">
                  <c:v>24.957051589229916</c:v>
                </c:pt>
                <c:pt idx="146">
                  <c:v>24.928106504572902</c:v>
                </c:pt>
                <c:pt idx="147">
                  <c:v>24.898002789154958</c:v>
                </c:pt>
                <c:pt idx="148">
                  <c:v>24.866702560595826</c:v>
                </c:pt>
                <c:pt idx="149">
                  <c:v>24.834167379382784</c:v>
                </c:pt>
                <c:pt idx="150">
                  <c:v>24.800358296637626</c:v>
                </c:pt>
                <c:pt idx="151">
                  <c:v>24.765235906685355</c:v>
                </c:pt>
                <c:pt idx="152">
                  <c:v>24.728760404510936</c:v>
                </c:pt>
                <c:pt idx="153">
                  <c:v>24.690891648160573</c:v>
                </c:pt>
                <c:pt idx="154">
                  <c:v>24.65158922611149</c:v>
                </c:pt>
                <c:pt idx="155">
                  <c:v>24.610812529598274</c:v>
                </c:pt>
                <c:pt idx="156">
                  <c:v>24.568520829845987</c:v>
                </c:pt>
                <c:pt idx="157">
                  <c:v>24.524673360115834</c:v>
                </c:pt>
                <c:pt idx="158">
                  <c:v>24.479229402427322</c:v>
                </c:pt>
                <c:pt idx="159">
                  <c:v>24.432148378770322</c:v>
                </c:pt>
                <c:pt idx="160">
                  <c:v>24.383389946571835</c:v>
                </c:pt>
                <c:pt idx="161">
                  <c:v>24.332914098132086</c:v>
                </c:pt>
                <c:pt idx="162">
                  <c:v>24.280681263689416</c:v>
                </c:pt>
                <c:pt idx="163">
                  <c:v>24.226652417722974</c:v>
                </c:pt>
                <c:pt idx="164">
                  <c:v>24.170789188047266</c:v>
                </c:pt>
                <c:pt idx="165">
                  <c:v>24.113053967202841</c:v>
                </c:pt>
                <c:pt idx="166">
                  <c:v>24.053410025595024</c:v>
                </c:pt>
                <c:pt idx="167">
                  <c:v>23.991821625787743</c:v>
                </c:pt>
                <c:pt idx="168">
                  <c:v>23.92825413731353</c:v>
                </c:pt>
                <c:pt idx="169">
                  <c:v>23.862674151323692</c:v>
                </c:pt>
                <c:pt idx="170">
                  <c:v>23.795049594366112</c:v>
                </c:pt>
                <c:pt idx="171">
                  <c:v>23.725349840553896</c:v>
                </c:pt>
                <c:pt idx="172">
                  <c:v>23.653545821364727</c:v>
                </c:pt>
                <c:pt idx="173">
                  <c:v>23.579610132298889</c:v>
                </c:pt>
                <c:pt idx="174">
                  <c:v>23.503517135621284</c:v>
                </c:pt>
                <c:pt idx="175">
                  <c:v>23.425243058414573</c:v>
                </c:pt>
                <c:pt idx="176">
                  <c:v>23.344766085187523</c:v>
                </c:pt>
                <c:pt idx="177">
                  <c:v>23.262066444303876</c:v>
                </c:pt>
                <c:pt idx="178">
                  <c:v>23.177126487532075</c:v>
                </c:pt>
                <c:pt idx="179">
                  <c:v>23.089930762057648</c:v>
                </c:pt>
                <c:pt idx="180">
                  <c:v>23.000466074352019</c:v>
                </c:pt>
                <c:pt idx="181">
                  <c:v>22.908721545352929</c:v>
                </c:pt>
                <c:pt idx="182">
                  <c:v>22.814688656478303</c:v>
                </c:pt>
                <c:pt idx="183">
                  <c:v>22.718361286072373</c:v>
                </c:pt>
                <c:pt idx="184">
                  <c:v>22.619735735963037</c:v>
                </c:pt>
                <c:pt idx="185">
                  <c:v>22.51881074789641</c:v>
                </c:pt>
                <c:pt idx="186">
                  <c:v>22.415587509704508</c:v>
                </c:pt>
                <c:pt idx="187">
                  <c:v>22.310069651152851</c:v>
                </c:pt>
                <c:pt idx="188">
                  <c:v>22.202263229509526</c:v>
                </c:pt>
                <c:pt idx="189">
                  <c:v>22.09217670496832</c:v>
                </c:pt>
                <c:pt idx="190">
                  <c:v>21.979820906148081</c:v>
                </c:pt>
                <c:pt idx="191">
                  <c:v>21.865208985979638</c:v>
                </c:pt>
                <c:pt idx="192">
                  <c:v>21.748356368371311</c:v>
                </c:pt>
                <c:pt idx="193">
                  <c:v>21.629280686122048</c:v>
                </c:pt>
                <c:pt idx="194">
                  <c:v>21.508001710619165</c:v>
                </c:pt>
                <c:pt idx="195">
                  <c:v>21.384541273921176</c:v>
                </c:pt>
                <c:pt idx="196">
                  <c:v>21.258923183876789</c:v>
                </c:pt>
                <c:pt idx="197">
                  <c:v>21.131173132977636</c:v>
                </c:pt>
                <c:pt idx="198">
                  <c:v>21.001318601674825</c:v>
                </c:pt>
                <c:pt idx="199">
                  <c:v>20.869388756915129</c:v>
                </c:pt>
                <c:pt idx="200">
                  <c:v>20.735414346669252</c:v>
                </c:pt>
                <c:pt idx="201">
                  <c:v>20.599427591228071</c:v>
                </c:pt>
                <c:pt idx="202">
                  <c:v>20.461462072042025</c:v>
                </c:pt>
                <c:pt idx="203">
                  <c:v>20.321552618865994</c:v>
                </c:pt>
                <c:pt idx="204">
                  <c:v>20.179735195954063</c:v>
                </c:pt>
                <c:pt idx="205">
                  <c:v>20.036046788019156</c:v>
                </c:pt>
                <c:pt idx="206">
                  <c:v>19.890525286643527</c:v>
                </c:pt>
                <c:pt idx="207">
                  <c:v>19.743209377783582</c:v>
                </c:pt>
                <c:pt idx="208">
                  <c:v>19.59413843097277</c:v>
                </c:pt>
                <c:pt idx="209">
                  <c:v>19.443352390776891</c:v>
                </c:pt>
                <c:pt idx="210">
                  <c:v>19.290891671007721</c:v>
                </c:pt>
                <c:pt idx="211">
                  <c:v>19.136797052150342</c:v>
                </c:pt>
                <c:pt idx="212">
                  <c:v>18.981109582404059</c:v>
                </c:pt>
                <c:pt idx="213">
                  <c:v>18.82387048268621</c:v>
                </c:pt>
                <c:pt idx="214">
                  <c:v>18.665121055895554</c:v>
                </c:pt>
                <c:pt idx="215">
                  <c:v>18.504902600678285</c:v>
                </c:pt>
                <c:pt idx="216">
                  <c:v>18.343256329892036</c:v>
                </c:pt>
                <c:pt idx="217">
                  <c:v>18.180223293914487</c:v>
                </c:pt>
                <c:pt idx="218">
                  <c:v>18.015844308898025</c:v>
                </c:pt>
                <c:pt idx="219">
                  <c:v>17.850159890028628</c:v>
                </c:pt>
                <c:pt idx="220">
                  <c:v>17.683210189809444</c:v>
                </c:pt>
                <c:pt idx="221">
                  <c:v>17.51503494135234</c:v>
                </c:pt>
                <c:pt idx="222">
                  <c:v>17.345673406627377</c:v>
                </c:pt>
                <c:pt idx="223">
                  <c:v>17.175164329592764</c:v>
                </c:pt>
                <c:pt idx="224">
                  <c:v>17.003545894100085</c:v>
                </c:pt>
                <c:pt idx="225">
                  <c:v>16.830855686447997</c:v>
                </c:pt>
                <c:pt idx="226">
                  <c:v>16.657130662438441</c:v>
                </c:pt>
                <c:pt idx="227">
                  <c:v>16.48240711877359</c:v>
                </c:pt>
                <c:pt idx="228">
                  <c:v>16.306720668617476</c:v>
                </c:pt>
                <c:pt idx="229">
                  <c:v>16.130106221136643</c:v>
                </c:pt>
                <c:pt idx="230">
                  <c:v>15.952597964828147</c:v>
                </c:pt>
                <c:pt idx="231">
                  <c:v>15.774229354434578</c:v>
                </c:pt>
                <c:pt idx="232">
                  <c:v>15.595033101245736</c:v>
                </c:pt>
                <c:pt idx="233">
                  <c:v>15.415041166584096</c:v>
                </c:pt>
                <c:pt idx="234">
                  <c:v>15.234284758271965</c:v>
                </c:pt>
                <c:pt idx="235">
                  <c:v>15.052794329881085</c:v>
                </c:pt>
                <c:pt idx="236">
                  <c:v>14.870599582568131</c:v>
                </c:pt>
                <c:pt idx="237">
                  <c:v>14.687729469305379</c:v>
                </c:pt>
                <c:pt idx="238">
                  <c:v>14.504212201320662</c:v>
                </c:pt>
                <c:pt idx="239">
                  <c:v>14.320075256567495</c:v>
                </c:pt>
                <c:pt idx="240">
                  <c:v>14.135345390054571</c:v>
                </c:pt>
                <c:pt idx="241">
                  <c:v>13.950048645869362</c:v>
                </c:pt>
                <c:pt idx="242">
                  <c:v>13.764210370741594</c:v>
                </c:pt>
                <c:pt idx="243">
                  <c:v>13.577855228997587</c:v>
                </c:pt>
                <c:pt idx="244">
                  <c:v>13.391007218768188</c:v>
                </c:pt>
                <c:pt idx="245">
                  <c:v>13.20368968931929</c:v>
                </c:pt>
                <c:pt idx="246">
                  <c:v>13.015925359383672</c:v>
                </c:pt>
                <c:pt idx="247">
                  <c:v>12.827736336381237</c:v>
                </c:pt>
                <c:pt idx="248">
                  <c:v>12.639144136423749</c:v>
                </c:pt>
                <c:pt idx="249">
                  <c:v>12.450169705006912</c:v>
                </c:pt>
                <c:pt idx="250">
                  <c:v>12.260833438302257</c:v>
                </c:pt>
                <c:pt idx="251">
                  <c:v>12.071155204968637</c:v>
                </c:pt>
                <c:pt idx="252">
                  <c:v>11.881154368409319</c:v>
                </c:pt>
                <c:pt idx="253">
                  <c:v>11.690849809409968</c:v>
                </c:pt>
                <c:pt idx="254">
                  <c:v>11.500259949097948</c:v>
                </c:pt>
                <c:pt idx="255">
                  <c:v>11.309402772170152</c:v>
                </c:pt>
                <c:pt idx="256">
                  <c:v>11.118295850343946</c:v>
                </c:pt>
                <c:pt idx="257">
                  <c:v>10.926956365988937</c:v>
                </c:pt>
                <c:pt idx="258">
                  <c:v>10.735401135905851</c:v>
                </c:pt>
                <c:pt idx="259">
                  <c:v>10.543646635221606</c:v>
                </c:pt>
                <c:pt idx="260">
                  <c:v>10.351709021375264</c:v>
                </c:pt>
                <c:pt idx="261">
                  <c:v>10.159604158173662</c:v>
                </c:pt>
                <c:pt idx="262">
                  <c:v>9.9673476399000158</c:v>
                </c:pt>
                <c:pt idx="263">
                  <c:v>9.7749548154621042</c:v>
                </c:pt>
                <c:pt idx="264">
                  <c:v>9.582440812570086</c:v>
                </c:pt>
                <c:pt idx="265">
                  <c:v>9.3898205619373378</c:v>
                </c:pt>
                <c:pt idx="266">
                  <c:v>9.1971088215003647</c:v>
                </c:pt>
                <c:pt idx="267">
                  <c:v>9.0043202006565686</c:v>
                </c:pt>
                <c:pt idx="268">
                  <c:v>8.8114691845201456</c:v>
                </c:pt>
                <c:pt idx="269">
                  <c:v>8.6185701582000824</c:v>
                </c:pt>
                <c:pt idx="270">
                  <c:v>8.4256374311035405</c:v>
                </c:pt>
                <c:pt idx="271">
                  <c:v>8.2326852612714898</c:v>
                </c:pt>
                <c:pt idx="272">
                  <c:v>8.0397278797536238</c:v>
                </c:pt>
                <c:pt idx="273">
                  <c:v>7.8467795150306898</c:v>
                </c:pt>
                <c:pt idx="274">
                  <c:v>7.6538544174929513</c:v>
                </c:pt>
                <c:pt idx="275">
                  <c:v>7.4609668839845238</c:v>
                </c:pt>
                <c:pt idx="276">
                  <c:v>7.2681312824227406</c:v>
                </c:pt>
                <c:pt idx="277">
                  <c:v>7.0753620765027057</c:v>
                </c:pt>
                <c:pt idx="278">
                  <c:v>6.882673850495399</c:v>
                </c:pt>
                <c:pt idx="279">
                  <c:v>6.6900813341493572</c:v>
                </c:pt>
                <c:pt idx="280">
                  <c:v>6.4975994277026974</c:v>
                </c:pt>
                <c:pt idx="281">
                  <c:v>6.3052432270140741</c:v>
                </c:pt>
                <c:pt idx="282">
                  <c:v>6.1130280488163287</c:v>
                </c:pt>
                <c:pt idx="283">
                  <c:v>5.9209694560995292</c:v>
                </c:pt>
                <c:pt idx="284">
                  <c:v>5.7290832836234955</c:v>
                </c:pt>
                <c:pt idx="285">
                  <c:v>5.5373856635623389</c:v>
                </c:pt>
                <c:pt idx="286">
                  <c:v>5.3458930512771055</c:v>
                </c:pt>
                <c:pt idx="287">
                  <c:v>5.1546222512132678</c:v>
                </c:pt>
                <c:pt idx="288">
                  <c:v>4.9635904429152085</c:v>
                </c:pt>
                <c:pt idx="289">
                  <c:v>4.7728152071455971</c:v>
                </c:pt>
                <c:pt idx="290">
                  <c:v>4.5823145520966229</c:v>
                </c:pt>
                <c:pt idx="291">
                  <c:v>4.3921069396737744</c:v>
                </c:pt>
                <c:pt idx="292">
                  <c:v>4.2022113118287567</c:v>
                </c:pt>
                <c:pt idx="293">
                  <c:v>4.0126471169141862</c:v>
                </c:pt>
                <c:pt idx="294">
                  <c:v>3.8234343360283751</c:v>
                </c:pt>
                <c:pt idx="295">
                  <c:v>3.6345935093094179</c:v>
                </c:pt>
                <c:pt idx="296">
                  <c:v>3.4461457621364038</c:v>
                </c:pt>
                <c:pt idx="297">
                  <c:v>3.2581128311869607</c:v>
                </c:pt>
                <c:pt idx="298">
                  <c:v>3.0705170902928201</c:v>
                </c:pt>
                <c:pt idx="299">
                  <c:v>2.8833815760297812</c:v>
                </c:pt>
                <c:pt idx="300">
                  <c:v>2.6967300129697542</c:v>
                </c:pt>
                <c:pt idx="301">
                  <c:v>2.5105868385160846</c:v>
                </c:pt>
                <c:pt idx="302">
                  <c:v>2.3249772272315012</c:v>
                </c:pt>
                <c:pt idx="303">
                  <c:v>2.1399271145644825</c:v>
                </c:pt>
                <c:pt idx="304">
                  <c:v>1.9554632198661637</c:v>
                </c:pt>
                <c:pt idx="305">
                  <c:v>1.7716130685827536</c:v>
                </c:pt>
                <c:pt idx="306">
                  <c:v>1.5884050134987757</c:v>
                </c:pt>
                <c:pt idx="307">
                  <c:v>1.4058682548959414</c:v>
                </c:pt>
                <c:pt idx="308">
                  <c:v>1.2240328594825642</c:v>
                </c:pt>
                <c:pt idx="309">
                  <c:v>1.0429297779374909</c:v>
                </c:pt>
                <c:pt idx="310">
                  <c:v>0.86259086090452453</c:v>
                </c:pt>
                <c:pt idx="311">
                  <c:v>0.68304887326028818</c:v>
                </c:pt>
                <c:pt idx="312">
                  <c:v>0.50433750647006992</c:v>
                </c:pt>
                <c:pt idx="313">
                  <c:v>0.32649138883680551</c:v>
                </c:pt>
                <c:pt idx="314">
                  <c:v>0.14954609343751174</c:v>
                </c:pt>
                <c:pt idx="315">
                  <c:v>-2.6461856466584915E-2</c:v>
                </c:pt>
                <c:pt idx="316">
                  <c:v>-0.20149498476725053</c:v>
                </c:pt>
                <c:pt idx="317">
                  <c:v>-0.37551486282374374</c:v>
                </c:pt>
                <c:pt idx="318">
                  <c:v>-0.54848211298902594</c:v>
                </c:pt>
                <c:pt idx="319">
                  <c:v>-0.72035641558940933</c:v>
                </c:pt>
                <c:pt idx="320">
                  <c:v>-0.8910965195998799</c:v>
                </c:pt>
                <c:pt idx="321">
                  <c:v>-1.0606602572614812</c:v>
                </c:pt>
                <c:pt idx="322">
                  <c:v>-1.2290045628869959</c:v>
                </c:pt>
                <c:pt idx="323">
                  <c:v>-1.3960854960971076</c:v>
                </c:pt>
                <c:pt idx="324">
                  <c:v>-1.5618582697276744</c:v>
                </c:pt>
                <c:pt idx="325">
                  <c:v>-1.726277282639449</c:v>
                </c:pt>
                <c:pt idx="326">
                  <c:v>-1.8892961576518204</c:v>
                </c:pt>
                <c:pt idx="327">
                  <c:v>-2.0508677848122949</c:v>
                </c:pt>
                <c:pt idx="328">
                  <c:v>-2.2109443701932294</c:v>
                </c:pt>
                <c:pt idx="329">
                  <c:v>-2.3694774903924993</c:v>
                </c:pt>
                <c:pt idx="330">
                  <c:v>-2.5264181528880814</c:v>
                </c:pt>
                <c:pt idx="331">
                  <c:v>-2.6817168623742149</c:v>
                </c:pt>
                <c:pt idx="332">
                  <c:v>-2.8353236931740473</c:v>
                </c:pt>
                <c:pt idx="333">
                  <c:v>-2.9871883677926614</c:v>
                </c:pt>
                <c:pt idx="334">
                  <c:v>-3.1372603416356903</c:v>
                </c:pt>
                <c:pt idx="335">
                  <c:v>-3.2854888938802973</c:v>
                </c:pt>
                <c:pt idx="336">
                  <c:v>-3.4318232244401745</c:v>
                </c:pt>
                <c:pt idx="337">
                  <c:v>-3.5762125569211949</c:v>
                </c:pt>
                <c:pt idx="338">
                  <c:v>-3.7186062474145332</c:v>
                </c:pt>
                <c:pt idx="339">
                  <c:v>-3.8589538989229775</c:v>
                </c:pt>
                <c:pt idx="340">
                  <c:v>-3.9972054811624136</c:v>
                </c:pt>
                <c:pt idx="341">
                  <c:v>-4.1333114554276227</c:v>
                </c:pt>
                <c:pt idx="342">
                  <c:v>-4.2672229041541572</c:v>
                </c:pt>
                <c:pt idx="343">
                  <c:v>-4.3988916647551548</c:v>
                </c:pt>
                <c:pt idx="344">
                  <c:v>-4.528270467255771</c:v>
                </c:pt>
                <c:pt idx="345">
                  <c:v>-4.6553130751962959</c:v>
                </c:pt>
                <c:pt idx="346">
                  <c:v>-4.7799744292222961</c:v>
                </c:pt>
                <c:pt idx="347">
                  <c:v>-4.9022107927342908</c:v>
                </c:pt>
                <c:pt idx="348">
                  <c:v>-5.0219798989236146</c:v>
                </c:pt>
                <c:pt idx="349">
                  <c:v>-5.1392410984810777</c:v>
                </c:pt>
                <c:pt idx="350">
                  <c:v>-5.253955507231586</c:v>
                </c:pt>
                <c:pt idx="351">
                  <c:v>-5.3660861529165613</c:v>
                </c:pt>
                <c:pt idx="352">
                  <c:v>-5.4755981203248965</c:v>
                </c:pt>
                <c:pt idx="353">
                  <c:v>-5.5824586939545862</c:v>
                </c:pt>
                <c:pt idx="354">
                  <c:v>-5.6866374973803682</c:v>
                </c:pt>
                <c:pt idx="355">
                  <c:v>-5.7881066284969442</c:v>
                </c:pt>
                <c:pt idx="356">
                  <c:v>-5.8868407898148138</c:v>
                </c:pt>
                <c:pt idx="357">
                  <c:v>-5.9828174129965408</c:v>
                </c:pt>
                <c:pt idx="358">
                  <c:v>-6.0760167768393512</c:v>
                </c:pt>
                <c:pt idx="359">
                  <c:v>-6.1664221179375005</c:v>
                </c:pt>
                <c:pt idx="360">
                  <c:v>-6.2540197332871914</c:v>
                </c:pt>
                <c:pt idx="361">
                  <c:v>-6.3387990741362739</c:v>
                </c:pt>
                <c:pt idx="362">
                  <c:v>-6.4207528304219501</c:v>
                </c:pt>
                <c:pt idx="363">
                  <c:v>-6.4998770051887664</c:v>
                </c:pt>
                <c:pt idx="364">
                  <c:v>-6.5761709784287259</c:v>
                </c:pt>
                <c:pt idx="365">
                  <c:v>-6.649637559839797</c:v>
                </c:pt>
                <c:pt idx="366">
                  <c:v>-6.7202830300577503</c:v>
                </c:pt>
                <c:pt idx="367">
                  <c:v>-6.7881171699731357</c:v>
                </c:pt>
                <c:pt idx="368">
                  <c:v>-6.8531532778073583</c:v>
                </c:pt>
                <c:pt idx="369">
                  <c:v>-6.9154081736817252</c:v>
                </c:pt>
                <c:pt idx="370">
                  <c:v>-6.9749021914781748</c:v>
                </c:pt>
                <c:pt idx="371">
                  <c:v>-7.0316591578507195</c:v>
                </c:pt>
                <c:pt idx="372">
                  <c:v>-7.0857063583109241</c:v>
                </c:pt>
                <c:pt idx="373">
                  <c:v>-7.1370744903744088</c:v>
                </c:pt>
                <c:pt idx="374">
                  <c:v>-7.1857976038185924</c:v>
                </c:pt>
                <c:pt idx="375">
                  <c:v>-7.2319130281661215</c:v>
                </c:pt>
                <c:pt idx="376">
                  <c:v>-7.2754612875731048</c:v>
                </c:pt>
                <c:pt idx="377">
                  <c:v>-7.3164860033668164</c:v>
                </c:pt>
                <c:pt idx="378">
                  <c:v>-7.3550337845436022</c:v>
                </c:pt>
                <c:pt idx="379">
                  <c:v>-7.3911541066036239</c:v>
                </c:pt>
                <c:pt idx="380">
                  <c:v>-7.4248991791690111</c:v>
                </c:pt>
                <c:pt idx="381">
                  <c:v>-7.456323802898118</c:v>
                </c:pt>
                <c:pt idx="382">
                  <c:v>-7.4854852162799173</c:v>
                </c:pt>
                <c:pt idx="383">
                  <c:v>-7.5124429329598215</c:v>
                </c:pt>
                <c:pt idx="384">
                  <c:v>-7.5372585703184765</c:v>
                </c:pt>
                <c:pt idx="385">
                  <c:v>-7.559995670092051</c:v>
                </c:pt>
                <c:pt idx="386">
                  <c:v>-7.5807195118894679</c:v>
                </c:pt>
                <c:pt idx="387">
                  <c:v>-7.5994969205228795</c:v>
                </c:pt>
                <c:pt idx="388">
                  <c:v>-7.6163960681301681</c:v>
                </c:pt>
                <c:pt idx="389">
                  <c:v>-7.6314862721182539</c:v>
                </c:pt>
                <c:pt idx="390">
                  <c:v>-7.6448377900076592</c:v>
                </c:pt>
                <c:pt idx="391">
                  <c:v>-7.6565216122949487</c:v>
                </c:pt>
                <c:pt idx="392">
                  <c:v>-7.6666092544840092</c:v>
                </c:pt>
                <c:pt idx="393">
                  <c:v>-7.6751725494571286</c:v>
                </c:pt>
                <c:pt idx="394">
                  <c:v>-7.6822834413675132</c:v>
                </c:pt>
                <c:pt idx="395">
                  <c:v>-7.6880137822337868</c:v>
                </c:pt>
                <c:pt idx="396">
                  <c:v>-7.692435132404718</c:v>
                </c:pt>
                <c:pt idx="397">
                  <c:v>-7.695618566033434</c:v>
                </c:pt>
                <c:pt idx="398">
                  <c:v>-7.6976344826663032</c:v>
                </c:pt>
                <c:pt idx="399">
                  <c:v>-7.6985524259951639</c:v>
                </c:pt>
                <c:pt idx="400">
                  <c:v>-7.6984409107625034</c:v>
                </c:pt>
                <c:pt idx="401">
                  <c:v>-7.6973672587301998</c:v>
                </c:pt>
                <c:pt idx="402">
                  <c:v>-7.6953974445406672</c:v>
                </c:pt>
                <c:pt idx="403">
                  <c:v>-7.6925959522020086</c:v>
                </c:pt>
                <c:pt idx="404">
                  <c:v>-7.6890256428274864</c:v>
                </c:pt>
                <c:pt idx="405">
                  <c:v>-7.6847476341509999</c:v>
                </c:pt>
                <c:pt idx="406">
                  <c:v>-7.6798211922258943</c:v>
                </c:pt>
                <c:pt idx="407">
                  <c:v>-7.6743036356008441</c:v>
                </c:pt>
                <c:pt idx="408">
                  <c:v>-7.6682502521476543</c:v>
                </c:pt>
                <c:pt idx="409">
                  <c:v>-7.6617142286011752</c:v>
                </c:pt>
                <c:pt idx="410">
                  <c:v>-7.6547465927596434</c:v>
                </c:pt>
                <c:pt idx="411">
                  <c:v>-7.6473961681818601</c:v>
                </c:pt>
                <c:pt idx="412">
                  <c:v>-7.6397095411199238</c:v>
                </c:pt>
                <c:pt idx="413">
                  <c:v>-7.6317310393259756</c:v>
                </c:pt>
                <c:pt idx="414">
                  <c:v>-7.6235027222881167</c:v>
                </c:pt>
                <c:pt idx="415">
                  <c:v>-7.6150643823698836</c:v>
                </c:pt>
                <c:pt idx="416">
                  <c:v>-7.6064535562635891</c:v>
                </c:pt>
                <c:pt idx="417">
                  <c:v>-7.5977055461066021</c:v>
                </c:pt>
                <c:pt idx="418">
                  <c:v>-7.5888534495665949</c:v>
                </c:pt>
                <c:pt idx="419">
                  <c:v>-7.579928198164037</c:v>
                </c:pt>
                <c:pt idx="420">
                  <c:v>-7.5709586030761464</c:v>
                </c:pt>
                <c:pt idx="421">
                  <c:v>-7.5619714076507769</c:v>
                </c:pt>
                <c:pt idx="422">
                  <c:v>-7.552991345854517</c:v>
                </c:pt>
                <c:pt idx="423">
                  <c:v>-7.5440412058822055</c:v>
                </c:pt>
                <c:pt idx="424">
                  <c:v>-7.5351418981685452</c:v>
                </c:pt>
                <c:pt idx="425">
                  <c:v>-7.5263125270601439</c:v>
                </c:pt>
                <c:pt idx="426">
                  <c:v>-7.5175704654351927</c:v>
                </c:pt>
                <c:pt idx="427">
                  <c:v>-7.5089314315871523</c:v>
                </c:pt>
                <c:pt idx="428">
                  <c:v>-7.5004095677279095</c:v>
                </c:pt>
                <c:pt idx="429">
                  <c:v>-7.4920175195036407</c:v>
                </c:pt>
                <c:pt idx="430">
                  <c:v>-7.4837665159623699</c:v>
                </c:pt>
                <c:pt idx="431">
                  <c:v>-7.4756664494556286</c:v>
                </c:pt>
                <c:pt idx="432">
                  <c:v>-7.4677259550028179</c:v>
                </c:pt>
                <c:pt idx="433">
                  <c:v>-7.4599524886959259</c:v>
                </c:pt>
                <c:pt idx="434">
                  <c:v>-7.4523524047663647</c:v>
                </c:pt>
                <c:pt idx="435">
                  <c:v>-7.4449310309828709</c:v>
                </c:pt>
                <c:pt idx="436">
                  <c:v>-7.4376927420944821</c:v>
                </c:pt>
                <c:pt idx="437">
                  <c:v>-7.4306410310741118</c:v>
                </c:pt>
                <c:pt idx="438">
                  <c:v>-7.4237785779605456</c:v>
                </c:pt>
                <c:pt idx="439">
                  <c:v>-7.4171073161348637</c:v>
                </c:pt>
                <c:pt idx="440">
                  <c:v>-7.4106284959024045</c:v>
                </c:pt>
                <c:pt idx="441">
                  <c:v>-7.404342745286435</c:v>
                </c:pt>
                <c:pt idx="442">
                  <c:v>-7.3982501279686508</c:v>
                </c:pt>
                <c:pt idx="443">
                  <c:v>-7.392350198341207</c:v>
                </c:pt>
                <c:pt idx="444">
                  <c:v>-7.3866420536581447</c:v>
                </c:pt>
                <c:pt idx="445">
                  <c:v>-7.3811243832979212</c:v>
                </c:pt>
                <c:pt idx="446">
                  <c:v>-7.3757955151681074</c:v>
                </c:pt>
                <c:pt idx="447">
                  <c:v>-7.3706534592997244</c:v>
                </c:pt>
                <c:pt idx="448">
                  <c:v>-7.3656959486946434</c:v>
                </c:pt>
                <c:pt idx="449">
                  <c:v>-7.3609204775007679</c:v>
                </c:pt>
                <c:pt idx="450">
                  <c:v>-7.3563243366016051</c:v>
                </c:pt>
                <c:pt idx="451">
                  <c:v>-7.3519046467130975</c:v>
                </c:pt>
                <c:pt idx="452">
                  <c:v>-7.3476583890895686</c:v>
                </c:pt>
                <c:pt idx="453">
                  <c:v>-7.3435824339442028</c:v>
                </c:pt>
                <c:pt idx="454">
                  <c:v>-7.3396735666929303</c:v>
                </c:pt>
                <c:pt idx="455">
                  <c:v>-7.3359285121343767</c:v>
                </c:pt>
                <c:pt idx="456">
                  <c:v>-7.3323439566776223</c:v>
                </c:pt>
                <c:pt idx="457">
                  <c:v>-7.3289165687311151</c:v>
                </c:pt>
                <c:pt idx="458">
                  <c:v>-7.3256430173645972</c:v>
                </c:pt>
                <c:pt idx="459">
                  <c:v>-7.3225199893545518</c:v>
                </c:pt>
                <c:pt idx="460">
                  <c:v>-7.3195442047219093</c:v>
                </c:pt>
                <c:pt idx="461">
                  <c:v>-7.3167124308670868</c:v>
                </c:pt>
                <c:pt idx="462">
                  <c:v>-7.3140214954053917</c:v>
                </c:pt>
                <c:pt idx="463">
                  <c:v>-7.3114682978020449</c:v>
                </c:pt>
                <c:pt idx="464">
                  <c:v>-7.3090498199020759</c:v>
                </c:pt>
                <c:pt idx="465">
                  <c:v>-7.3067631354466789</c:v>
                </c:pt>
                <c:pt idx="466">
                  <c:v>-7.3046054186633373</c:v>
                </c:pt>
                <c:pt idx="467">
                  <c:v>-7.3025739520148267</c:v>
                </c:pt>
                <c:pt idx="468">
                  <c:v>-7.3006661331836362</c:v>
                </c:pt>
                <c:pt idx="469">
                  <c:v>-7.2988794813702205</c:v>
                </c:pt>
                <c:pt idx="470">
                  <c:v>-7.2972116429739415</c:v>
                </c:pt>
                <c:pt idx="471">
                  <c:v>-7.2956603967260598</c:v>
                </c:pt>
                <c:pt idx="472">
                  <c:v>-7.294223658336028</c:v>
                </c:pt>
                <c:pt idx="473">
                  <c:v>-7.2928994847137583</c:v>
                </c:pt>
                <c:pt idx="474">
                  <c:v>-7.2916860778209882</c:v>
                </c:pt>
                <c:pt idx="475">
                  <c:v>-7.2905817882066408</c:v>
                </c:pt>
                <c:pt idx="476">
                  <c:v>-7.2895851182748492</c:v>
                </c:pt>
                <c:pt idx="477">
                  <c:v>-7.288694725331812</c:v>
                </c:pt>
                <c:pt idx="478">
                  <c:v>-7.2879094244554832</c:v>
                </c:pt>
                <c:pt idx="479">
                  <c:v>-7.2872281912277961</c:v>
                </c:pt>
                <c:pt idx="480">
                  <c:v>-7.2866501643682602</c:v>
                </c:pt>
                <c:pt idx="481">
                  <c:v>-7.2861746483036356</c:v>
                </c:pt>
                <c:pt idx="482">
                  <c:v>-7.2858011157077058</c:v>
                </c:pt>
                <c:pt idx="483">
                  <c:v>-7.2855292100411875</c:v>
                </c:pt>
                <c:pt idx="484">
                  <c:v>-7.2853587481219808</c:v>
                </c:pt>
                <c:pt idx="485">
                  <c:v>-7.2852897227517746</c:v>
                </c:pt>
                <c:pt idx="486">
                  <c:v>-7.2853223054254315</c:v>
                </c:pt>
                <c:pt idx="487">
                  <c:v>-7.2854568491463576</c:v>
                </c:pt>
                <c:pt idx="488">
                  <c:v>-7.2856938913711797</c:v>
                </c:pt>
                <c:pt idx="489">
                  <c:v>-7.2860341571033818</c:v>
                </c:pt>
                <c:pt idx="490">
                  <c:v>-7.2864785621576535</c:v>
                </c:pt>
                <c:pt idx="491">
                  <c:v>-7.2870282166116453</c:v>
                </c:pt>
                <c:pt idx="492">
                  <c:v>-7.2876844284646856</c:v>
                </c:pt>
                <c:pt idx="493">
                  <c:v>-7.2884487075186613</c:v>
                </c:pt>
                <c:pt idx="494">
                  <c:v>-7.2893227694984031</c:v>
                </c:pt>
                <c:pt idx="495">
                  <c:v>-7.2903085404243591</c:v>
                </c:pt>
                <c:pt idx="496">
                  <c:v>-7.2914081612554735</c:v>
                </c:pt>
                <c:pt idx="497">
                  <c:v>-7.2926239928110164</c:v>
                </c:pt>
                <c:pt idx="498">
                  <c:v>-7.2939586209889571</c:v>
                </c:pt>
                <c:pt idx="499">
                  <c:v>-7.2954148622903343</c:v>
                </c:pt>
                <c:pt idx="500">
                  <c:v>-7.2969957696619456</c:v>
                </c:pt>
                <c:pt idx="501">
                  <c:v>-7.2987046386689514</c:v>
                </c:pt>
                <c:pt idx="502">
                  <c:v>-7.3005450140076764</c:v>
                </c:pt>
                <c:pt idx="503">
                  <c:v>-7.3025206963680311</c:v>
                </c:pt>
                <c:pt idx="504">
                  <c:v>-7.3046357496563488</c:v>
                </c:pt>
                <c:pt idx="505">
                  <c:v>-7.3068945085860202</c:v>
                </c:pt>
                <c:pt idx="506">
                  <c:v>-7.3093015866448416</c:v>
                </c:pt>
                <c:pt idx="507">
                  <c:v>-7.31186188444706</c:v>
                </c:pt>
                <c:pt idx="508">
                  <c:v>-7.3145805984753887</c:v>
                </c:pt>
                <c:pt idx="509">
                  <c:v>-7.3174632302214278</c:v>
                </c:pt>
                <c:pt idx="510">
                  <c:v>-7.320515595728132</c:v>
                </c:pt>
                <c:pt idx="511">
                  <c:v>-7.3237438355390427</c:v>
                </c:pt>
                <c:pt idx="512">
                  <c:v>-7.3271544250580458</c:v>
                </c:pt>
                <c:pt idx="513">
                  <c:v>-7.3307541853223945</c:v>
                </c:pt>
                <c:pt idx="514">
                  <c:v>-7.3345502941893672</c:v>
                </c:pt>
                <c:pt idx="515">
                  <c:v>-7.3385502979364423</c:v>
                </c:pt>
                <c:pt idx="516">
                  <c:v>-7.3427621232753033</c:v>
                </c:pt>
                <c:pt idx="517">
                  <c:v>-7.347194089773776</c:v>
                </c:pt>
                <c:pt idx="518">
                  <c:v>-7.3518549226830086</c:v>
                </c:pt>
                <c:pt idx="519">
                  <c:v>-7.3567537661623019</c:v>
                </c:pt>
                <c:pt idx="520">
                  <c:v>-7.3619001968929618</c:v>
                </c:pt>
                <c:pt idx="521">
                  <c:v>-7.3673042380693898</c:v>
                </c:pt>
                <c:pt idx="522">
                  <c:v>-7.372976373755062</c:v>
                </c:pt>
                <c:pt idx="523">
                  <c:v>-7.3789275635855054</c:v>
                </c:pt>
                <c:pt idx="524">
                  <c:v>-7.3851692577996015</c:v>
                </c:pt>
                <c:pt idx="525">
                  <c:v>-7.3917134125767161</c:v>
                </c:pt>
                <c:pt idx="526">
                  <c:v>-7.3985725056526856</c:v>
                </c:pt>
                <c:pt idx="527">
                  <c:v>-7.4057595521851693</c:v>
                </c:pt>
                <c:pt idx="528">
                  <c:v>-7.4132881208343822</c:v>
                </c:pt>
                <c:pt idx="529">
                  <c:v>-7.4211723500200009</c:v>
                </c:pt>
                <c:pt idx="530">
                  <c:v>-7.4294269643108244</c:v>
                </c:pt>
                <c:pt idx="531">
                  <c:v>-7.4380672909003778</c:v>
                </c:pt>
                <c:pt idx="532">
                  <c:v>-7.4471092761120179</c:v>
                </c:pt>
                <c:pt idx="533">
                  <c:v>-7.4565695018762055</c:v>
                </c:pt>
                <c:pt idx="534">
                  <c:v>-7.4664652021132625</c:v>
                </c:pt>
                <c:pt idx="535">
                  <c:v>-7.4768142789493011</c:v>
                </c:pt>
                <c:pt idx="536">
                  <c:v>-7.4876353186874631</c:v>
                </c:pt>
                <c:pt idx="537">
                  <c:v>-7.4989476074472972</c:v>
                </c:pt>
                <c:pt idx="538">
                  <c:v>-7.5107711463797413</c:v>
                </c:pt>
                <c:pt idx="539">
                  <c:v>-7.5231266663569514</c:v>
                </c:pt>
                <c:pt idx="540">
                  <c:v>-7.5360356420273309</c:v>
                </c:pt>
                <c:pt idx="541">
                  <c:v>-7.549520305119354</c:v>
                </c:pt>
              </c:numCache>
            </c:numRef>
          </c:yVal>
          <c:smooth val="1"/>
          <c:extLst>
            <c:ext xmlns:c16="http://schemas.microsoft.com/office/drawing/2014/chart" uri="{C3380CC4-5D6E-409C-BE32-E72D297353CC}">
              <c16:uniqueId val="{00000000-69E5-488F-8178-EA81D5C894E7}"/>
            </c:ext>
          </c:extLst>
        </c:ser>
        <c:dLbls>
          <c:showLegendKey val="0"/>
          <c:showVal val="0"/>
          <c:showCatName val="0"/>
          <c:showSerName val="0"/>
          <c:showPercent val="0"/>
          <c:showBubbleSize val="0"/>
        </c:dLbls>
        <c:axId val="555231872"/>
        <c:axId val="555234048"/>
      </c:scatterChart>
      <c:scatterChart>
        <c:scatterStyle val="smoothMarker"/>
        <c:varyColors val="0"/>
        <c:ser>
          <c:idx val="1"/>
          <c:order val="1"/>
          <c:tx>
            <c:v>Phase (deg)</c:v>
          </c:tx>
          <c:marker>
            <c:symbol val="none"/>
          </c:marker>
          <c:xVal>
            <c:numRef>
              <c:f>Loop_Modeling!$O$19:$O$560</c:f>
              <c:numCache>
                <c:formatCode>0.00</c:formatCode>
                <c:ptCount val="542"/>
                <c:pt idx="0">
                  <c:v>10.232929922807543</c:v>
                </c:pt>
                <c:pt idx="1">
                  <c:v>10.471285480509</c:v>
                </c:pt>
                <c:pt idx="2">
                  <c:v>10.715193052376069</c:v>
                </c:pt>
                <c:pt idx="3">
                  <c:v>10.964781961431854</c:v>
                </c:pt>
                <c:pt idx="4">
                  <c:v>11.220184543019636</c:v>
                </c:pt>
                <c:pt idx="5">
                  <c:v>11.481536214968834</c:v>
                </c:pt>
                <c:pt idx="6">
                  <c:v>11.748975549395301</c:v>
                </c:pt>
                <c:pt idx="7">
                  <c:v>12.022644346174133</c:v>
                </c:pt>
                <c:pt idx="8">
                  <c:v>12.302687708123818</c:v>
                </c:pt>
                <c:pt idx="9">
                  <c:v>12.58925411794168</c:v>
                </c:pt>
                <c:pt idx="10">
                  <c:v>12.882495516931346</c:v>
                </c:pt>
                <c:pt idx="11">
                  <c:v>13.182567385564075</c:v>
                </c:pt>
                <c:pt idx="12">
                  <c:v>13.489628825916535</c:v>
                </c:pt>
                <c:pt idx="13">
                  <c:v>13.803842646028857</c:v>
                </c:pt>
                <c:pt idx="14">
                  <c:v>14.125375446227544</c:v>
                </c:pt>
                <c:pt idx="15">
                  <c:v>14.454397707459275</c:v>
                </c:pt>
                <c:pt idx="16">
                  <c:v>14.791083881682074</c:v>
                </c:pt>
                <c:pt idx="17">
                  <c:v>15.135612484362087</c:v>
                </c:pt>
                <c:pt idx="18">
                  <c:v>15.488166189124817</c:v>
                </c:pt>
                <c:pt idx="19">
                  <c:v>15.848931924611136</c:v>
                </c:pt>
                <c:pt idx="20">
                  <c:v>16.218100973589298</c:v>
                </c:pt>
                <c:pt idx="21">
                  <c:v>16.595869074375614</c:v>
                </c:pt>
                <c:pt idx="22">
                  <c:v>16.982436524617448</c:v>
                </c:pt>
                <c:pt idx="23">
                  <c:v>17.378008287493756</c:v>
                </c:pt>
                <c:pt idx="24">
                  <c:v>17.782794100389236</c:v>
                </c:pt>
                <c:pt idx="25">
                  <c:v>18.197008586099841</c:v>
                </c:pt>
                <c:pt idx="26">
                  <c:v>18.62087136662868</c:v>
                </c:pt>
                <c:pt idx="27">
                  <c:v>19.054607179632477</c:v>
                </c:pt>
                <c:pt idx="28">
                  <c:v>19.498445997580465</c:v>
                </c:pt>
                <c:pt idx="29">
                  <c:v>19.952623149688804</c:v>
                </c:pt>
                <c:pt idx="30">
                  <c:v>20.4173794466953</c:v>
                </c:pt>
                <c:pt idx="31">
                  <c:v>20.8929613085404</c:v>
                </c:pt>
                <c:pt idx="32">
                  <c:v>21.379620895022335</c:v>
                </c:pt>
                <c:pt idx="33">
                  <c:v>21.877616239495538</c:v>
                </c:pt>
                <c:pt idx="34">
                  <c:v>22.387211385683404</c:v>
                </c:pt>
                <c:pt idx="35">
                  <c:v>22.908676527677727</c:v>
                </c:pt>
                <c:pt idx="36">
                  <c:v>23.442288153199236</c:v>
                </c:pt>
                <c:pt idx="37">
                  <c:v>23.988329190194907</c:v>
                </c:pt>
                <c:pt idx="38">
                  <c:v>24.547089156850316</c:v>
                </c:pt>
                <c:pt idx="39">
                  <c:v>25.118864315095799</c:v>
                </c:pt>
                <c:pt idx="40">
                  <c:v>25.703957827688647</c:v>
                </c:pt>
                <c:pt idx="41">
                  <c:v>26.302679918953825</c:v>
                </c:pt>
                <c:pt idx="42">
                  <c:v>26.915348039269158</c:v>
                </c:pt>
                <c:pt idx="43">
                  <c:v>27.542287033381665</c:v>
                </c:pt>
                <c:pt idx="44">
                  <c:v>28.183829312644548</c:v>
                </c:pt>
                <c:pt idx="45">
                  <c:v>28.840315031266066</c:v>
                </c:pt>
                <c:pt idx="46">
                  <c:v>29.512092266663863</c:v>
                </c:pt>
                <c:pt idx="47">
                  <c:v>30.199517204020164</c:v>
                </c:pt>
                <c:pt idx="48">
                  <c:v>30.902954325135919</c:v>
                </c:pt>
                <c:pt idx="49">
                  <c:v>31.622776601683803</c:v>
                </c:pt>
                <c:pt idx="50">
                  <c:v>32.359365692962832</c:v>
                </c:pt>
                <c:pt idx="51">
                  <c:v>33.113112148259127</c:v>
                </c:pt>
                <c:pt idx="52">
                  <c:v>33.884415613920268</c:v>
                </c:pt>
                <c:pt idx="53">
                  <c:v>34.67368504525318</c:v>
                </c:pt>
                <c:pt idx="54">
                  <c:v>35.481338923357555</c:v>
                </c:pt>
                <c:pt idx="55">
                  <c:v>36.307805477010156</c:v>
                </c:pt>
                <c:pt idx="56">
                  <c:v>37.15352290971726</c:v>
                </c:pt>
                <c:pt idx="57">
                  <c:v>38.018939632056139</c:v>
                </c:pt>
                <c:pt idx="58">
                  <c:v>38.904514499428053</c:v>
                </c:pt>
                <c:pt idx="59">
                  <c:v>39.810717055349755</c:v>
                </c:pt>
                <c:pt idx="60">
                  <c:v>40.738027780411279</c:v>
                </c:pt>
                <c:pt idx="61">
                  <c:v>41.686938347033561</c:v>
                </c:pt>
                <c:pt idx="62">
                  <c:v>42.657951880159267</c:v>
                </c:pt>
                <c:pt idx="63">
                  <c:v>43.651583224016633</c:v>
                </c:pt>
                <c:pt idx="64">
                  <c:v>44.668359215096324</c:v>
                </c:pt>
                <c:pt idx="65">
                  <c:v>45.70881896148753</c:v>
                </c:pt>
                <c:pt idx="66">
                  <c:v>46.773514128719818</c:v>
                </c:pt>
                <c:pt idx="67">
                  <c:v>47.863009232263877</c:v>
                </c:pt>
                <c:pt idx="68">
                  <c:v>48.977881936844632</c:v>
                </c:pt>
                <c:pt idx="69">
                  <c:v>50.118723362727238</c:v>
                </c:pt>
                <c:pt idx="70">
                  <c:v>51.28613839913649</c:v>
                </c:pt>
                <c:pt idx="71">
                  <c:v>52.480746024977286</c:v>
                </c:pt>
                <c:pt idx="72">
                  <c:v>53.703179637025293</c:v>
                </c:pt>
                <c:pt idx="73">
                  <c:v>54.95408738576247</c:v>
                </c:pt>
                <c:pt idx="74">
                  <c:v>56.234132519034915</c:v>
                </c:pt>
                <c:pt idx="75">
                  <c:v>57.543993733715695</c:v>
                </c:pt>
                <c:pt idx="76">
                  <c:v>58.884365535558949</c:v>
                </c:pt>
                <c:pt idx="77">
                  <c:v>60.255958607435822</c:v>
                </c:pt>
                <c:pt idx="78">
                  <c:v>61.659500186148257</c:v>
                </c:pt>
                <c:pt idx="79">
                  <c:v>63.095734448019364</c:v>
                </c:pt>
                <c:pt idx="80">
                  <c:v>64.565422903465588</c:v>
                </c:pt>
                <c:pt idx="81">
                  <c:v>66.069344800759623</c:v>
                </c:pt>
                <c:pt idx="82">
                  <c:v>67.60829753919819</c:v>
                </c:pt>
                <c:pt idx="83">
                  <c:v>69.183097091893657</c:v>
                </c:pt>
                <c:pt idx="84">
                  <c:v>70.794578438413865</c:v>
                </c:pt>
                <c:pt idx="85">
                  <c:v>72.443596007499011</c:v>
                </c:pt>
                <c:pt idx="86">
                  <c:v>74.131024130091816</c:v>
                </c:pt>
                <c:pt idx="87">
                  <c:v>75.857757502918361</c:v>
                </c:pt>
                <c:pt idx="88">
                  <c:v>77.624711662869217</c:v>
                </c:pt>
                <c:pt idx="89">
                  <c:v>79.432823472428197</c:v>
                </c:pt>
                <c:pt idx="90">
                  <c:v>81.283051616409963</c:v>
                </c:pt>
                <c:pt idx="91">
                  <c:v>83.176377110267126</c:v>
                </c:pt>
                <c:pt idx="92">
                  <c:v>85.113803820237734</c:v>
                </c:pt>
                <c:pt idx="93">
                  <c:v>87.096358995608071</c:v>
                </c:pt>
                <c:pt idx="94">
                  <c:v>89.125093813374562</c:v>
                </c:pt>
                <c:pt idx="95">
                  <c:v>91.201083935590972</c:v>
                </c:pt>
                <c:pt idx="96">
                  <c:v>93.325430079699174</c:v>
                </c:pt>
                <c:pt idx="97">
                  <c:v>95.499258602143655</c:v>
                </c:pt>
                <c:pt idx="98">
                  <c:v>97.723722095581124</c:v>
                </c:pt>
                <c:pt idx="99">
                  <c:v>100</c:v>
                </c:pt>
                <c:pt idx="100">
                  <c:v>102.32929922807544</c:v>
                </c:pt>
                <c:pt idx="101">
                  <c:v>104.71285480508998</c:v>
                </c:pt>
                <c:pt idx="102">
                  <c:v>107.15193052376065</c:v>
                </c:pt>
                <c:pt idx="103">
                  <c:v>109.64781961431861</c:v>
                </c:pt>
                <c:pt idx="104">
                  <c:v>112.20184543019634</c:v>
                </c:pt>
                <c:pt idx="105">
                  <c:v>114.81536214968835</c:v>
                </c:pt>
                <c:pt idx="106">
                  <c:v>117.48975549395293</c:v>
                </c:pt>
                <c:pt idx="107">
                  <c:v>120.22644346174135</c:v>
                </c:pt>
                <c:pt idx="108">
                  <c:v>123.02687708123821</c:v>
                </c:pt>
                <c:pt idx="109">
                  <c:v>125.89254117941677</c:v>
                </c:pt>
                <c:pt idx="110">
                  <c:v>128.82495516931343</c:v>
                </c:pt>
                <c:pt idx="111">
                  <c:v>131.82567385564084</c:v>
                </c:pt>
                <c:pt idx="112">
                  <c:v>134.89628825916537</c:v>
                </c:pt>
                <c:pt idx="113">
                  <c:v>138.0384264602886</c:v>
                </c:pt>
                <c:pt idx="114">
                  <c:v>141.25375446227542</c:v>
                </c:pt>
                <c:pt idx="115">
                  <c:v>144.54397707459285</c:v>
                </c:pt>
                <c:pt idx="116">
                  <c:v>147.91083881682084</c:v>
                </c:pt>
                <c:pt idx="117">
                  <c:v>151.3561248436209</c:v>
                </c:pt>
                <c:pt idx="118">
                  <c:v>154.8816618912482</c:v>
                </c:pt>
                <c:pt idx="119">
                  <c:v>158.48931924611153</c:v>
                </c:pt>
                <c:pt idx="120">
                  <c:v>162.18100973589304</c:v>
                </c:pt>
                <c:pt idx="121">
                  <c:v>165.95869074375622</c:v>
                </c:pt>
                <c:pt idx="122">
                  <c:v>169.82436524617444</c:v>
                </c:pt>
                <c:pt idx="123">
                  <c:v>173.78008287493768</c:v>
                </c:pt>
                <c:pt idx="124">
                  <c:v>177.82794100389242</c:v>
                </c:pt>
                <c:pt idx="125">
                  <c:v>181.9700858609983</c:v>
                </c:pt>
                <c:pt idx="126">
                  <c:v>186.20871366628685</c:v>
                </c:pt>
                <c:pt idx="127">
                  <c:v>190.54607179632498</c:v>
                </c:pt>
                <c:pt idx="128">
                  <c:v>194.98445997580458</c:v>
                </c:pt>
                <c:pt idx="129">
                  <c:v>199.52623149688802</c:v>
                </c:pt>
                <c:pt idx="130">
                  <c:v>204.17379446695315</c:v>
                </c:pt>
                <c:pt idx="131">
                  <c:v>208.92961308540396</c:v>
                </c:pt>
                <c:pt idx="132">
                  <c:v>213.79620895022339</c:v>
                </c:pt>
                <c:pt idx="133">
                  <c:v>218.77616239495524</c:v>
                </c:pt>
                <c:pt idx="134">
                  <c:v>223.87211385683412</c:v>
                </c:pt>
                <c:pt idx="135">
                  <c:v>229.08676527677744</c:v>
                </c:pt>
                <c:pt idx="136">
                  <c:v>234.42288153199232</c:v>
                </c:pt>
                <c:pt idx="137">
                  <c:v>239.88329190194912</c:v>
                </c:pt>
                <c:pt idx="138">
                  <c:v>245.4708915685033</c:v>
                </c:pt>
                <c:pt idx="139">
                  <c:v>251.18864315095806</c:v>
                </c:pt>
                <c:pt idx="140">
                  <c:v>257.03957827688663</c:v>
                </c:pt>
                <c:pt idx="141">
                  <c:v>263.02679918953817</c:v>
                </c:pt>
                <c:pt idx="142">
                  <c:v>269.15348039269179</c:v>
                </c:pt>
                <c:pt idx="143">
                  <c:v>275.42287033381683</c:v>
                </c:pt>
                <c:pt idx="144">
                  <c:v>281.83829312644554</c:v>
                </c:pt>
                <c:pt idx="145">
                  <c:v>288.40315031266073</c:v>
                </c:pt>
                <c:pt idx="146">
                  <c:v>295.12092266663871</c:v>
                </c:pt>
                <c:pt idx="147">
                  <c:v>301.99517204020168</c:v>
                </c:pt>
                <c:pt idx="148">
                  <c:v>309.02954325135937</c:v>
                </c:pt>
                <c:pt idx="149">
                  <c:v>316.22776601683825</c:v>
                </c:pt>
                <c:pt idx="150">
                  <c:v>323.59365692962825</c:v>
                </c:pt>
                <c:pt idx="151">
                  <c:v>331.13112148259137</c:v>
                </c:pt>
                <c:pt idx="152">
                  <c:v>338.84415613920277</c:v>
                </c:pt>
                <c:pt idx="153">
                  <c:v>346.73685045253183</c:v>
                </c:pt>
                <c:pt idx="154">
                  <c:v>354.81338923357566</c:v>
                </c:pt>
                <c:pt idx="155">
                  <c:v>363.07805477010152</c:v>
                </c:pt>
                <c:pt idx="156">
                  <c:v>371.53522909717265</c:v>
                </c:pt>
                <c:pt idx="157">
                  <c:v>380.18939632056163</c:v>
                </c:pt>
                <c:pt idx="158">
                  <c:v>389.04514499428063</c:v>
                </c:pt>
                <c:pt idx="159">
                  <c:v>398.10717055349761</c:v>
                </c:pt>
                <c:pt idx="160">
                  <c:v>407.38027780411272</c:v>
                </c:pt>
                <c:pt idx="161">
                  <c:v>416.86938347033572</c:v>
                </c:pt>
                <c:pt idx="162">
                  <c:v>426.57951880159294</c:v>
                </c:pt>
                <c:pt idx="163">
                  <c:v>436.51583224016622</c:v>
                </c:pt>
                <c:pt idx="164">
                  <c:v>446.68359215096331</c:v>
                </c:pt>
                <c:pt idx="165">
                  <c:v>457.0881896148756</c:v>
                </c:pt>
                <c:pt idx="166">
                  <c:v>467.7351412871983</c:v>
                </c:pt>
                <c:pt idx="167">
                  <c:v>478.63009232263886</c:v>
                </c:pt>
                <c:pt idx="168">
                  <c:v>489.77881936844625</c:v>
                </c:pt>
                <c:pt idx="169">
                  <c:v>501.18723362727269</c:v>
                </c:pt>
                <c:pt idx="170">
                  <c:v>512.86138399136519</c:v>
                </c:pt>
                <c:pt idx="171">
                  <c:v>524.80746024977248</c:v>
                </c:pt>
                <c:pt idx="172">
                  <c:v>537.03179637025301</c:v>
                </c:pt>
                <c:pt idx="173">
                  <c:v>549.54087385762534</c:v>
                </c:pt>
                <c:pt idx="174">
                  <c:v>562.34132519034927</c:v>
                </c:pt>
                <c:pt idx="175">
                  <c:v>575.43993733715706</c:v>
                </c:pt>
                <c:pt idx="176">
                  <c:v>588.84365535558959</c:v>
                </c:pt>
                <c:pt idx="177">
                  <c:v>602.55958607435832</c:v>
                </c:pt>
                <c:pt idx="178">
                  <c:v>616.59500186148273</c:v>
                </c:pt>
                <c:pt idx="179">
                  <c:v>630.95734448019323</c:v>
                </c:pt>
                <c:pt idx="180">
                  <c:v>645.65422903465594</c:v>
                </c:pt>
                <c:pt idx="181">
                  <c:v>660.69344800759643</c:v>
                </c:pt>
                <c:pt idx="182">
                  <c:v>676.08297539198213</c:v>
                </c:pt>
                <c:pt idx="183">
                  <c:v>691.83097091893671</c:v>
                </c:pt>
                <c:pt idx="184">
                  <c:v>707.94578438413873</c:v>
                </c:pt>
                <c:pt idx="185">
                  <c:v>724.43596007499025</c:v>
                </c:pt>
                <c:pt idx="186">
                  <c:v>741.31024130091828</c:v>
                </c:pt>
                <c:pt idx="187">
                  <c:v>758.57757502918378</c:v>
                </c:pt>
                <c:pt idx="188">
                  <c:v>776.24711662869231</c:v>
                </c:pt>
                <c:pt idx="189">
                  <c:v>794.32823472428208</c:v>
                </c:pt>
                <c:pt idx="190">
                  <c:v>812.83051616409978</c:v>
                </c:pt>
                <c:pt idx="191">
                  <c:v>831.7637711026714</c:v>
                </c:pt>
                <c:pt idx="192">
                  <c:v>851.13803820237763</c:v>
                </c:pt>
                <c:pt idx="193">
                  <c:v>870.96358995608091</c:v>
                </c:pt>
                <c:pt idx="194">
                  <c:v>891.25093813374656</c:v>
                </c:pt>
                <c:pt idx="195">
                  <c:v>912.01083935590987</c:v>
                </c:pt>
                <c:pt idx="196">
                  <c:v>933.25430079699106</c:v>
                </c:pt>
                <c:pt idx="197">
                  <c:v>954.99258602143675</c:v>
                </c:pt>
                <c:pt idx="198">
                  <c:v>977.23722095581138</c:v>
                </c:pt>
                <c:pt idx="199">
                  <c:v>1000</c:v>
                </c:pt>
                <c:pt idx="200">
                  <c:v>1023.2929922807547</c:v>
                </c:pt>
                <c:pt idx="201">
                  <c:v>1047.1285480509</c:v>
                </c:pt>
                <c:pt idx="202">
                  <c:v>1071.5193052376069</c:v>
                </c:pt>
                <c:pt idx="203">
                  <c:v>1096.4781961431863</c:v>
                </c:pt>
                <c:pt idx="204">
                  <c:v>1122.0184543019636</c:v>
                </c:pt>
                <c:pt idx="205">
                  <c:v>1148.1536214968839</c:v>
                </c:pt>
                <c:pt idx="206">
                  <c:v>1174.8975549395295</c:v>
                </c:pt>
                <c:pt idx="207">
                  <c:v>1202.2644346174138</c:v>
                </c:pt>
                <c:pt idx="208">
                  <c:v>1230.2687708123824</c:v>
                </c:pt>
                <c:pt idx="209">
                  <c:v>1258.925411794168</c:v>
                </c:pt>
                <c:pt idx="210">
                  <c:v>1288.2495516931347</c:v>
                </c:pt>
                <c:pt idx="211">
                  <c:v>1318.2567385564089</c:v>
                </c:pt>
                <c:pt idx="212">
                  <c:v>1348.9628825916541</c:v>
                </c:pt>
                <c:pt idx="213">
                  <c:v>1380.3842646028863</c:v>
                </c:pt>
                <c:pt idx="214">
                  <c:v>1412.5375446227545</c:v>
                </c:pt>
                <c:pt idx="215">
                  <c:v>1445.4397707459289</c:v>
                </c:pt>
                <c:pt idx="216">
                  <c:v>1479.1083881682086</c:v>
                </c:pt>
                <c:pt idx="217">
                  <c:v>1513.5612484362093</c:v>
                </c:pt>
                <c:pt idx="218">
                  <c:v>1548.8166189124822</c:v>
                </c:pt>
                <c:pt idx="219">
                  <c:v>1584.8931924611156</c:v>
                </c:pt>
                <c:pt idx="220">
                  <c:v>1621.8100973589308</c:v>
                </c:pt>
                <c:pt idx="221">
                  <c:v>1659.5869074375626</c:v>
                </c:pt>
                <c:pt idx="222">
                  <c:v>1698.2436524617447</c:v>
                </c:pt>
                <c:pt idx="223">
                  <c:v>1737.8008287493772</c:v>
                </c:pt>
                <c:pt idx="224">
                  <c:v>1778.2794100389244</c:v>
                </c:pt>
                <c:pt idx="225">
                  <c:v>1819.7008586099832</c:v>
                </c:pt>
                <c:pt idx="226">
                  <c:v>1862.0871366628687</c:v>
                </c:pt>
                <c:pt idx="227">
                  <c:v>1905.4607179632501</c:v>
                </c:pt>
                <c:pt idx="228">
                  <c:v>1949.8445997580463</c:v>
                </c:pt>
                <c:pt idx="229">
                  <c:v>1995.2623149688804</c:v>
                </c:pt>
                <c:pt idx="230">
                  <c:v>2041.7379446695318</c:v>
                </c:pt>
                <c:pt idx="231">
                  <c:v>2089.2961308540398</c:v>
                </c:pt>
                <c:pt idx="232">
                  <c:v>2137.9620895022344</c:v>
                </c:pt>
                <c:pt idx="233">
                  <c:v>2187.7616239495528</c:v>
                </c:pt>
                <c:pt idx="234">
                  <c:v>2238.7211385683418</c:v>
                </c:pt>
                <c:pt idx="235">
                  <c:v>2290.8676527677749</c:v>
                </c:pt>
                <c:pt idx="236">
                  <c:v>2344.2288153199238</c:v>
                </c:pt>
                <c:pt idx="237">
                  <c:v>2398.8329190194918</c:v>
                </c:pt>
                <c:pt idx="238">
                  <c:v>2454.7089156850338</c:v>
                </c:pt>
                <c:pt idx="239">
                  <c:v>2511.8864315095811</c:v>
                </c:pt>
                <c:pt idx="240">
                  <c:v>2570.3957827688669</c:v>
                </c:pt>
                <c:pt idx="241">
                  <c:v>2630.2679918953822</c:v>
                </c:pt>
                <c:pt idx="242">
                  <c:v>2691.5348039269184</c:v>
                </c:pt>
                <c:pt idx="243">
                  <c:v>2754.228703338169</c:v>
                </c:pt>
                <c:pt idx="244">
                  <c:v>2818.3829312644561</c:v>
                </c:pt>
                <c:pt idx="245">
                  <c:v>2884.0315031266077</c:v>
                </c:pt>
                <c:pt idx="246">
                  <c:v>2951.2092266663876</c:v>
                </c:pt>
                <c:pt idx="247">
                  <c:v>3019.9517204020176</c:v>
                </c:pt>
                <c:pt idx="248">
                  <c:v>3090.295432513592</c:v>
                </c:pt>
                <c:pt idx="249">
                  <c:v>3162.2776601683804</c:v>
                </c:pt>
                <c:pt idx="250">
                  <c:v>3235.9365692962833</c:v>
                </c:pt>
                <c:pt idx="251">
                  <c:v>3311.3112148259115</c:v>
                </c:pt>
                <c:pt idx="252">
                  <c:v>3388.4415613920314</c:v>
                </c:pt>
                <c:pt idx="253">
                  <c:v>3467.3685045253224</c:v>
                </c:pt>
                <c:pt idx="254">
                  <c:v>3548.1338923357539</c:v>
                </c:pt>
                <c:pt idx="255">
                  <c:v>3630.7805477010188</c:v>
                </c:pt>
                <c:pt idx="256">
                  <c:v>3715.352290971724</c:v>
                </c:pt>
                <c:pt idx="257">
                  <c:v>3801.8939632056172</c:v>
                </c:pt>
                <c:pt idx="258">
                  <c:v>3890.451449942811</c:v>
                </c:pt>
                <c:pt idx="259">
                  <c:v>3981.0717055349769</c:v>
                </c:pt>
                <c:pt idx="260">
                  <c:v>4073.8027780411317</c:v>
                </c:pt>
                <c:pt idx="261">
                  <c:v>4168.6938347033583</c:v>
                </c:pt>
                <c:pt idx="262">
                  <c:v>4265.7951880159299</c:v>
                </c:pt>
                <c:pt idx="263">
                  <c:v>4365.1583224016631</c:v>
                </c:pt>
                <c:pt idx="264">
                  <c:v>4466.8359215096343</c:v>
                </c:pt>
                <c:pt idx="265">
                  <c:v>4570.8818961487532</c:v>
                </c:pt>
                <c:pt idx="266">
                  <c:v>4677.3514128719844</c:v>
                </c:pt>
                <c:pt idx="267">
                  <c:v>4786.3009232263848</c:v>
                </c:pt>
                <c:pt idx="268">
                  <c:v>4897.7881936844633</c:v>
                </c:pt>
                <c:pt idx="269">
                  <c:v>5011.8723362727324</c:v>
                </c:pt>
                <c:pt idx="270">
                  <c:v>5128.6138399136489</c:v>
                </c:pt>
                <c:pt idx="271">
                  <c:v>5248.0746024977261</c:v>
                </c:pt>
                <c:pt idx="272">
                  <c:v>5370.3179637025269</c:v>
                </c:pt>
                <c:pt idx="273">
                  <c:v>5495.4087385762541</c:v>
                </c:pt>
                <c:pt idx="274">
                  <c:v>5623.4132519034993</c:v>
                </c:pt>
                <c:pt idx="275">
                  <c:v>5754.399373371567</c:v>
                </c:pt>
                <c:pt idx="276">
                  <c:v>5888.4365535558973</c:v>
                </c:pt>
                <c:pt idx="277">
                  <c:v>6025.595860743585</c:v>
                </c:pt>
                <c:pt idx="278">
                  <c:v>6165.9500186148289</c:v>
                </c:pt>
                <c:pt idx="279">
                  <c:v>6309.5734448019384</c:v>
                </c:pt>
                <c:pt idx="280">
                  <c:v>6456.5422903465615</c:v>
                </c:pt>
                <c:pt idx="281">
                  <c:v>6606.9344800759654</c:v>
                </c:pt>
                <c:pt idx="282">
                  <c:v>6760.8297539198229</c:v>
                </c:pt>
                <c:pt idx="283">
                  <c:v>6918.3097091893687</c:v>
                </c:pt>
                <c:pt idx="284">
                  <c:v>7079.4578438413828</c:v>
                </c:pt>
                <c:pt idx="285">
                  <c:v>7244.3596007499036</c:v>
                </c:pt>
                <c:pt idx="286">
                  <c:v>7413.1024130091773</c:v>
                </c:pt>
                <c:pt idx="287">
                  <c:v>7585.7757502918394</c:v>
                </c:pt>
                <c:pt idx="288">
                  <c:v>7762.4711662869322</c:v>
                </c:pt>
                <c:pt idx="289">
                  <c:v>7943.2823472428154</c:v>
                </c:pt>
                <c:pt idx="290">
                  <c:v>8128.3051616410066</c:v>
                </c:pt>
                <c:pt idx="291">
                  <c:v>8317.6377110267094</c:v>
                </c:pt>
                <c:pt idx="292">
                  <c:v>8511.3803820237772</c:v>
                </c:pt>
                <c:pt idx="293">
                  <c:v>8709.6358995608189</c:v>
                </c:pt>
                <c:pt idx="294">
                  <c:v>8912.5093813374679</c:v>
                </c:pt>
                <c:pt idx="295">
                  <c:v>9120.1083935591087</c:v>
                </c:pt>
                <c:pt idx="296">
                  <c:v>9332.5430079699217</c:v>
                </c:pt>
                <c:pt idx="297">
                  <c:v>9549.9258602143691</c:v>
                </c:pt>
                <c:pt idx="298">
                  <c:v>9772.3722095581161</c:v>
                </c:pt>
                <c:pt idx="299">
                  <c:v>10000</c:v>
                </c:pt>
                <c:pt idx="300">
                  <c:v>10232.929922807549</c:v>
                </c:pt>
                <c:pt idx="301">
                  <c:v>10471.285480509003</c:v>
                </c:pt>
                <c:pt idx="302">
                  <c:v>10715.193052376071</c:v>
                </c:pt>
                <c:pt idx="303">
                  <c:v>10964.781961431856</c:v>
                </c:pt>
                <c:pt idx="304">
                  <c:v>11220.184543019639</c:v>
                </c:pt>
                <c:pt idx="305">
                  <c:v>11481.536214968832</c:v>
                </c:pt>
                <c:pt idx="306">
                  <c:v>11748.975549395318</c:v>
                </c:pt>
                <c:pt idx="307">
                  <c:v>12022.644346174151</c:v>
                </c:pt>
                <c:pt idx="308">
                  <c:v>12302.687708123816</c:v>
                </c:pt>
                <c:pt idx="309">
                  <c:v>12589.254117941671</c:v>
                </c:pt>
                <c:pt idx="310">
                  <c:v>12882.49551693136</c:v>
                </c:pt>
                <c:pt idx="311">
                  <c:v>13182.567385564091</c:v>
                </c:pt>
                <c:pt idx="312">
                  <c:v>13489.628825916556</c:v>
                </c:pt>
                <c:pt idx="313">
                  <c:v>13803.842646028841</c:v>
                </c:pt>
                <c:pt idx="314">
                  <c:v>14125.375446227561</c:v>
                </c:pt>
                <c:pt idx="315">
                  <c:v>14454.397707459291</c:v>
                </c:pt>
                <c:pt idx="316">
                  <c:v>14791.083881682089</c:v>
                </c:pt>
                <c:pt idx="317">
                  <c:v>15135.612484362096</c:v>
                </c:pt>
                <c:pt idx="318">
                  <c:v>15488.166189124853</c:v>
                </c:pt>
                <c:pt idx="319">
                  <c:v>15848.931924611146</c:v>
                </c:pt>
                <c:pt idx="320">
                  <c:v>16218.100973589309</c:v>
                </c:pt>
                <c:pt idx="321">
                  <c:v>16595.869074375616</c:v>
                </c:pt>
                <c:pt idx="322">
                  <c:v>16982.436524617482</c:v>
                </c:pt>
                <c:pt idx="323">
                  <c:v>17378.008287493791</c:v>
                </c:pt>
                <c:pt idx="324">
                  <c:v>17782.794100389234</c:v>
                </c:pt>
                <c:pt idx="325">
                  <c:v>18197.008586099837</c:v>
                </c:pt>
                <c:pt idx="326">
                  <c:v>18620.871366628675</c:v>
                </c:pt>
                <c:pt idx="327">
                  <c:v>19054.607179632505</c:v>
                </c:pt>
                <c:pt idx="328">
                  <c:v>19498.445997580486</c:v>
                </c:pt>
                <c:pt idx="329">
                  <c:v>19952.623149688792</c:v>
                </c:pt>
                <c:pt idx="330">
                  <c:v>20417.379446695286</c:v>
                </c:pt>
                <c:pt idx="331">
                  <c:v>20892.961308540423</c:v>
                </c:pt>
                <c:pt idx="332">
                  <c:v>21379.620895022348</c:v>
                </c:pt>
                <c:pt idx="333">
                  <c:v>21877.61623949555</c:v>
                </c:pt>
                <c:pt idx="334">
                  <c:v>22387.211385683382</c:v>
                </c:pt>
                <c:pt idx="335">
                  <c:v>22908.676527677751</c:v>
                </c:pt>
                <c:pt idx="336">
                  <c:v>23442.288153199243</c:v>
                </c:pt>
                <c:pt idx="337">
                  <c:v>23988.329190194923</c:v>
                </c:pt>
                <c:pt idx="338">
                  <c:v>24547.089156850321</c:v>
                </c:pt>
                <c:pt idx="339">
                  <c:v>25118.86431509586</c:v>
                </c:pt>
                <c:pt idx="340">
                  <c:v>25703.95782768865</c:v>
                </c:pt>
                <c:pt idx="341">
                  <c:v>26302.679918953829</c:v>
                </c:pt>
                <c:pt idx="342">
                  <c:v>26915.348039269167</c:v>
                </c:pt>
                <c:pt idx="343">
                  <c:v>27542.287033381719</c:v>
                </c:pt>
                <c:pt idx="344">
                  <c:v>28183.829312644593</c:v>
                </c:pt>
                <c:pt idx="345">
                  <c:v>28840.315031266062</c:v>
                </c:pt>
                <c:pt idx="346">
                  <c:v>29512.092266663854</c:v>
                </c:pt>
                <c:pt idx="347">
                  <c:v>30199.517204020212</c:v>
                </c:pt>
                <c:pt idx="348">
                  <c:v>30902.954325135954</c:v>
                </c:pt>
                <c:pt idx="349">
                  <c:v>31622.77660168384</c:v>
                </c:pt>
                <c:pt idx="350">
                  <c:v>32359.365692962871</c:v>
                </c:pt>
                <c:pt idx="351">
                  <c:v>33113.11214825909</c:v>
                </c:pt>
                <c:pt idx="352">
                  <c:v>33884.41561392029</c:v>
                </c:pt>
                <c:pt idx="353">
                  <c:v>34673.685045253202</c:v>
                </c:pt>
                <c:pt idx="354">
                  <c:v>35481.33892335758</c:v>
                </c:pt>
                <c:pt idx="355">
                  <c:v>36307.805477010232</c:v>
                </c:pt>
                <c:pt idx="356">
                  <c:v>37153.522909717351</c:v>
                </c:pt>
                <c:pt idx="357">
                  <c:v>38018.939632056143</c:v>
                </c:pt>
                <c:pt idx="358">
                  <c:v>38904.514499428085</c:v>
                </c:pt>
                <c:pt idx="359">
                  <c:v>39810.717055349742</c:v>
                </c:pt>
                <c:pt idx="360">
                  <c:v>40738.027780411358</c:v>
                </c:pt>
                <c:pt idx="361">
                  <c:v>41686.938347033625</c:v>
                </c:pt>
                <c:pt idx="362">
                  <c:v>42657.951880159271</c:v>
                </c:pt>
                <c:pt idx="363">
                  <c:v>43651.583224016598</c:v>
                </c:pt>
                <c:pt idx="364">
                  <c:v>44668.359215096389</c:v>
                </c:pt>
                <c:pt idx="365">
                  <c:v>45708.818961487581</c:v>
                </c:pt>
                <c:pt idx="366">
                  <c:v>46773.514128719893</c:v>
                </c:pt>
                <c:pt idx="367">
                  <c:v>47863.009232263823</c:v>
                </c:pt>
                <c:pt idx="368">
                  <c:v>48977.881936844598</c:v>
                </c:pt>
                <c:pt idx="369">
                  <c:v>50118.723362727294</c:v>
                </c:pt>
                <c:pt idx="370">
                  <c:v>51286.138399136544</c:v>
                </c:pt>
                <c:pt idx="371">
                  <c:v>52480.746024977314</c:v>
                </c:pt>
                <c:pt idx="372">
                  <c:v>53703.179637025423</c:v>
                </c:pt>
                <c:pt idx="373">
                  <c:v>54954.087385762505</c:v>
                </c:pt>
                <c:pt idx="374">
                  <c:v>56234.132519034953</c:v>
                </c:pt>
                <c:pt idx="375">
                  <c:v>57543.993733715732</c:v>
                </c:pt>
                <c:pt idx="376">
                  <c:v>58884.365535558936</c:v>
                </c:pt>
                <c:pt idx="377">
                  <c:v>60255.95860743591</c:v>
                </c:pt>
                <c:pt idx="378">
                  <c:v>61659.500186148245</c:v>
                </c:pt>
                <c:pt idx="379">
                  <c:v>63095.734448019342</c:v>
                </c:pt>
                <c:pt idx="380">
                  <c:v>64565.422903465682</c:v>
                </c:pt>
                <c:pt idx="381">
                  <c:v>66069.344800759733</c:v>
                </c:pt>
                <c:pt idx="382">
                  <c:v>67608.297539198305</c:v>
                </c:pt>
                <c:pt idx="383">
                  <c:v>69183.097091893651</c:v>
                </c:pt>
                <c:pt idx="384">
                  <c:v>70794.578438413781</c:v>
                </c:pt>
                <c:pt idx="385">
                  <c:v>72443.596007499116</c:v>
                </c:pt>
                <c:pt idx="386">
                  <c:v>74131.024130091857</c:v>
                </c:pt>
                <c:pt idx="387">
                  <c:v>75857.757502918481</c:v>
                </c:pt>
                <c:pt idx="388">
                  <c:v>77624.711662869129</c:v>
                </c:pt>
                <c:pt idx="389">
                  <c:v>79432.823472428237</c:v>
                </c:pt>
                <c:pt idx="390">
                  <c:v>81283.051616410012</c:v>
                </c:pt>
                <c:pt idx="391">
                  <c:v>83176.377110267174</c:v>
                </c:pt>
                <c:pt idx="392">
                  <c:v>85113.803820237721</c:v>
                </c:pt>
                <c:pt idx="393">
                  <c:v>87096.358995608127</c:v>
                </c:pt>
                <c:pt idx="394">
                  <c:v>89125.093813374609</c:v>
                </c:pt>
                <c:pt idx="395">
                  <c:v>91201.083935591028</c:v>
                </c:pt>
                <c:pt idx="396">
                  <c:v>93325.430079699145</c:v>
                </c:pt>
                <c:pt idx="397">
                  <c:v>95499.258602143804</c:v>
                </c:pt>
                <c:pt idx="398">
                  <c:v>97723.722095581266</c:v>
                </c:pt>
                <c:pt idx="399">
                  <c:v>100000</c:v>
                </c:pt>
                <c:pt idx="400">
                  <c:v>102329.29922807543</c:v>
                </c:pt>
                <c:pt idx="401">
                  <c:v>104712.85480508996</c:v>
                </c:pt>
                <c:pt idx="402">
                  <c:v>107151.93052376082</c:v>
                </c:pt>
                <c:pt idx="403">
                  <c:v>109647.81961431868</c:v>
                </c:pt>
                <c:pt idx="404">
                  <c:v>112201.84543019651</c:v>
                </c:pt>
                <c:pt idx="405">
                  <c:v>114815.36214968823</c:v>
                </c:pt>
                <c:pt idx="406">
                  <c:v>117489.75549395311</c:v>
                </c:pt>
                <c:pt idx="407">
                  <c:v>120226.44346174144</c:v>
                </c:pt>
                <c:pt idx="408">
                  <c:v>123026.87708123829</c:v>
                </c:pt>
                <c:pt idx="409">
                  <c:v>125892.54117941685</c:v>
                </c:pt>
                <c:pt idx="410">
                  <c:v>128824.95516931375</c:v>
                </c:pt>
                <c:pt idx="411">
                  <c:v>131825.67385564081</c:v>
                </c:pt>
                <c:pt idx="412">
                  <c:v>134896.28825916545</c:v>
                </c:pt>
                <c:pt idx="413">
                  <c:v>138038.42646028858</c:v>
                </c:pt>
                <c:pt idx="414">
                  <c:v>141253.75446227577</c:v>
                </c:pt>
                <c:pt idx="415">
                  <c:v>144543.97707459307</c:v>
                </c:pt>
                <c:pt idx="416">
                  <c:v>147910.83881682079</c:v>
                </c:pt>
                <c:pt idx="417">
                  <c:v>151356.12484362084</c:v>
                </c:pt>
                <c:pt idx="418">
                  <c:v>154881.66189124843</c:v>
                </c:pt>
                <c:pt idx="419">
                  <c:v>158489.31924611164</c:v>
                </c:pt>
                <c:pt idx="420">
                  <c:v>162181.00973589328</c:v>
                </c:pt>
                <c:pt idx="421">
                  <c:v>165958.69074375604</c:v>
                </c:pt>
                <c:pt idx="422">
                  <c:v>169824.36524617471</c:v>
                </c:pt>
                <c:pt idx="423">
                  <c:v>173780.0828749378</c:v>
                </c:pt>
                <c:pt idx="424">
                  <c:v>177827.94100389251</c:v>
                </c:pt>
                <c:pt idx="425">
                  <c:v>181970.08586099857</c:v>
                </c:pt>
                <c:pt idx="426">
                  <c:v>186208.71366628664</c:v>
                </c:pt>
                <c:pt idx="427">
                  <c:v>190546.07179632492</c:v>
                </c:pt>
                <c:pt idx="428">
                  <c:v>194984.45997580473</c:v>
                </c:pt>
                <c:pt idx="429">
                  <c:v>199526.23149688813</c:v>
                </c:pt>
                <c:pt idx="430">
                  <c:v>204173.79446695308</c:v>
                </c:pt>
                <c:pt idx="431">
                  <c:v>208929.61308540447</c:v>
                </c:pt>
                <c:pt idx="432">
                  <c:v>213796.20895022334</c:v>
                </c:pt>
                <c:pt idx="433">
                  <c:v>218776.16239495538</c:v>
                </c:pt>
                <c:pt idx="434">
                  <c:v>223872.11385683404</c:v>
                </c:pt>
                <c:pt idx="435">
                  <c:v>229086.76527677779</c:v>
                </c:pt>
                <c:pt idx="436">
                  <c:v>234422.88153199267</c:v>
                </c:pt>
                <c:pt idx="437">
                  <c:v>239883.29190194907</c:v>
                </c:pt>
                <c:pt idx="438">
                  <c:v>245470.89156850305</c:v>
                </c:pt>
                <c:pt idx="439">
                  <c:v>251188.64315095844</c:v>
                </c:pt>
                <c:pt idx="440">
                  <c:v>257039.57827688678</c:v>
                </c:pt>
                <c:pt idx="441">
                  <c:v>263026.79918953858</c:v>
                </c:pt>
                <c:pt idx="442">
                  <c:v>269153.48039269145</c:v>
                </c:pt>
                <c:pt idx="443">
                  <c:v>275422.87033381703</c:v>
                </c:pt>
                <c:pt idx="444">
                  <c:v>281838.29312644573</c:v>
                </c:pt>
                <c:pt idx="445">
                  <c:v>288403.1503126609</c:v>
                </c:pt>
                <c:pt idx="446">
                  <c:v>295120.92266663886</c:v>
                </c:pt>
                <c:pt idx="447">
                  <c:v>301995.17204020242</c:v>
                </c:pt>
                <c:pt idx="448">
                  <c:v>309029.54325135931</c:v>
                </c:pt>
                <c:pt idx="449">
                  <c:v>316227.7660168382</c:v>
                </c:pt>
                <c:pt idx="450">
                  <c:v>323593.65692962846</c:v>
                </c:pt>
                <c:pt idx="451">
                  <c:v>331131.12148259126</c:v>
                </c:pt>
                <c:pt idx="452">
                  <c:v>338844.15613920329</c:v>
                </c:pt>
                <c:pt idx="453">
                  <c:v>346736.85045253241</c:v>
                </c:pt>
                <c:pt idx="454">
                  <c:v>354813.38923357555</c:v>
                </c:pt>
                <c:pt idx="455">
                  <c:v>363078.05477010203</c:v>
                </c:pt>
                <c:pt idx="456">
                  <c:v>371535.2290971732</c:v>
                </c:pt>
                <c:pt idx="457">
                  <c:v>380189.39632056188</c:v>
                </c:pt>
                <c:pt idx="458">
                  <c:v>389045.14499428123</c:v>
                </c:pt>
                <c:pt idx="459">
                  <c:v>398107.17055349716</c:v>
                </c:pt>
                <c:pt idx="460">
                  <c:v>407380.27780411334</c:v>
                </c:pt>
                <c:pt idx="461">
                  <c:v>416869.38347033598</c:v>
                </c:pt>
                <c:pt idx="462">
                  <c:v>426579.51880159322</c:v>
                </c:pt>
                <c:pt idx="463">
                  <c:v>436515.83224016649</c:v>
                </c:pt>
                <c:pt idx="464">
                  <c:v>446683.59215096442</c:v>
                </c:pt>
                <c:pt idx="465">
                  <c:v>457088.18961487547</c:v>
                </c:pt>
                <c:pt idx="466">
                  <c:v>467735.14128719864</c:v>
                </c:pt>
                <c:pt idx="467">
                  <c:v>478630.09232263872</c:v>
                </c:pt>
                <c:pt idx="468">
                  <c:v>489778.81936844654</c:v>
                </c:pt>
                <c:pt idx="469">
                  <c:v>501187.23362727347</c:v>
                </c:pt>
                <c:pt idx="470">
                  <c:v>512861.38399136515</c:v>
                </c:pt>
                <c:pt idx="471">
                  <c:v>524807.46024977288</c:v>
                </c:pt>
                <c:pt idx="472">
                  <c:v>537031.7963702539</c:v>
                </c:pt>
                <c:pt idx="473">
                  <c:v>549540.87385762564</c:v>
                </c:pt>
                <c:pt idx="474">
                  <c:v>562341.32519035018</c:v>
                </c:pt>
                <c:pt idx="475">
                  <c:v>575439.93733715697</c:v>
                </c:pt>
                <c:pt idx="476">
                  <c:v>588843.65535558888</c:v>
                </c:pt>
                <c:pt idx="477">
                  <c:v>602559.58607435878</c:v>
                </c:pt>
                <c:pt idx="478">
                  <c:v>616595.00186148309</c:v>
                </c:pt>
                <c:pt idx="479">
                  <c:v>630957.34448019415</c:v>
                </c:pt>
                <c:pt idx="480">
                  <c:v>645654.22903465747</c:v>
                </c:pt>
                <c:pt idx="481">
                  <c:v>660693.44800759677</c:v>
                </c:pt>
                <c:pt idx="482">
                  <c:v>676082.97539198259</c:v>
                </c:pt>
                <c:pt idx="483">
                  <c:v>691830.97091893724</c:v>
                </c:pt>
                <c:pt idx="484">
                  <c:v>707945.78438413853</c:v>
                </c:pt>
                <c:pt idx="485">
                  <c:v>724435.96007499192</c:v>
                </c:pt>
                <c:pt idx="486">
                  <c:v>741310.24130091805</c:v>
                </c:pt>
                <c:pt idx="487">
                  <c:v>758577.57502918423</c:v>
                </c:pt>
                <c:pt idx="488">
                  <c:v>776247.11662869214</c:v>
                </c:pt>
                <c:pt idx="489">
                  <c:v>794328.23472428333</c:v>
                </c:pt>
                <c:pt idx="490">
                  <c:v>812830.51616410096</c:v>
                </c:pt>
                <c:pt idx="491">
                  <c:v>831763.77110267128</c:v>
                </c:pt>
                <c:pt idx="492">
                  <c:v>851138.03820237669</c:v>
                </c:pt>
                <c:pt idx="493">
                  <c:v>870963.58995608077</c:v>
                </c:pt>
                <c:pt idx="494">
                  <c:v>891250.93813374708</c:v>
                </c:pt>
                <c:pt idx="495">
                  <c:v>912010.83935591124</c:v>
                </c:pt>
                <c:pt idx="496">
                  <c:v>933254.30079699249</c:v>
                </c:pt>
                <c:pt idx="497">
                  <c:v>954992.58602143743</c:v>
                </c:pt>
                <c:pt idx="498">
                  <c:v>977237.22095581202</c:v>
                </c:pt>
                <c:pt idx="499">
                  <c:v>1000000</c:v>
                </c:pt>
                <c:pt idx="500">
                  <c:v>1023292.9922807553</c:v>
                </c:pt>
                <c:pt idx="501">
                  <c:v>1047128.5480509007</c:v>
                </c:pt>
                <c:pt idx="502">
                  <c:v>1071519.3052376076</c:v>
                </c:pt>
                <c:pt idx="503">
                  <c:v>1096478.196143186</c:v>
                </c:pt>
                <c:pt idx="504">
                  <c:v>1122018.4543019643</c:v>
                </c:pt>
                <c:pt idx="505">
                  <c:v>1148153.6214968837</c:v>
                </c:pt>
                <c:pt idx="506">
                  <c:v>1174897.5549395324</c:v>
                </c:pt>
                <c:pt idx="507">
                  <c:v>1202264.4346174158</c:v>
                </c:pt>
                <c:pt idx="508">
                  <c:v>1230268.770812382</c:v>
                </c:pt>
                <c:pt idx="509">
                  <c:v>1258925.4117941677</c:v>
                </c:pt>
                <c:pt idx="510">
                  <c:v>1288249.5516931366</c:v>
                </c:pt>
                <c:pt idx="511">
                  <c:v>1318256.7385564097</c:v>
                </c:pt>
                <c:pt idx="512">
                  <c:v>1348962.8825916562</c:v>
                </c:pt>
                <c:pt idx="513">
                  <c:v>1380384.2646028849</c:v>
                </c:pt>
                <c:pt idx="514">
                  <c:v>1412537.5446227565</c:v>
                </c:pt>
                <c:pt idx="515">
                  <c:v>1445439.7707459298</c:v>
                </c:pt>
                <c:pt idx="516">
                  <c:v>1479108.3881682095</c:v>
                </c:pt>
                <c:pt idx="517">
                  <c:v>1513561.2484362102</c:v>
                </c:pt>
                <c:pt idx="518">
                  <c:v>1548816.6189124861</c:v>
                </c:pt>
                <c:pt idx="519">
                  <c:v>1584893.1924611153</c:v>
                </c:pt>
                <c:pt idx="520">
                  <c:v>1621810.0973589318</c:v>
                </c:pt>
                <c:pt idx="521">
                  <c:v>1659586.9074375622</c:v>
                </c:pt>
                <c:pt idx="522">
                  <c:v>1698243.6524617488</c:v>
                </c:pt>
                <c:pt idx="523">
                  <c:v>1737800.8287493798</c:v>
                </c:pt>
                <c:pt idx="524">
                  <c:v>1778279.4100389241</c:v>
                </c:pt>
                <c:pt idx="525">
                  <c:v>1819700.8586099846</c:v>
                </c:pt>
                <c:pt idx="526">
                  <c:v>1862087.1366628683</c:v>
                </c:pt>
                <c:pt idx="527">
                  <c:v>1905460.7179632513</c:v>
                </c:pt>
                <c:pt idx="528">
                  <c:v>1949844.5997580495</c:v>
                </c:pt>
                <c:pt idx="529">
                  <c:v>1995262.31496888</c:v>
                </c:pt>
                <c:pt idx="530">
                  <c:v>2041737.9446695296</c:v>
                </c:pt>
                <c:pt idx="531">
                  <c:v>2089296.1308540432</c:v>
                </c:pt>
                <c:pt idx="532">
                  <c:v>2137962.0895022359</c:v>
                </c:pt>
                <c:pt idx="533">
                  <c:v>2187761.6239495561</c:v>
                </c:pt>
                <c:pt idx="534">
                  <c:v>2238721.1385683389</c:v>
                </c:pt>
                <c:pt idx="535">
                  <c:v>2290867.6527677765</c:v>
                </c:pt>
                <c:pt idx="536">
                  <c:v>2344228.8153199251</c:v>
                </c:pt>
                <c:pt idx="537">
                  <c:v>2398832.9190194933</c:v>
                </c:pt>
                <c:pt idx="538">
                  <c:v>2454708.915685033</c:v>
                </c:pt>
                <c:pt idx="539">
                  <c:v>2511886.431509587</c:v>
                </c:pt>
                <c:pt idx="540">
                  <c:v>2570395.782768866</c:v>
                </c:pt>
                <c:pt idx="541">
                  <c:v>2630267.9918953842</c:v>
                </c:pt>
              </c:numCache>
            </c:numRef>
          </c:xVal>
          <c:yVal>
            <c:numRef>
              <c:f>Loop_Modeling!$AE$19:$AE$560</c:f>
              <c:numCache>
                <c:formatCode>General</c:formatCode>
                <c:ptCount val="542"/>
                <c:pt idx="0">
                  <c:v>-0.82632018108190453</c:v>
                </c:pt>
                <c:pt idx="1">
                  <c:v>-0.84556488325571666</c:v>
                </c:pt>
                <c:pt idx="2">
                  <c:v>-0.86525765424009304</c:v>
                </c:pt>
                <c:pt idx="3">
                  <c:v>-0.88540891674990485</c:v>
                </c:pt>
                <c:pt idx="4">
                  <c:v>-0.90602933526482543</c:v>
                </c:pt>
                <c:pt idx="5">
                  <c:v>-0.92712982158860124</c:v>
                </c:pt>
                <c:pt idx="6">
                  <c:v>-0.94872154053246016</c:v>
                </c:pt>
                <c:pt idx="7">
                  <c:v>-0.97081591572549197</c:v>
                </c:pt>
                <c:pt idx="8">
                  <c:v>-0.99342463555439164</c:v>
                </c:pt>
                <c:pt idx="9">
                  <c:v>-1.016559659235263</c:v>
                </c:pt>
                <c:pt idx="10">
                  <c:v>-1.0402332230199698</c:v>
                </c:pt>
                <c:pt idx="11">
                  <c:v>-1.0644578465398891</c:v>
                </c:pt>
                <c:pt idx="12">
                  <c:v>-1.0892463392895235</c:v>
                </c:pt>
                <c:pt idx="13">
                  <c:v>-1.1146118072528084</c:v>
                </c:pt>
                <c:pt idx="14">
                  <c:v>-1.1405676596748331</c:v>
                </c:pt>
                <c:pt idx="15">
                  <c:v>-1.1671276159817212</c:v>
                </c:pt>
                <c:pt idx="16">
                  <c:v>-1.1943057128513286</c:v>
                </c:pt>
                <c:pt idx="17">
                  <c:v>-1.2221163114377609</c:v>
                </c:pt>
                <c:pt idx="18">
                  <c:v>-1.2505741047522592</c:v>
                </c:pt>
                <c:pt idx="19">
                  <c:v>-1.2796941252035032</c:v>
                </c:pt>
                <c:pt idx="20">
                  <c:v>-1.3094917522998901</c:v>
                </c:pt>
                <c:pt idx="21">
                  <c:v>-1.3399827205168484</c:v>
                </c:pt>
                <c:pt idx="22">
                  <c:v>-1.3711831273317951</c:v>
                </c:pt>
                <c:pt idx="23">
                  <c:v>-1.4031094414297007</c:v>
                </c:pt>
                <c:pt idx="24">
                  <c:v>-1.435778511081881</c:v>
                </c:pt>
                <c:pt idx="25">
                  <c:v>-1.4692075727010547</c:v>
                </c:pt>
                <c:pt idx="26">
                  <c:v>-1.5034142595749764</c:v>
                </c:pt>
                <c:pt idx="27">
                  <c:v>-1.5384166107818884</c:v>
                </c:pt>
                <c:pt idx="28">
                  <c:v>-1.5742330802900784</c:v>
                </c:pt>
                <c:pt idx="29">
                  <c:v>-1.6108825462442447</c:v>
                </c:pt>
                <c:pt idx="30">
                  <c:v>-1.6483843204413933</c:v>
                </c:pt>
                <c:pt idx="31">
                  <c:v>-1.6867581579986684</c:v>
                </c:pt>
                <c:pt idx="32">
                  <c:v>-1.7260242672153925</c:v>
                </c:pt>
                <c:pt idx="33">
                  <c:v>-1.7662033196320026</c:v>
                </c:pt>
                <c:pt idx="34">
                  <c:v>-1.80731646028783</c:v>
                </c:pt>
                <c:pt idx="35">
                  <c:v>-1.8493853181799134</c:v>
                </c:pt>
                <c:pt idx="36">
                  <c:v>-1.8924320169250493</c:v>
                </c:pt>
                <c:pt idx="37">
                  <c:v>-1.9364791856265569</c:v>
                </c:pt>
                <c:pt idx="38">
                  <c:v>-1.9815499699479067</c:v>
                </c:pt>
                <c:pt idx="39">
                  <c:v>-2.027668043394359</c:v>
                </c:pt>
                <c:pt idx="40">
                  <c:v>-2.0748576188041374</c:v>
                </c:pt>
                <c:pt idx="41">
                  <c:v>-2.1231434600503007</c:v>
                </c:pt>
                <c:pt idx="42">
                  <c:v>-2.1725508939540186</c:v>
                </c:pt>
                <c:pt idx="43">
                  <c:v>-2.2231058224099507</c:v>
                </c:pt>
                <c:pt idx="44">
                  <c:v>-2.2748347347241671</c:v>
                </c:pt>
                <c:pt idx="45">
                  <c:v>-2.3277647201645029</c:v>
                </c:pt>
                <c:pt idx="46">
                  <c:v>-2.3819234807229388</c:v>
                </c:pt>
                <c:pt idx="47">
                  <c:v>-2.4373393440896192</c:v>
                </c:pt>
                <c:pt idx="48">
                  <c:v>-2.4940412768370308</c:v>
                </c:pt>
                <c:pt idx="49">
                  <c:v>-2.5520588978130769</c:v>
                </c:pt>
                <c:pt idx="50">
                  <c:v>-2.6114224917408588</c:v>
                </c:pt>
                <c:pt idx="51">
                  <c:v>-2.6721630230226152</c:v>
                </c:pt>
                <c:pt idx="52">
                  <c:v>-2.7343121497447416</c:v>
                </c:pt>
                <c:pt idx="53">
                  <c:v>-2.7979022378802707</c:v>
                </c:pt>
                <c:pt idx="54">
                  <c:v>-2.8629663756839339</c:v>
                </c:pt>
                <c:pt idx="55">
                  <c:v>-2.9295383882753545</c:v>
                </c:pt>
                <c:pt idx="56">
                  <c:v>-2.9976528524038408</c:v>
                </c:pt>
                <c:pt idx="57">
                  <c:v>-3.0673451113883967</c:v>
                </c:pt>
                <c:pt idx="58">
                  <c:v>-3.1386512902252113</c:v>
                </c:pt>
                <c:pt idx="59">
                  <c:v>-3.2116083108538382</c:v>
                </c:pt>
                <c:pt idx="60">
                  <c:v>-3.2862539075725428</c:v>
                </c:pt>
                <c:pt idx="61">
                  <c:v>-3.362626642592077</c:v>
                </c:pt>
                <c:pt idx="62">
                  <c:v>-3.440765921715319</c:v>
                </c:pt>
                <c:pt idx="63">
                  <c:v>-3.5207120101303016</c:v>
                </c:pt>
                <c:pt idx="64">
                  <c:v>-3.6025060483009397</c:v>
                </c:pt>
                <c:pt idx="65">
                  <c:v>-3.6861900679398731</c:v>
                </c:pt>
                <c:pt idx="66">
                  <c:v>-3.7718070080451884</c:v>
                </c:pt>
                <c:pt idx="67">
                  <c:v>-3.8594007309814442</c:v>
                </c:pt>
                <c:pt idx="68">
                  <c:v>-3.9490160385837383</c:v>
                </c:pt>
                <c:pt idx="69">
                  <c:v>-4.0406986882611209</c:v>
                </c:pt>
                <c:pt idx="70">
                  <c:v>-4.1344954090737014</c:v>
                </c:pt>
                <c:pt idx="71">
                  <c:v>-4.2304539177560017</c:v>
                </c:pt>
                <c:pt idx="72">
                  <c:v>-4.3286229346557672</c:v>
                </c:pt>
                <c:pt idx="73">
                  <c:v>-4.4290521995557848</c:v>
                </c:pt>
                <c:pt idx="74">
                  <c:v>-4.5317924873428783</c:v>
                </c:pt>
                <c:pt idx="75">
                  <c:v>-4.6368956234853478</c:v>
                </c:pt>
                <c:pt idx="76">
                  <c:v>-4.7444144992777249</c:v>
                </c:pt>
                <c:pt idx="77">
                  <c:v>-4.8544030868070278</c:v>
                </c:pt>
                <c:pt idx="78">
                  <c:v>-4.9669164535928054</c:v>
                </c:pt>
                <c:pt idx="79">
                  <c:v>-5.082010776847663</c:v>
                </c:pt>
                <c:pt idx="80">
                  <c:v>-5.1997433573027489</c:v>
                </c:pt>
                <c:pt idx="81">
                  <c:v>-5.3201726325374139</c:v>
                </c:pt>
                <c:pt idx="82">
                  <c:v>-5.4433581897474692</c:v>
                </c:pt>
                <c:pt idx="83">
                  <c:v>-5.5693607778828511</c:v>
                </c:pt>
                <c:pt idx="84">
                  <c:v>-5.6982423190796032</c:v>
                </c:pt>
                <c:pt idx="85">
                  <c:v>-5.8300659193057172</c:v>
                </c:pt>
                <c:pt idx="86">
                  <c:v>-5.9648958781352359</c:v>
                </c:pt>
                <c:pt idx="87">
                  <c:v>-6.1027976975590095</c:v>
                </c:pt>
                <c:pt idx="88">
                  <c:v>-6.2438380897339503</c:v>
                </c:pt>
                <c:pt idx="89">
                  <c:v>-6.3880849835658173</c:v>
                </c:pt>
                <c:pt idx="90">
                  <c:v>-6.535607530014941</c:v>
                </c:pt>
                <c:pt idx="91">
                  <c:v>-6.6864761060054922</c:v>
                </c:pt>
                <c:pt idx="92">
                  <c:v>-6.8407623168121336</c:v>
                </c:pt>
                <c:pt idx="93">
                  <c:v>-6.9985389967899918</c:v>
                </c:pt>
                <c:pt idx="94">
                  <c:v>-7.1598802083052862</c:v>
                </c:pt>
                <c:pt idx="95">
                  <c:v>-7.3248612387150791</c:v>
                </c:pt>
                <c:pt idx="96">
                  <c:v>-7.4935585952369639</c:v>
                </c:pt>
                <c:pt idx="97">
                  <c:v>-7.6660499975380105</c:v>
                </c:pt>
                <c:pt idx="98">
                  <c:v>-7.8424143678641256</c:v>
                </c:pt>
                <c:pt idx="99">
                  <c:v>-8.0227318185214056</c:v>
                </c:pt>
                <c:pt idx="100">
                  <c:v>-8.2070836365088269</c:v>
                </c:pt>
                <c:pt idx="101">
                  <c:v>-8.3955522650922045</c:v>
                </c:pt>
                <c:pt idx="102">
                  <c:v>-8.5882212821000543</c:v>
                </c:pt>
                <c:pt idx="103">
                  <c:v>-8.7851753747065953</c:v>
                </c:pt>
                <c:pt idx="104">
                  <c:v>-8.9865003104609773</c:v>
                </c:pt>
                <c:pt idx="105">
                  <c:v>-9.1922829043070369</c:v>
                </c:pt>
                <c:pt idx="106">
                  <c:v>-9.4026109813266032</c:v>
                </c:pt>
                <c:pt idx="107">
                  <c:v>-9.6175733349301886</c:v>
                </c:pt>
                <c:pt idx="108">
                  <c:v>-9.8372596802045127</c:v>
                </c:pt>
                <c:pt idx="109">
                  <c:v>-10.061760602117074</c:v>
                </c:pt>
                <c:pt idx="110">
                  <c:v>-10.291167498266432</c:v>
                </c:pt>
                <c:pt idx="111">
                  <c:v>-10.525572515855323</c:v>
                </c:pt>
                <c:pt idx="112">
                  <c:v>-10.765068482554815</c:v>
                </c:pt>
                <c:pt idx="113">
                  <c:v>-11.009748830917831</c:v>
                </c:pt>
                <c:pt idx="114">
                  <c:v>-11.259707515990689</c:v>
                </c:pt>
                <c:pt idx="115">
                  <c:v>-11.515038925764866</c:v>
                </c:pt>
                <c:pt idx="116">
                  <c:v>-11.775837784103835</c:v>
                </c:pt>
                <c:pt idx="117">
                  <c:v>-12.042199045774732</c:v>
                </c:pt>
                <c:pt idx="118">
                  <c:v>-12.314217783211191</c:v>
                </c:pt>
                <c:pt idx="119">
                  <c:v>-12.591989064631898</c:v>
                </c:pt>
                <c:pt idx="120">
                  <c:v>-12.875607823139751</c:v>
                </c:pt>
                <c:pt idx="121">
                  <c:v>-13.165168716429884</c:v>
                </c:pt>
                <c:pt idx="122">
                  <c:v>-13.460765976739738</c:v>
                </c:pt>
                <c:pt idx="123">
                  <c:v>-13.762493250684585</c:v>
                </c:pt>
                <c:pt idx="124">
                  <c:v>-14.070443428631819</c:v>
                </c:pt>
                <c:pt idx="125">
                  <c:v>-14.384708463287303</c:v>
                </c:pt>
                <c:pt idx="126">
                  <c:v>-14.705379177183868</c:v>
                </c:pt>
                <c:pt idx="127">
                  <c:v>-15.032545058788266</c:v>
                </c:pt>
                <c:pt idx="128">
                  <c:v>-15.366294046975399</c:v>
                </c:pt>
                <c:pt idx="129">
                  <c:v>-15.706712303652264</c:v>
                </c:pt>
                <c:pt idx="130">
                  <c:v>-16.053883974354566</c:v>
                </c:pt>
                <c:pt idx="131">
                  <c:v>-16.407890936692517</c:v>
                </c:pt>
                <c:pt idx="132">
                  <c:v>-16.768812536570188</c:v>
                </c:pt>
                <c:pt idx="133">
                  <c:v>-17.136725312172484</c:v>
                </c:pt>
                <c:pt idx="134">
                  <c:v>-17.511702705777132</c:v>
                </c:pt>
                <c:pt idx="135">
                  <c:v>-17.893814763532383</c:v>
                </c:pt>
                <c:pt idx="136">
                  <c:v>-18.283127823423097</c:v>
                </c:pt>
                <c:pt idx="137">
                  <c:v>-18.679704191746566</c:v>
                </c:pt>
                <c:pt idx="138">
                  <c:v>-19.083601808515667</c:v>
                </c:pt>
                <c:pt idx="139">
                  <c:v>-19.494873902330163</c:v>
                </c:pt>
                <c:pt idx="140">
                  <c:v>-19.913568635363283</c:v>
                </c:pt>
                <c:pt idx="141">
                  <c:v>-20.339728739252422</c:v>
                </c:pt>
                <c:pt idx="142">
                  <c:v>-20.773391142809281</c:v>
                </c:pt>
                <c:pt idx="143">
                  <c:v>-21.214586592616371</c:v>
                </c:pt>
                <c:pt idx="144">
                  <c:v>-21.663339267724616</c:v>
                </c:pt>
                <c:pt idx="145">
                  <c:v>-22.119666389823198</c:v>
                </c:pt>
                <c:pt idx="146">
                  <c:v>-22.58357783041755</c:v>
                </c:pt>
                <c:pt idx="147">
                  <c:v>-23.055075716715233</c:v>
                </c:pt>
                <c:pt idx="148">
                  <c:v>-23.534154038087582</c:v>
                </c:pt>
                <c:pt idx="149">
                  <c:v>-24.020798255143209</c:v>
                </c:pt>
                <c:pt idx="150">
                  <c:v>-24.514984913614711</c:v>
                </c:pt>
                <c:pt idx="151">
                  <c:v>-25.016681265424321</c:v>
                </c:pt>
                <c:pt idx="152">
                  <c:v>-25.525844899447108</c:v>
                </c:pt>
                <c:pt idx="153">
                  <c:v>-26.042423384639847</c:v>
                </c:pt>
                <c:pt idx="154">
                  <c:v>-26.566353928331793</c:v>
                </c:pt>
                <c:pt idx="155">
                  <c:v>-27.097563052602801</c:v>
                </c:pt>
                <c:pt idx="156">
                  <c:v>-27.635966291760106</c:v>
                </c:pt>
                <c:pt idx="157">
                  <c:v>-28.18146791401983</c:v>
                </c:pt>
                <c:pt idx="158">
                  <c:v>-28.733960670536117</c:v>
                </c:pt>
                <c:pt idx="159">
                  <c:v>-29.293325574957109</c:v>
                </c:pt>
                <c:pt idx="160">
                  <c:v>-29.859431716676717</c:v>
                </c:pt>
                <c:pt idx="161">
                  <c:v>-30.4321361109035</c:v>
                </c:pt>
                <c:pt idx="162">
                  <c:v>-31.011283588600346</c:v>
                </c:pt>
                <c:pt idx="163">
                  <c:v>-31.596706729217441</c:v>
                </c:pt>
                <c:pt idx="164">
                  <c:v>-32.188225838992665</c:v>
                </c:pt>
                <c:pt idx="165">
                  <c:v>-32.7856489773785</c:v>
                </c:pt>
                <c:pt idx="166">
                  <c:v>-33.388772033921001</c:v>
                </c:pt>
                <c:pt idx="167">
                  <c:v>-33.997378857615253</c:v>
                </c:pt>
                <c:pt idx="168">
                  <c:v>-34.611241440438434</c:v>
                </c:pt>
                <c:pt idx="169">
                  <c:v>-35.230120156382561</c:v>
                </c:pt>
                <c:pt idx="170">
                  <c:v>-35.853764056906734</c:v>
                </c:pt>
                <c:pt idx="171">
                  <c:v>-36.481911223269897</c:v>
                </c:pt>
                <c:pt idx="172">
                  <c:v>-37.114289175748304</c:v>
                </c:pt>
                <c:pt idx="173">
                  <c:v>-37.75061533922706</c:v>
                </c:pt>
                <c:pt idx="174">
                  <c:v>-38.390597564145452</c:v>
                </c:pt>
                <c:pt idx="175">
                  <c:v>-39.033934701241641</c:v>
                </c:pt>
                <c:pt idx="176">
                  <c:v>-39.680317228015333</c:v>
                </c:pt>
                <c:pt idx="177">
                  <c:v>-40.329427924287479</c:v>
                </c:pt>
                <c:pt idx="178">
                  <c:v>-40.980942593727491</c:v>
                </c:pt>
                <c:pt idx="179">
                  <c:v>-41.634530827716063</c:v>
                </c:pt>
                <c:pt idx="180">
                  <c:v>-42.289856807445275</c:v>
                </c:pt>
                <c:pt idx="181">
                  <c:v>-42.946580139725661</c:v>
                </c:pt>
                <c:pt idx="182">
                  <c:v>-43.604356721585418</c:v>
                </c:pt>
                <c:pt idx="183">
                  <c:v>-44.262839628409054</c:v>
                </c:pt>
                <c:pt idx="184">
                  <c:v>-44.921680020090932</c:v>
                </c:pt>
                <c:pt idx="185">
                  <c:v>-45.580528059457741</c:v>
                </c:pt>
                <c:pt idx="186">
                  <c:v>-46.239033837078814</c:v>
                </c:pt>
                <c:pt idx="187">
                  <c:v>-46.896848296494497</c:v>
                </c:pt>
                <c:pt idx="188">
                  <c:v>-47.553624153896827</c:v>
                </c:pt>
                <c:pt idx="189">
                  <c:v>-48.209016806359017</c:v>
                </c:pt>
                <c:pt idx="190">
                  <c:v>-48.86268522284999</c:v>
                </c:pt>
                <c:pt idx="191">
                  <c:v>-49.514292812468774</c:v>
                </c:pt>
                <c:pt idx="192">
                  <c:v>-50.163508264612155</c:v>
                </c:pt>
                <c:pt idx="193">
                  <c:v>-50.810006356103024</c:v>
                </c:pt>
                <c:pt idx="194">
                  <c:v>-51.453468720699462</c:v>
                </c:pt>
                <c:pt idx="195">
                  <c:v>-52.093584576817229</c:v>
                </c:pt>
                <c:pt idx="196">
                  <c:v>-52.730051409776927</c:v>
                </c:pt>
                <c:pt idx="197">
                  <c:v>-53.362575605362636</c:v>
                </c:pt>
                <c:pt idx="198">
                  <c:v>-53.99087303201069</c:v>
                </c:pt>
                <c:pt idx="199">
                  <c:v>-54.614669569468731</c:v>
                </c:pt>
                <c:pt idx="200">
                  <c:v>-55.23370158229438</c:v>
                </c:pt>
                <c:pt idx="201">
                  <c:v>-55.847716337102355</c:v>
                </c:pt>
                <c:pt idx="202">
                  <c:v>-56.456472362986652</c:v>
                </c:pt>
                <c:pt idx="203">
                  <c:v>-57.059739755040511</c:v>
                </c:pt>
                <c:pt idx="204">
                  <c:v>-57.657300421382672</c:v>
                </c:pt>
                <c:pt idx="205">
                  <c:v>-58.248948274548717</c:v>
                </c:pt>
                <c:pt idx="206">
                  <c:v>-58.834489368513204</c:v>
                </c:pt>
                <c:pt idx="207">
                  <c:v>-59.413741982997578</c:v>
                </c:pt>
                <c:pt idx="208">
                  <c:v>-59.986536657047637</c:v>
                </c:pt>
                <c:pt idx="209">
                  <c:v>-60.552716174166122</c:v>
                </c:pt>
                <c:pt idx="210">
                  <c:v>-61.112135501535356</c:v>
                </c:pt>
                <c:pt idx="211">
                  <c:v>-61.664661686074666</c:v>
                </c:pt>
                <c:pt idx="212">
                  <c:v>-62.210173710243325</c:v>
                </c:pt>
                <c:pt idx="213">
                  <c:v>-62.748562310627186</c:v>
                </c:pt>
                <c:pt idx="214">
                  <c:v>-63.279729762425397</c:v>
                </c:pt>
                <c:pt idx="215">
                  <c:v>-63.803589633007817</c:v>
                </c:pt>
                <c:pt idx="216">
                  <c:v>-64.320066507722629</c:v>
                </c:pt>
                <c:pt idx="217">
                  <c:v>-64.829095691110595</c:v>
                </c:pt>
                <c:pt idx="218">
                  <c:v>-65.33062288663919</c:v>
                </c:pt>
                <c:pt idx="219">
                  <c:v>-65.824603857991676</c:v>
                </c:pt>
                <c:pt idx="220">
                  <c:v>-66.311004074848682</c:v>
                </c:pt>
                <c:pt idx="221">
                  <c:v>-66.789798345985247</c:v>
                </c:pt>
                <c:pt idx="222">
                  <c:v>-67.260970442376205</c:v>
                </c:pt>
                <c:pt idx="223">
                  <c:v>-67.724512712853041</c:v>
                </c:pt>
                <c:pt idx="224">
                  <c:v>-68.18042569470721</c:v>
                </c:pt>
                <c:pt idx="225">
                  <c:v>-68.628717721470181</c:v>
                </c:pt>
                <c:pt idx="226">
                  <c:v>-69.069404529937714</c:v>
                </c:pt>
                <c:pt idx="227">
                  <c:v>-69.502508868333493</c:v>
                </c:pt>
                <c:pt idx="228">
                  <c:v>-69.928060107347463</c:v>
                </c:pt>
                <c:pt idx="229">
                  <c:v>-70.346093855613859</c:v>
                </c:pt>
                <c:pt idx="230">
                  <c:v>-70.756651581028649</c:v>
                </c:pt>
                <c:pt idx="231">
                  <c:v>-71.159780239159531</c:v>
                </c:pt>
                <c:pt idx="232">
                  <c:v>-71.55553190983639</c:v>
                </c:pt>
                <c:pt idx="233">
                  <c:v>-71.943963442878498</c:v>
                </c:pt>
                <c:pt idx="234">
                  <c:v>-72.32513611376784</c:v>
                </c:pt>
                <c:pt idx="235">
                  <c:v>-72.699115289954349</c:v>
                </c:pt>
                <c:pt idx="236">
                  <c:v>-73.065970108356922</c:v>
                </c:pt>
                <c:pt idx="237">
                  <c:v>-73.425773164510289</c:v>
                </c:pt>
                <c:pt idx="238">
                  <c:v>-73.778600213706937</c:v>
                </c:pt>
                <c:pt idx="239">
                  <c:v>-74.124529884388011</c:v>
                </c:pt>
                <c:pt idx="240">
                  <c:v>-74.463643403947628</c:v>
                </c:pt>
                <c:pt idx="241">
                  <c:v>-74.796024337044827</c:v>
                </c:pt>
                <c:pt idx="242">
                  <c:v>-75.121758336436699</c:v>
                </c:pt>
                <c:pt idx="243">
                  <c:v>-75.44093290629543</c:v>
                </c:pt>
                <c:pt idx="244">
                  <c:v>-75.753637177909653</c:v>
                </c:pt>
                <c:pt idx="245">
                  <c:v>-76.059961697625099</c:v>
                </c:pt>
                <c:pt idx="246">
                  <c:v>-76.359998226839991</c:v>
                </c:pt>
                <c:pt idx="247">
                  <c:v>-76.653839553833379</c:v>
                </c:pt>
                <c:pt idx="248">
                  <c:v>-76.941579317175126</c:v>
                </c:pt>
                <c:pt idx="249">
                  <c:v>-77.223311840447224</c:v>
                </c:pt>
                <c:pt idx="250">
                  <c:v>-77.499131977978649</c:v>
                </c:pt>
                <c:pt idx="251">
                  <c:v>-77.769134971288608</c:v>
                </c:pt>
                <c:pt idx="252">
                  <c:v>-78.033416315919254</c:v>
                </c:pt>
                <c:pt idx="253">
                  <c:v>-78.292071638332388</c:v>
                </c:pt>
                <c:pt idx="254">
                  <c:v>-78.545196582540854</c:v>
                </c:pt>
                <c:pt idx="255">
                  <c:v>-78.792886706146092</c:v>
                </c:pt>
                <c:pt idx="256">
                  <c:v>-79.035237385452547</c:v>
                </c:pt>
                <c:pt idx="257">
                  <c:v>-79.272343729338104</c:v>
                </c:pt>
                <c:pt idx="258">
                  <c:v>-79.504300501562369</c:v>
                </c:pt>
                <c:pt idx="259">
                  <c:v>-79.731202051204605</c:v>
                </c:pt>
                <c:pt idx="260">
                  <c:v>-79.953142250934036</c:v>
                </c:pt>
                <c:pt idx="261">
                  <c:v>-80.170214442824118</c:v>
                </c:pt>
                <c:pt idx="262">
                  <c:v>-80.382511391437035</c:v>
                </c:pt>
                <c:pt idx="263">
                  <c:v>-80.590125243917328</c:v>
                </c:pt>
                <c:pt idx="264">
                  <c:v>-80.793147496847482</c:v>
                </c:pt>
                <c:pt idx="265">
                  <c:v>-80.991668969633579</c:v>
                </c:pt>
                <c:pt idx="266">
                  <c:v>-81.18577978420609</c:v>
                </c:pt>
                <c:pt idx="267">
                  <c:v>-81.375569350834681</c:v>
                </c:pt>
                <c:pt idx="268">
                  <c:v>-81.561126359873342</c:v>
                </c:pt>
                <c:pt idx="269">
                  <c:v>-81.742538779270149</c:v>
                </c:pt>
                <c:pt idx="270">
                  <c:v>-81.91989385769044</c:v>
                </c:pt>
                <c:pt idx="271">
                  <c:v>-82.093278133121331</c:v>
                </c:pt>
                <c:pt idx="272">
                  <c:v>-82.262777446840445</c:v>
                </c:pt>
                <c:pt idx="273">
                  <c:v>-82.428476962651814</c:v>
                </c:pt>
                <c:pt idx="274">
                  <c:v>-82.590461191304257</c:v>
                </c:pt>
                <c:pt idx="275">
                  <c:v>-82.748814020030068</c:v>
                </c:pt>
                <c:pt idx="276">
                  <c:v>-82.903618747152294</c:v>
                </c:pt>
                <c:pt idx="277">
                  <c:v>-83.054958121730877</c:v>
                </c:pt>
                <c:pt idx="278">
                  <c:v>-83.202914388230298</c:v>
                </c:pt>
                <c:pt idx="279">
                  <c:v>-83.347569336208139</c:v>
                </c:pt>
                <c:pt idx="280">
                  <c:v>-83.489004355040336</c:v>
                </c:pt>
                <c:pt idx="281">
                  <c:v>-83.627300493712283</c:v>
                </c:pt>
                <c:pt idx="282">
                  <c:v>-83.762538525720814</c:v>
                </c:pt>
                <c:pt idx="283">
                  <c:v>-83.894799019144301</c:v>
                </c:pt>
                <c:pt idx="284">
                  <c:v>-84.024162411952958</c:v>
                </c:pt>
                <c:pt idx="285">
                  <c:v>-84.150709092642657</c:v>
                </c:pt>
                <c:pt idx="286">
                  <c:v>-84.274519486287716</c:v>
                </c:pt>
                <c:pt idx="287">
                  <c:v>-84.395674146118367</c:v>
                </c:pt>
                <c:pt idx="288">
                  <c:v>-84.514253850739436</c:v>
                </c:pt>
                <c:pt idx="289">
                  <c:v>-84.630339707112469</c:v>
                </c:pt>
                <c:pt idx="290">
                  <c:v>-84.744013259434354</c:v>
                </c:pt>
                <c:pt idx="291">
                  <c:v>-84.855356604047401</c:v>
                </c:pt>
                <c:pt idx="292">
                  <c:v>-84.964452510523131</c:v>
                </c:pt>
                <c:pt idx="293">
                  <c:v>-85.071384549060681</c:v>
                </c:pt>
                <c:pt idx="294">
                  <c:v>-85.176237224343694</c:v>
                </c:pt>
                <c:pt idx="295">
                  <c:v>-85.279096115996211</c:v>
                </c:pt>
                <c:pt idx="296">
                  <c:v>-85.3800480257716</c:v>
                </c:pt>
                <c:pt idx="297">
                  <c:v>-85.479181131604136</c:v>
                </c:pt>
                <c:pt idx="298">
                  <c:v>-85.576585148639353</c:v>
                </c:pt>
                <c:pt idx="299">
                  <c:v>-85.672351497345844</c:v>
                </c:pt>
                <c:pt idx="300">
                  <c:v>-85.766573478794086</c:v>
                </c:pt>
                <c:pt idx="301">
                  <c:v>-85.859346457165103</c:v>
                </c:pt>
                <c:pt idx="302">
                  <c:v>-85.950768049524513</c:v>
                </c:pt>
                <c:pt idx="303">
                  <c:v>-86.040938322868257</c:v>
                </c:pt>
                <c:pt idx="304">
                  <c:v>-86.129959998408324</c:v>
                </c:pt>
                <c:pt idx="305">
                  <c:v>-86.21793866302427</c:v>
                </c:pt>
                <c:pt idx="306">
                  <c:v>-86.304982987759544</c:v>
                </c:pt>
                <c:pt idx="307">
                  <c:v>-86.391204953186659</c:v>
                </c:pt>
                <c:pt idx="308">
                  <c:v>-86.476720081403514</c:v>
                </c:pt>
                <c:pt idx="309">
                  <c:v>-86.561647674354035</c:v>
                </c:pt>
                <c:pt idx="310">
                  <c:v>-86.646111058093652</c:v>
                </c:pt>
                <c:pt idx="311">
                  <c:v>-86.730237832531117</c:v>
                </c:pt>
                <c:pt idx="312">
                  <c:v>-86.814160126091281</c:v>
                </c:pt>
                <c:pt idx="313">
                  <c:v>-86.898014854640323</c:v>
                </c:pt>
                <c:pt idx="314">
                  <c:v>-86.981943983907925</c:v>
                </c:pt>
                <c:pt idx="315">
                  <c:v>-87.066094794521135</c:v>
                </c:pt>
                <c:pt idx="316">
                  <c:v>-87.150620148645018</c:v>
                </c:pt>
                <c:pt idx="317">
                  <c:v>-87.235678757083903</c:v>
                </c:pt>
                <c:pt idx="318">
                  <c:v>-87.321435445562116</c:v>
                </c:pt>
                <c:pt idx="319">
                  <c:v>-87.408061418748986</c:v>
                </c:pt>
                <c:pt idx="320">
                  <c:v>-87.49573452044207</c:v>
                </c:pt>
                <c:pt idx="321">
                  <c:v>-87.584639488155474</c:v>
                </c:pt>
                <c:pt idx="322">
                  <c:v>-87.674968200197185</c:v>
                </c:pt>
                <c:pt idx="323">
                  <c:v>-87.766919913148172</c:v>
                </c:pt>
                <c:pt idx="324">
                  <c:v>-87.860701487483425</c:v>
                </c:pt>
                <c:pt idx="325">
                  <c:v>-87.956527598901872</c:v>
                </c:pt>
                <c:pt idx="326">
                  <c:v>-88.054620932762859</c:v>
                </c:pt>
                <c:pt idx="327">
                  <c:v>-88.155212358860666</c:v>
                </c:pt>
                <c:pt idx="328">
                  <c:v>-88.258541083605763</c:v>
                </c:pt>
                <c:pt idx="329">
                  <c:v>-88.364854776536035</c:v>
                </c:pt>
                <c:pt idx="330">
                  <c:v>-88.474409667941174</c:v>
                </c:pt>
                <c:pt idx="331">
                  <c:v>-88.587470614263594</c:v>
                </c:pt>
                <c:pt idx="332">
                  <c:v>-88.704311127838764</c:v>
                </c:pt>
                <c:pt idx="333">
                  <c:v>-88.825213367461714</c:v>
                </c:pt>
                <c:pt idx="334">
                  <c:v>-88.950468086215153</c:v>
                </c:pt>
                <c:pt idx="335">
                  <c:v>-89.080374532979363</c:v>
                </c:pt>
                <c:pt idx="336">
                  <c:v>-89.215240304060842</c:v>
                </c:pt>
                <c:pt idx="337">
                  <c:v>-89.355381141435444</c:v>
                </c:pt>
                <c:pt idx="338">
                  <c:v>-89.501120674201758</c:v>
                </c:pt>
                <c:pt idx="339">
                  <c:v>-89.652790099989375</c:v>
                </c:pt>
                <c:pt idx="340">
                  <c:v>-89.810727803264598</c:v>
                </c:pt>
                <c:pt idx="341">
                  <c:v>-89.97527890772669</c:v>
                </c:pt>
                <c:pt idx="342">
                  <c:v>-90.146794760292877</c:v>
                </c:pt>
                <c:pt idx="343">
                  <c:v>-90.325632344532693</c:v>
                </c:pt>
                <c:pt idx="344">
                  <c:v>-90.512153621829384</c:v>
                </c:pt>
                <c:pt idx="345">
                  <c:v>-90.706724799021913</c:v>
                </c:pt>
                <c:pt idx="346">
                  <c:v>-90.909715521810611</c:v>
                </c:pt>
                <c:pt idx="347">
                  <c:v>-91.121497993791721</c:v>
                </c:pt>
                <c:pt idx="348">
                  <c:v>-91.342446021618741</c:v>
                </c:pt>
                <c:pt idx="349">
                  <c:v>-91.572933987466627</c:v>
                </c:pt>
                <c:pt idx="350">
                  <c:v>-91.81333575068966</c:v>
                </c:pt>
                <c:pt idx="351">
                  <c:v>-92.064023481311764</c:v>
                </c:pt>
                <c:pt idx="352">
                  <c:v>-92.325366428765676</c:v>
                </c:pt>
                <c:pt idx="353">
                  <c:v>-92.597729630080536</c:v>
                </c:pt>
                <c:pt idx="354">
                  <c:v>-92.881472562516805</c:v>
                </c:pt>
                <c:pt idx="355">
                  <c:v>-93.176947746435857</c:v>
                </c:pt>
                <c:pt idx="356">
                  <c:v>-93.484499304966803</c:v>
                </c:pt>
                <c:pt idx="357">
                  <c:v>-93.804461487780273</c:v>
                </c:pt>
                <c:pt idx="358">
                  <c:v>-94.137157166989766</c:v>
                </c:pt>
                <c:pt idx="359">
                  <c:v>-94.482896313857836</c:v>
                </c:pt>
                <c:pt idx="360">
                  <c:v>-94.841974465584897</c:v>
                </c:pt>
                <c:pt idx="361">
                  <c:v>-95.214671191978482</c:v>
                </c:pt>
                <c:pt idx="362">
                  <c:v>-95.601248572250938</c:v>
                </c:pt>
                <c:pt idx="363">
                  <c:v>-96.001949692536812</c:v>
                </c:pt>
                <c:pt idx="364">
                  <c:v>-96.416997174981418</c:v>
                </c:pt>
                <c:pt idx="365">
                  <c:v>-96.846591749385837</c:v>
                </c:pt>
                <c:pt idx="366">
                  <c:v>-97.290910878444066</c:v>
                </c:pt>
                <c:pt idx="367">
                  <c:v>-97.750107447510302</c:v>
                </c:pt>
                <c:pt idx="368">
                  <c:v>-98.224308529649051</c:v>
                </c:pt>
                <c:pt idx="369">
                  <c:v>-98.713614236396083</c:v>
                </c:pt>
                <c:pt idx="370">
                  <c:v>-99.21809666423745</c:v>
                </c:pt>
                <c:pt idx="371">
                  <c:v>-99.737798946258948</c:v>
                </c:pt>
                <c:pt idx="372">
                  <c:v>-100.2727344177744</c:v>
                </c:pt>
                <c:pt idx="373">
                  <c:v>-100.82288590398629</c:v>
                </c:pt>
                <c:pt idx="374">
                  <c:v>-101.38820513688466</c:v>
                </c:pt>
                <c:pt idx="375">
                  <c:v>-101.96861230765889</c:v>
                </c:pt>
                <c:pt idx="376">
                  <c:v>-102.56399575989103</c:v>
                </c:pt>
                <c:pt idx="377">
                  <c:v>-103.17421182773639</c:v>
                </c:pt>
                <c:pt idx="378">
                  <c:v>-103.79908482216837</c:v>
                </c:pt>
                <c:pt idx="379">
                  <c:v>-104.43840716721358</c:v>
                </c:pt>
                <c:pt idx="380">
                  <c:v>-105.09193968692196</c:v>
                </c:pt>
                <c:pt idx="381">
                  <c:v>-105.75941204261464</c:v>
                </c:pt>
                <c:pt idx="382">
                  <c:v>-106.44052331876978</c:v>
                </c:pt>
                <c:pt idx="383">
                  <c:v>-107.13494275471881</c:v>
                </c:pt>
                <c:pt idx="384">
                  <c:v>-107.84231061818225</c:v>
                </c:pt>
                <c:pt idx="385">
                  <c:v>-108.5622392155596</c:v>
                </c:pt>
                <c:pt idx="386">
                  <c:v>-109.29431403283168</c:v>
                </c:pt>
                <c:pt idx="387">
                  <c:v>-110.03809499993908</c:v>
                </c:pt>
                <c:pt idx="388">
                  <c:v>-110.79311787057117</c:v>
                </c:pt>
                <c:pt idx="389">
                  <c:v>-111.55889570847158</c:v>
                </c:pt>
                <c:pt idx="390">
                  <c:v>-112.33492047059642</c:v>
                </c:pt>
                <c:pt idx="391">
                  <c:v>-113.12066467683141</c:v>
                </c:pt>
                <c:pt idx="392">
                  <c:v>-113.91558315540016</c:v>
                </c:pt>
                <c:pt idx="393">
                  <c:v>-114.71911485266448</c:v>
                </c:pt>
                <c:pt idx="394">
                  <c:v>-115.5306846956785</c:v>
                </c:pt>
                <c:pt idx="395">
                  <c:v>-116.34970549563705</c:v>
                </c:pt>
                <c:pt idx="396">
                  <c:v>-117.17557988024002</c:v>
                </c:pt>
                <c:pt idx="397">
                  <c:v>-118.00770224300808</c:v>
                </c:pt>
                <c:pt idx="398">
                  <c:v>-118.84546069768092</c:v>
                </c:pt>
                <c:pt idx="399">
                  <c:v>-119.6882390260506</c:v>
                </c:pt>
                <c:pt idx="400">
                  <c:v>-120.53541860789538</c:v>
                </c:pt>
                <c:pt idx="401">
                  <c:v>-121.38638032209627</c:v>
                </c:pt>
                <c:pt idx="402">
                  <c:v>-122.24050640851215</c:v>
                </c:pt>
                <c:pt idx="403">
                  <c:v>-123.09718228077151</c:v>
                </c:pt>
                <c:pt idx="404">
                  <c:v>-123.95579828080501</c:v>
                </c:pt>
                <c:pt idx="405">
                  <c:v>-124.81575136664486</c:v>
                </c:pt>
                <c:pt idx="406">
                  <c:v>-125.67644672580224</c:v>
                </c:pt>
                <c:pt idx="407">
                  <c:v>-126.53729930734903</c:v>
                </c:pt>
                <c:pt idx="408">
                  <c:v>-127.39773526668208</c:v>
                </c:pt>
                <c:pt idx="409">
                  <c:v>-128.25719331781735</c:v>
                </c:pt>
                <c:pt idx="410">
                  <c:v>-129.11512598896337</c:v>
                </c:pt>
                <c:pt idx="411">
                  <c:v>-129.97100077799706</c:v>
                </c:pt>
                <c:pt idx="412">
                  <c:v>-130.82430120536799</c:v>
                </c:pt>
                <c:pt idx="413">
                  <c:v>-131.67452776280172</c:v>
                </c:pt>
                <c:pt idx="414">
                  <c:v>-132.52119875704292</c:v>
                </c:pt>
                <c:pt idx="415">
                  <c:v>-133.36385104865911</c:v>
                </c:pt>
                <c:pt idx="416">
                  <c:v>-134.20204068671197</c:v>
                </c:pt>
                <c:pt idx="417">
                  <c:v>-135.03534344081308</c:v>
                </c:pt>
                <c:pt idx="418">
                  <c:v>-135.86335523275318</c:v>
                </c:pt>
                <c:pt idx="419">
                  <c:v>-136.68569247049228</c:v>
                </c:pt>
                <c:pt idx="420">
                  <c:v>-137.50199228786099</c:v>
                </c:pt>
                <c:pt idx="421">
                  <c:v>-138.31191269379036</c:v>
                </c:pt>
                <c:pt idx="422">
                  <c:v>-139.11513263531535</c:v>
                </c:pt>
                <c:pt idx="423">
                  <c:v>-139.91135197895349</c:v>
                </c:pt>
                <c:pt idx="424">
                  <c:v>-140.70029141533408</c:v>
                </c:pt>
                <c:pt idx="425">
                  <c:v>-141.48169229219596</c:v>
                </c:pt>
                <c:pt idx="426">
                  <c:v>-142.2553163810197</c:v>
                </c:pt>
                <c:pt idx="427">
                  <c:v>-143.02094558267217</c:v>
                </c:pt>
                <c:pt idx="428">
                  <c:v>-143.77838157748553</c:v>
                </c:pt>
                <c:pt idx="429">
                  <c:v>-144.52744542519812</c:v>
                </c:pt>
                <c:pt idx="430">
                  <c:v>-145.26797712011978</c:v>
                </c:pt>
                <c:pt idx="431">
                  <c:v>-145.99983510680715</c:v>
                </c:pt>
                <c:pt idx="432">
                  <c:v>-146.72289576139093</c:v>
                </c:pt>
                <c:pt idx="433">
                  <c:v>-147.43705284354144</c:v>
                </c:pt>
                <c:pt idx="434">
                  <c:v>-148.14221692385806</c:v>
                </c:pt>
                <c:pt idx="435">
                  <c:v>-148.8383147912561</c:v>
                </c:pt>
                <c:pt idx="436">
                  <c:v>-149.52528884468683</c:v>
                </c:pt>
                <c:pt idx="437">
                  <c:v>-150.20309647327355</c:v>
                </c:pt>
                <c:pt idx="438">
                  <c:v>-150.87170942868411</c:v>
                </c:pt>
                <c:pt idx="439">
                  <c:v>-151.53111319329335</c:v>
                </c:pt>
                <c:pt idx="440">
                  <c:v>-152.18130634740925</c:v>
                </c:pt>
                <c:pt idx="441">
                  <c:v>-152.82229993857081</c:v>
                </c:pt>
                <c:pt idx="442">
                  <c:v>-153.45411685564466</c:v>
                </c:pt>
                <c:pt idx="443">
                  <c:v>-154.07679121018816</c:v>
                </c:pt>
                <c:pt idx="444">
                  <c:v>-154.69036772728069</c:v>
                </c:pt>
                <c:pt idx="445">
                  <c:v>-155.29490114777903</c:v>
                </c:pt>
                <c:pt idx="446">
                  <c:v>-155.89045564370295</c:v>
                </c:pt>
                <c:pt idx="447">
                  <c:v>-156.47710424823822</c:v>
                </c:pt>
                <c:pt idx="448">
                  <c:v>-157.05492830161376</c:v>
                </c:pt>
                <c:pt idx="449">
                  <c:v>-157.6240169139181</c:v>
                </c:pt>
                <c:pt idx="450">
                  <c:v>-158.18446644571725</c:v>
                </c:pt>
                <c:pt idx="451">
                  <c:v>-158.73638000716545</c:v>
                </c:pt>
                <c:pt idx="452">
                  <c:v>-159.27986697613437</c:v>
                </c:pt>
                <c:pt idx="453">
                  <c:v>-159.81504253573397</c:v>
                </c:pt>
                <c:pt idx="454">
                  <c:v>-160.34202723146322</c:v>
                </c:pt>
                <c:pt idx="455">
                  <c:v>-160.86094654810401</c:v>
                </c:pt>
                <c:pt idx="456">
                  <c:v>-161.37193050635759</c:v>
                </c:pt>
                <c:pt idx="457">
                  <c:v>-161.87511327912739</c:v>
                </c:pt>
                <c:pt idx="458">
                  <c:v>-162.37063282725859</c:v>
                </c:pt>
                <c:pt idx="459">
                  <c:v>-162.85863055447066</c:v>
                </c:pt>
                <c:pt idx="460">
                  <c:v>-163.33925098115014</c:v>
                </c:pt>
                <c:pt idx="461">
                  <c:v>-163.81264143661122</c:v>
                </c:pt>
                <c:pt idx="462">
                  <c:v>-164.27895176938662</c:v>
                </c:pt>
                <c:pt idx="463">
                  <c:v>-164.73833407506325</c:v>
                </c:pt>
                <c:pt idx="464">
                  <c:v>-165.19094244115064</c:v>
                </c:pt>
                <c:pt idx="465">
                  <c:v>-165.63693270843396</c:v>
                </c:pt>
                <c:pt idx="466">
                  <c:v>-166.07646224825282</c:v>
                </c:pt>
                <c:pt idx="467">
                  <c:v>-166.50968975512174</c:v>
                </c:pt>
                <c:pt idx="468">
                  <c:v>-166.93677505410184</c:v>
                </c:pt>
                <c:pt idx="469">
                  <c:v>-167.35787892232943</c:v>
                </c:pt>
                <c:pt idx="470">
                  <c:v>-167.77316292409898</c:v>
                </c:pt>
                <c:pt idx="471">
                  <c:v>-168.18278925890368</c:v>
                </c:pt>
                <c:pt idx="472">
                  <c:v>-168.58692062183778</c:v>
                </c:pt>
                <c:pt idx="473">
                  <c:v>-168.98572007577442</c:v>
                </c:pt>
                <c:pt idx="474">
                  <c:v>-169.37935093473843</c:v>
                </c:pt>
                <c:pt idx="475">
                  <c:v>-169.76797665790514</c:v>
                </c:pt>
                <c:pt idx="476">
                  <c:v>-170.15176075366986</c:v>
                </c:pt>
                <c:pt idx="477">
                  <c:v>-170.53086669324327</c:v>
                </c:pt>
                <c:pt idx="478">
                  <c:v>-170.90545783324416</c:v>
                </c:pt>
                <c:pt idx="479">
                  <c:v>-171.27569734677544</c:v>
                </c:pt>
                <c:pt idx="480">
                  <c:v>-171.64174816248425</c:v>
                </c:pt>
                <c:pt idx="481">
                  <c:v>-172.00377291112298</c:v>
                </c:pt>
                <c:pt idx="482">
                  <c:v>-172.36193387914574</c:v>
                </c:pt>
                <c:pt idx="483">
                  <c:v>-172.71639296888668</c:v>
                </c:pt>
                <c:pt idx="484">
                  <c:v>-173.06731166488703</c:v>
                </c:pt>
                <c:pt idx="485">
                  <c:v>-173.41485100594994</c:v>
                </c:pt>
                <c:pt idx="486">
                  <c:v>-173.75917156251941</c:v>
                </c:pt>
                <c:pt idx="487">
                  <c:v>-174.10043341899288</c:v>
                </c:pt>
                <c:pt idx="488">
                  <c:v>-174.43879616059215</c:v>
                </c:pt>
                <c:pt idx="489">
                  <c:v>-174.77441886443145</c:v>
                </c:pt>
                <c:pt idx="490">
                  <c:v>-175.10746009443343</c:v>
                </c:pt>
                <c:pt idx="491">
                  <c:v>-175.43807789975642</c:v>
                </c:pt>
                <c:pt idx="492">
                  <c:v>-175.76642981640947</c:v>
                </c:pt>
                <c:pt idx="493">
                  <c:v>-176.09267287173995</c:v>
                </c:pt>
                <c:pt idx="494">
                  <c:v>-176.41696359149145</c:v>
                </c:pt>
                <c:pt idx="495">
                  <c:v>-176.73945800913657</c:v>
                </c:pt>
                <c:pt idx="496">
                  <c:v>-177.06031167719945</c:v>
                </c:pt>
                <c:pt idx="497">
                  <c:v>-177.37967968029042</c:v>
                </c:pt>
                <c:pt idx="498">
                  <c:v>-177.69771664958063</c:v>
                </c:pt>
                <c:pt idx="499">
                  <c:v>-178.0145767784519</c:v>
                </c:pt>
                <c:pt idx="500">
                  <c:v>-178.33041383906257</c:v>
                </c:pt>
                <c:pt idx="501">
                  <c:v>-178.64538119957263</c:v>
                </c:pt>
                <c:pt idx="502">
                  <c:v>-178.9596318417768</c:v>
                </c:pt>
                <c:pt idx="503">
                  <c:v>-179.27331837889639</c:v>
                </c:pt>
                <c:pt idx="504">
                  <c:v>-179.58659307328142</c:v>
                </c:pt>
                <c:pt idx="505">
                  <c:v>-179.8996078537777</c:v>
                </c:pt>
                <c:pt idx="506">
                  <c:v>179.78748566748774</c:v>
                </c:pt>
                <c:pt idx="507">
                  <c:v>179.47453617915022</c:v>
                </c:pt>
                <c:pt idx="508">
                  <c:v>179.16139265572667</c:v>
                </c:pt>
                <c:pt idx="509">
                  <c:v>178.84790434406224</c:v>
                </c:pt>
                <c:pt idx="510">
                  <c:v>178.53392075135611</c:v>
                </c:pt>
                <c:pt idx="511">
                  <c:v>178.21929163502324</c:v>
                </c:pt>
                <c:pt idx="512">
                  <c:v>177.90386699465287</c:v>
                </c:pt>
                <c:pt idx="513">
                  <c:v>177.58749706632923</c:v>
                </c:pt>
                <c:pt idx="514">
                  <c:v>177.27003231958489</c:v>
                </c:pt>
                <c:pt idx="515">
                  <c:v>176.95132345726458</c:v>
                </c:pt>
                <c:pt idx="516">
                  <c:v>176.63122141858244</c:v>
                </c:pt>
                <c:pt idx="517">
                  <c:v>176.30957738566309</c:v>
                </c:pt>
                <c:pt idx="518">
                  <c:v>175.9862427938655</c:v>
                </c:pt>
                <c:pt idx="519">
                  <c:v>175.66106934619395</c:v>
                </c:pt>
                <c:pt idx="520">
                  <c:v>175.33390903211162</c:v>
                </c:pt>
                <c:pt idx="521">
                  <c:v>175.00461415107745</c:v>
                </c:pt>
                <c:pt idx="522">
                  <c:v>174.67303734113796</c:v>
                </c:pt>
                <c:pt idx="523">
                  <c:v>174.33903161291195</c:v>
                </c:pt>
                <c:pt idx="524">
                  <c:v>174.0024503893149</c:v>
                </c:pt>
                <c:pt idx="525">
                  <c:v>173.66314755137856</c:v>
                </c:pt>
                <c:pt idx="526">
                  <c:v>173.32097749052798</c:v>
                </c:pt>
                <c:pt idx="527">
                  <c:v>172.97579516768408</c:v>
                </c:pt>
                <c:pt idx="528">
                  <c:v>172.62745617956898</c:v>
                </c:pt>
                <c:pt idx="529">
                  <c:v>172.27581683259109</c:v>
                </c:pt>
                <c:pt idx="530">
                  <c:v>171.92073422469892</c:v>
                </c:pt>
                <c:pt idx="531">
                  <c:v>171.56206633558625</c:v>
                </c:pt>
                <c:pt idx="532">
                  <c:v>171.1996721256393</c:v>
                </c:pt>
                <c:pt idx="533">
                  <c:v>170.83341164400957</c:v>
                </c:pt>
                <c:pt idx="534">
                  <c:v>170.46314614619854</c:v>
                </c:pt>
                <c:pt idx="535">
                  <c:v>170.08873822152907</c:v>
                </c:pt>
                <c:pt idx="536">
                  <c:v>169.71005193087319</c:v>
                </c:pt>
                <c:pt idx="537">
                  <c:v>169.32695295499025</c:v>
                </c:pt>
                <c:pt idx="538">
                  <c:v>168.93930875381793</c:v>
                </c:pt>
                <c:pt idx="539">
                  <c:v>168.54698873703435</c:v>
                </c:pt>
                <c:pt idx="540">
                  <c:v>168.14986444618876</c:v>
                </c:pt>
                <c:pt idx="541">
                  <c:v>167.74780974866334</c:v>
                </c:pt>
              </c:numCache>
            </c:numRef>
          </c:yVal>
          <c:smooth val="1"/>
          <c:extLst>
            <c:ext xmlns:c16="http://schemas.microsoft.com/office/drawing/2014/chart" uri="{C3380CC4-5D6E-409C-BE32-E72D297353CC}">
              <c16:uniqueId val="{00000001-69E5-488F-8178-EA81D5C894E7}"/>
            </c:ext>
          </c:extLst>
        </c:ser>
        <c:dLbls>
          <c:showLegendKey val="0"/>
          <c:showVal val="0"/>
          <c:showCatName val="0"/>
          <c:showSerName val="0"/>
          <c:showPercent val="0"/>
          <c:showBubbleSize val="0"/>
        </c:dLbls>
        <c:axId val="555250048"/>
        <c:axId val="555235968"/>
      </c:scatterChart>
      <c:valAx>
        <c:axId val="555231872"/>
        <c:scaling>
          <c:logBase val="10"/>
          <c:orientation val="minMax"/>
          <c:max val="2200000"/>
          <c:min val="10"/>
        </c:scaling>
        <c:delete val="0"/>
        <c:axPos val="b"/>
        <c:minorGridlines/>
        <c:title>
          <c:tx>
            <c:rich>
              <a:bodyPr/>
              <a:lstStyle/>
              <a:p>
                <a:pPr>
                  <a:defRPr/>
                </a:pPr>
                <a:r>
                  <a:rPr lang="en-US"/>
                  <a:t>Frequency</a:t>
                </a:r>
                <a:r>
                  <a:rPr lang="en-US" baseline="0"/>
                  <a:t> (Hz)</a:t>
                </a:r>
                <a:endParaRPr lang="en-US"/>
              </a:p>
            </c:rich>
          </c:tx>
          <c:overlay val="0"/>
        </c:title>
        <c:numFmt formatCode="0" sourceLinked="0"/>
        <c:majorTickMark val="out"/>
        <c:minorTickMark val="none"/>
        <c:tickLblPos val="low"/>
        <c:crossAx val="555234048"/>
        <c:crosses val="autoZero"/>
        <c:crossBetween val="midCat"/>
      </c:valAx>
      <c:valAx>
        <c:axId val="555234048"/>
        <c:scaling>
          <c:orientation val="minMax"/>
          <c:max val="40"/>
          <c:min val="-40"/>
        </c:scaling>
        <c:delete val="0"/>
        <c:axPos val="l"/>
        <c:majorGridlines/>
        <c:minorGridlines/>
        <c:title>
          <c:tx>
            <c:rich>
              <a:bodyPr rot="-5400000" vert="horz"/>
              <a:lstStyle/>
              <a:p>
                <a:pPr>
                  <a:defRPr/>
                </a:pPr>
                <a:r>
                  <a:rPr lang="en-US"/>
                  <a:t>Gain</a:t>
                </a:r>
                <a:r>
                  <a:rPr lang="en-US" baseline="0"/>
                  <a:t> (dB)</a:t>
                </a:r>
                <a:endParaRPr lang="en-US"/>
              </a:p>
            </c:rich>
          </c:tx>
          <c:overlay val="0"/>
        </c:title>
        <c:numFmt formatCode="General" sourceLinked="0"/>
        <c:majorTickMark val="out"/>
        <c:minorTickMark val="none"/>
        <c:tickLblPos val="nextTo"/>
        <c:crossAx val="555231872"/>
        <c:crosses val="autoZero"/>
        <c:crossBetween val="midCat"/>
        <c:majorUnit val="20"/>
        <c:minorUnit val="10"/>
      </c:valAx>
      <c:valAx>
        <c:axId val="555235968"/>
        <c:scaling>
          <c:orientation val="minMax"/>
          <c:max val="180"/>
          <c:min val="-180"/>
        </c:scaling>
        <c:delete val="0"/>
        <c:axPos val="r"/>
        <c:numFmt formatCode="General" sourceLinked="1"/>
        <c:majorTickMark val="out"/>
        <c:minorTickMark val="none"/>
        <c:tickLblPos val="nextTo"/>
        <c:crossAx val="555250048"/>
        <c:crosses val="max"/>
        <c:crossBetween val="midCat"/>
        <c:majorUnit val="90"/>
        <c:minorUnit val="45"/>
      </c:valAx>
      <c:valAx>
        <c:axId val="555250048"/>
        <c:scaling>
          <c:logBase val="10"/>
          <c:orientation val="minMax"/>
        </c:scaling>
        <c:delete val="1"/>
        <c:axPos val="b"/>
        <c:numFmt formatCode="0.00" sourceLinked="1"/>
        <c:majorTickMark val="out"/>
        <c:minorTickMark val="none"/>
        <c:tickLblPos val="nextTo"/>
        <c:crossAx val="555235968"/>
        <c:crosses val="autoZero"/>
        <c:crossBetween val="midCat"/>
      </c:valAx>
    </c:plotArea>
    <c:legend>
      <c:legendPos val="r"/>
      <c:layout>
        <c:manualLayout>
          <c:xMode val="edge"/>
          <c:yMode val="edge"/>
          <c:x val="0.79880558209512509"/>
          <c:y val="0.14321997959862004"/>
          <c:w val="0.13459449276057311"/>
          <c:h val="0.10691609861199437"/>
        </c:manualLayout>
      </c:layout>
      <c:overlay val="1"/>
      <c:spPr>
        <a:solidFill>
          <a:schemeClr val="bg1"/>
        </a:solidFill>
      </c:spPr>
    </c:legend>
    <c:plotVisOnly val="1"/>
    <c:dispBlanksAs val="gap"/>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Error</a:t>
            </a:r>
            <a:r>
              <a:rPr lang="en-US" baseline="0"/>
              <a:t> Amplifier Transfer</a:t>
            </a:r>
          </a:p>
        </c:rich>
      </c:tx>
      <c:overlay val="0"/>
    </c:title>
    <c:autoTitleDeleted val="0"/>
    <c:plotArea>
      <c:layout/>
      <c:scatterChart>
        <c:scatterStyle val="smoothMarker"/>
        <c:varyColors val="0"/>
        <c:ser>
          <c:idx val="0"/>
          <c:order val="0"/>
          <c:marker>
            <c:symbol val="none"/>
          </c:marker>
          <c:xVal>
            <c:numRef>
              <c:f>Loop_Modeling!$O$19:$O$560</c:f>
              <c:numCache>
                <c:formatCode>0.00</c:formatCode>
                <c:ptCount val="542"/>
                <c:pt idx="0">
                  <c:v>10.232929922807543</c:v>
                </c:pt>
                <c:pt idx="1">
                  <c:v>10.471285480509</c:v>
                </c:pt>
                <c:pt idx="2">
                  <c:v>10.715193052376069</c:v>
                </c:pt>
                <c:pt idx="3">
                  <c:v>10.964781961431854</c:v>
                </c:pt>
                <c:pt idx="4">
                  <c:v>11.220184543019636</c:v>
                </c:pt>
                <c:pt idx="5">
                  <c:v>11.481536214968834</c:v>
                </c:pt>
                <c:pt idx="6">
                  <c:v>11.748975549395301</c:v>
                </c:pt>
                <c:pt idx="7">
                  <c:v>12.022644346174133</c:v>
                </c:pt>
                <c:pt idx="8">
                  <c:v>12.302687708123818</c:v>
                </c:pt>
                <c:pt idx="9">
                  <c:v>12.58925411794168</c:v>
                </c:pt>
                <c:pt idx="10">
                  <c:v>12.882495516931346</c:v>
                </c:pt>
                <c:pt idx="11">
                  <c:v>13.182567385564075</c:v>
                </c:pt>
                <c:pt idx="12">
                  <c:v>13.489628825916535</c:v>
                </c:pt>
                <c:pt idx="13">
                  <c:v>13.803842646028857</c:v>
                </c:pt>
                <c:pt idx="14">
                  <c:v>14.125375446227544</c:v>
                </c:pt>
                <c:pt idx="15">
                  <c:v>14.454397707459275</c:v>
                </c:pt>
                <c:pt idx="16">
                  <c:v>14.791083881682074</c:v>
                </c:pt>
                <c:pt idx="17">
                  <c:v>15.135612484362087</c:v>
                </c:pt>
                <c:pt idx="18">
                  <c:v>15.488166189124817</c:v>
                </c:pt>
                <c:pt idx="19">
                  <c:v>15.848931924611136</c:v>
                </c:pt>
                <c:pt idx="20">
                  <c:v>16.218100973589298</c:v>
                </c:pt>
                <c:pt idx="21">
                  <c:v>16.595869074375614</c:v>
                </c:pt>
                <c:pt idx="22">
                  <c:v>16.982436524617448</c:v>
                </c:pt>
                <c:pt idx="23">
                  <c:v>17.378008287493756</c:v>
                </c:pt>
                <c:pt idx="24">
                  <c:v>17.782794100389236</c:v>
                </c:pt>
                <c:pt idx="25">
                  <c:v>18.197008586099841</c:v>
                </c:pt>
                <c:pt idx="26">
                  <c:v>18.62087136662868</c:v>
                </c:pt>
                <c:pt idx="27">
                  <c:v>19.054607179632477</c:v>
                </c:pt>
                <c:pt idx="28">
                  <c:v>19.498445997580465</c:v>
                </c:pt>
                <c:pt idx="29">
                  <c:v>19.952623149688804</c:v>
                </c:pt>
                <c:pt idx="30">
                  <c:v>20.4173794466953</c:v>
                </c:pt>
                <c:pt idx="31">
                  <c:v>20.8929613085404</c:v>
                </c:pt>
                <c:pt idx="32">
                  <c:v>21.379620895022335</c:v>
                </c:pt>
                <c:pt idx="33">
                  <c:v>21.877616239495538</c:v>
                </c:pt>
                <c:pt idx="34">
                  <c:v>22.387211385683404</c:v>
                </c:pt>
                <c:pt idx="35">
                  <c:v>22.908676527677727</c:v>
                </c:pt>
                <c:pt idx="36">
                  <c:v>23.442288153199236</c:v>
                </c:pt>
                <c:pt idx="37">
                  <c:v>23.988329190194907</c:v>
                </c:pt>
                <c:pt idx="38">
                  <c:v>24.547089156850316</c:v>
                </c:pt>
                <c:pt idx="39">
                  <c:v>25.118864315095799</c:v>
                </c:pt>
                <c:pt idx="40">
                  <c:v>25.703957827688647</c:v>
                </c:pt>
                <c:pt idx="41">
                  <c:v>26.302679918953825</c:v>
                </c:pt>
                <c:pt idx="42">
                  <c:v>26.915348039269158</c:v>
                </c:pt>
                <c:pt idx="43">
                  <c:v>27.542287033381665</c:v>
                </c:pt>
                <c:pt idx="44">
                  <c:v>28.183829312644548</c:v>
                </c:pt>
                <c:pt idx="45">
                  <c:v>28.840315031266066</c:v>
                </c:pt>
                <c:pt idx="46">
                  <c:v>29.512092266663863</c:v>
                </c:pt>
                <c:pt idx="47">
                  <c:v>30.199517204020164</c:v>
                </c:pt>
                <c:pt idx="48">
                  <c:v>30.902954325135919</c:v>
                </c:pt>
                <c:pt idx="49">
                  <c:v>31.622776601683803</c:v>
                </c:pt>
                <c:pt idx="50">
                  <c:v>32.359365692962832</c:v>
                </c:pt>
                <c:pt idx="51">
                  <c:v>33.113112148259127</c:v>
                </c:pt>
                <c:pt idx="52">
                  <c:v>33.884415613920268</c:v>
                </c:pt>
                <c:pt idx="53">
                  <c:v>34.67368504525318</c:v>
                </c:pt>
                <c:pt idx="54">
                  <c:v>35.481338923357555</c:v>
                </c:pt>
                <c:pt idx="55">
                  <c:v>36.307805477010156</c:v>
                </c:pt>
                <c:pt idx="56">
                  <c:v>37.15352290971726</c:v>
                </c:pt>
                <c:pt idx="57">
                  <c:v>38.018939632056139</c:v>
                </c:pt>
                <c:pt idx="58">
                  <c:v>38.904514499428053</c:v>
                </c:pt>
                <c:pt idx="59">
                  <c:v>39.810717055349755</c:v>
                </c:pt>
                <c:pt idx="60">
                  <c:v>40.738027780411279</c:v>
                </c:pt>
                <c:pt idx="61">
                  <c:v>41.686938347033561</c:v>
                </c:pt>
                <c:pt idx="62">
                  <c:v>42.657951880159267</c:v>
                </c:pt>
                <c:pt idx="63">
                  <c:v>43.651583224016633</c:v>
                </c:pt>
                <c:pt idx="64">
                  <c:v>44.668359215096324</c:v>
                </c:pt>
                <c:pt idx="65">
                  <c:v>45.70881896148753</c:v>
                </c:pt>
                <c:pt idx="66">
                  <c:v>46.773514128719818</c:v>
                </c:pt>
                <c:pt idx="67">
                  <c:v>47.863009232263877</c:v>
                </c:pt>
                <c:pt idx="68">
                  <c:v>48.977881936844632</c:v>
                </c:pt>
                <c:pt idx="69">
                  <c:v>50.118723362727238</c:v>
                </c:pt>
                <c:pt idx="70">
                  <c:v>51.28613839913649</c:v>
                </c:pt>
                <c:pt idx="71">
                  <c:v>52.480746024977286</c:v>
                </c:pt>
                <c:pt idx="72">
                  <c:v>53.703179637025293</c:v>
                </c:pt>
                <c:pt idx="73">
                  <c:v>54.95408738576247</c:v>
                </c:pt>
                <c:pt idx="74">
                  <c:v>56.234132519034915</c:v>
                </c:pt>
                <c:pt idx="75">
                  <c:v>57.543993733715695</c:v>
                </c:pt>
                <c:pt idx="76">
                  <c:v>58.884365535558949</c:v>
                </c:pt>
                <c:pt idx="77">
                  <c:v>60.255958607435822</c:v>
                </c:pt>
                <c:pt idx="78">
                  <c:v>61.659500186148257</c:v>
                </c:pt>
                <c:pt idx="79">
                  <c:v>63.095734448019364</c:v>
                </c:pt>
                <c:pt idx="80">
                  <c:v>64.565422903465588</c:v>
                </c:pt>
                <c:pt idx="81">
                  <c:v>66.069344800759623</c:v>
                </c:pt>
                <c:pt idx="82">
                  <c:v>67.60829753919819</c:v>
                </c:pt>
                <c:pt idx="83">
                  <c:v>69.183097091893657</c:v>
                </c:pt>
                <c:pt idx="84">
                  <c:v>70.794578438413865</c:v>
                </c:pt>
                <c:pt idx="85">
                  <c:v>72.443596007499011</c:v>
                </c:pt>
                <c:pt idx="86">
                  <c:v>74.131024130091816</c:v>
                </c:pt>
                <c:pt idx="87">
                  <c:v>75.857757502918361</c:v>
                </c:pt>
                <c:pt idx="88">
                  <c:v>77.624711662869217</c:v>
                </c:pt>
                <c:pt idx="89">
                  <c:v>79.432823472428197</c:v>
                </c:pt>
                <c:pt idx="90">
                  <c:v>81.283051616409963</c:v>
                </c:pt>
                <c:pt idx="91">
                  <c:v>83.176377110267126</c:v>
                </c:pt>
                <c:pt idx="92">
                  <c:v>85.113803820237734</c:v>
                </c:pt>
                <c:pt idx="93">
                  <c:v>87.096358995608071</c:v>
                </c:pt>
                <c:pt idx="94">
                  <c:v>89.125093813374562</c:v>
                </c:pt>
                <c:pt idx="95">
                  <c:v>91.201083935590972</c:v>
                </c:pt>
                <c:pt idx="96">
                  <c:v>93.325430079699174</c:v>
                </c:pt>
                <c:pt idx="97">
                  <c:v>95.499258602143655</c:v>
                </c:pt>
                <c:pt idx="98">
                  <c:v>97.723722095581124</c:v>
                </c:pt>
                <c:pt idx="99">
                  <c:v>100</c:v>
                </c:pt>
                <c:pt idx="100">
                  <c:v>102.32929922807544</c:v>
                </c:pt>
                <c:pt idx="101">
                  <c:v>104.71285480508998</c:v>
                </c:pt>
                <c:pt idx="102">
                  <c:v>107.15193052376065</c:v>
                </c:pt>
                <c:pt idx="103">
                  <c:v>109.64781961431861</c:v>
                </c:pt>
                <c:pt idx="104">
                  <c:v>112.20184543019634</c:v>
                </c:pt>
                <c:pt idx="105">
                  <c:v>114.81536214968835</c:v>
                </c:pt>
                <c:pt idx="106">
                  <c:v>117.48975549395293</c:v>
                </c:pt>
                <c:pt idx="107">
                  <c:v>120.22644346174135</c:v>
                </c:pt>
                <c:pt idx="108">
                  <c:v>123.02687708123821</c:v>
                </c:pt>
                <c:pt idx="109">
                  <c:v>125.89254117941677</c:v>
                </c:pt>
                <c:pt idx="110">
                  <c:v>128.82495516931343</c:v>
                </c:pt>
                <c:pt idx="111">
                  <c:v>131.82567385564084</c:v>
                </c:pt>
                <c:pt idx="112">
                  <c:v>134.89628825916537</c:v>
                </c:pt>
                <c:pt idx="113">
                  <c:v>138.0384264602886</c:v>
                </c:pt>
                <c:pt idx="114">
                  <c:v>141.25375446227542</c:v>
                </c:pt>
                <c:pt idx="115">
                  <c:v>144.54397707459285</c:v>
                </c:pt>
                <c:pt idx="116">
                  <c:v>147.91083881682084</c:v>
                </c:pt>
                <c:pt idx="117">
                  <c:v>151.3561248436209</c:v>
                </c:pt>
                <c:pt idx="118">
                  <c:v>154.8816618912482</c:v>
                </c:pt>
                <c:pt idx="119">
                  <c:v>158.48931924611153</c:v>
                </c:pt>
                <c:pt idx="120">
                  <c:v>162.18100973589304</c:v>
                </c:pt>
                <c:pt idx="121">
                  <c:v>165.95869074375622</c:v>
                </c:pt>
                <c:pt idx="122">
                  <c:v>169.82436524617444</c:v>
                </c:pt>
                <c:pt idx="123">
                  <c:v>173.78008287493768</c:v>
                </c:pt>
                <c:pt idx="124">
                  <c:v>177.82794100389242</c:v>
                </c:pt>
                <c:pt idx="125">
                  <c:v>181.9700858609983</c:v>
                </c:pt>
                <c:pt idx="126">
                  <c:v>186.20871366628685</c:v>
                </c:pt>
                <c:pt idx="127">
                  <c:v>190.54607179632498</c:v>
                </c:pt>
                <c:pt idx="128">
                  <c:v>194.98445997580458</c:v>
                </c:pt>
                <c:pt idx="129">
                  <c:v>199.52623149688802</c:v>
                </c:pt>
                <c:pt idx="130">
                  <c:v>204.17379446695315</c:v>
                </c:pt>
                <c:pt idx="131">
                  <c:v>208.92961308540396</c:v>
                </c:pt>
                <c:pt idx="132">
                  <c:v>213.79620895022339</c:v>
                </c:pt>
                <c:pt idx="133">
                  <c:v>218.77616239495524</c:v>
                </c:pt>
                <c:pt idx="134">
                  <c:v>223.87211385683412</c:v>
                </c:pt>
                <c:pt idx="135">
                  <c:v>229.08676527677744</c:v>
                </c:pt>
                <c:pt idx="136">
                  <c:v>234.42288153199232</c:v>
                </c:pt>
                <c:pt idx="137">
                  <c:v>239.88329190194912</c:v>
                </c:pt>
                <c:pt idx="138">
                  <c:v>245.4708915685033</c:v>
                </c:pt>
                <c:pt idx="139">
                  <c:v>251.18864315095806</c:v>
                </c:pt>
                <c:pt idx="140">
                  <c:v>257.03957827688663</c:v>
                </c:pt>
                <c:pt idx="141">
                  <c:v>263.02679918953817</c:v>
                </c:pt>
                <c:pt idx="142">
                  <c:v>269.15348039269179</c:v>
                </c:pt>
                <c:pt idx="143">
                  <c:v>275.42287033381683</c:v>
                </c:pt>
                <c:pt idx="144">
                  <c:v>281.83829312644554</c:v>
                </c:pt>
                <c:pt idx="145">
                  <c:v>288.40315031266073</c:v>
                </c:pt>
                <c:pt idx="146">
                  <c:v>295.12092266663871</c:v>
                </c:pt>
                <c:pt idx="147">
                  <c:v>301.99517204020168</c:v>
                </c:pt>
                <c:pt idx="148">
                  <c:v>309.02954325135937</c:v>
                </c:pt>
                <c:pt idx="149">
                  <c:v>316.22776601683825</c:v>
                </c:pt>
                <c:pt idx="150">
                  <c:v>323.59365692962825</c:v>
                </c:pt>
                <c:pt idx="151">
                  <c:v>331.13112148259137</c:v>
                </c:pt>
                <c:pt idx="152">
                  <c:v>338.84415613920277</c:v>
                </c:pt>
                <c:pt idx="153">
                  <c:v>346.73685045253183</c:v>
                </c:pt>
                <c:pt idx="154">
                  <c:v>354.81338923357566</c:v>
                </c:pt>
                <c:pt idx="155">
                  <c:v>363.07805477010152</c:v>
                </c:pt>
                <c:pt idx="156">
                  <c:v>371.53522909717265</c:v>
                </c:pt>
                <c:pt idx="157">
                  <c:v>380.18939632056163</c:v>
                </c:pt>
                <c:pt idx="158">
                  <c:v>389.04514499428063</c:v>
                </c:pt>
                <c:pt idx="159">
                  <c:v>398.10717055349761</c:v>
                </c:pt>
                <c:pt idx="160">
                  <c:v>407.38027780411272</c:v>
                </c:pt>
                <c:pt idx="161">
                  <c:v>416.86938347033572</c:v>
                </c:pt>
                <c:pt idx="162">
                  <c:v>426.57951880159294</c:v>
                </c:pt>
                <c:pt idx="163">
                  <c:v>436.51583224016622</c:v>
                </c:pt>
                <c:pt idx="164">
                  <c:v>446.68359215096331</c:v>
                </c:pt>
                <c:pt idx="165">
                  <c:v>457.0881896148756</c:v>
                </c:pt>
                <c:pt idx="166">
                  <c:v>467.7351412871983</c:v>
                </c:pt>
                <c:pt idx="167">
                  <c:v>478.63009232263886</c:v>
                </c:pt>
                <c:pt idx="168">
                  <c:v>489.77881936844625</c:v>
                </c:pt>
                <c:pt idx="169">
                  <c:v>501.18723362727269</c:v>
                </c:pt>
                <c:pt idx="170">
                  <c:v>512.86138399136519</c:v>
                </c:pt>
                <c:pt idx="171">
                  <c:v>524.80746024977248</c:v>
                </c:pt>
                <c:pt idx="172">
                  <c:v>537.03179637025301</c:v>
                </c:pt>
                <c:pt idx="173">
                  <c:v>549.54087385762534</c:v>
                </c:pt>
                <c:pt idx="174">
                  <c:v>562.34132519034927</c:v>
                </c:pt>
                <c:pt idx="175">
                  <c:v>575.43993733715706</c:v>
                </c:pt>
                <c:pt idx="176">
                  <c:v>588.84365535558959</c:v>
                </c:pt>
                <c:pt idx="177">
                  <c:v>602.55958607435832</c:v>
                </c:pt>
                <c:pt idx="178">
                  <c:v>616.59500186148273</c:v>
                </c:pt>
                <c:pt idx="179">
                  <c:v>630.95734448019323</c:v>
                </c:pt>
                <c:pt idx="180">
                  <c:v>645.65422903465594</c:v>
                </c:pt>
                <c:pt idx="181">
                  <c:v>660.69344800759643</c:v>
                </c:pt>
                <c:pt idx="182">
                  <c:v>676.08297539198213</c:v>
                </c:pt>
                <c:pt idx="183">
                  <c:v>691.83097091893671</c:v>
                </c:pt>
                <c:pt idx="184">
                  <c:v>707.94578438413873</c:v>
                </c:pt>
                <c:pt idx="185">
                  <c:v>724.43596007499025</c:v>
                </c:pt>
                <c:pt idx="186">
                  <c:v>741.31024130091828</c:v>
                </c:pt>
                <c:pt idx="187">
                  <c:v>758.57757502918378</c:v>
                </c:pt>
                <c:pt idx="188">
                  <c:v>776.24711662869231</c:v>
                </c:pt>
                <c:pt idx="189">
                  <c:v>794.32823472428208</c:v>
                </c:pt>
                <c:pt idx="190">
                  <c:v>812.83051616409978</c:v>
                </c:pt>
                <c:pt idx="191">
                  <c:v>831.7637711026714</c:v>
                </c:pt>
                <c:pt idx="192">
                  <c:v>851.13803820237763</c:v>
                </c:pt>
                <c:pt idx="193">
                  <c:v>870.96358995608091</c:v>
                </c:pt>
                <c:pt idx="194">
                  <c:v>891.25093813374656</c:v>
                </c:pt>
                <c:pt idx="195">
                  <c:v>912.01083935590987</c:v>
                </c:pt>
                <c:pt idx="196">
                  <c:v>933.25430079699106</c:v>
                </c:pt>
                <c:pt idx="197">
                  <c:v>954.99258602143675</c:v>
                </c:pt>
                <c:pt idx="198">
                  <c:v>977.23722095581138</c:v>
                </c:pt>
                <c:pt idx="199">
                  <c:v>1000</c:v>
                </c:pt>
                <c:pt idx="200">
                  <c:v>1023.2929922807547</c:v>
                </c:pt>
                <c:pt idx="201">
                  <c:v>1047.1285480509</c:v>
                </c:pt>
                <c:pt idx="202">
                  <c:v>1071.5193052376069</c:v>
                </c:pt>
                <c:pt idx="203">
                  <c:v>1096.4781961431863</c:v>
                </c:pt>
                <c:pt idx="204">
                  <c:v>1122.0184543019636</c:v>
                </c:pt>
                <c:pt idx="205">
                  <c:v>1148.1536214968839</c:v>
                </c:pt>
                <c:pt idx="206">
                  <c:v>1174.8975549395295</c:v>
                </c:pt>
                <c:pt idx="207">
                  <c:v>1202.2644346174138</c:v>
                </c:pt>
                <c:pt idx="208">
                  <c:v>1230.2687708123824</c:v>
                </c:pt>
                <c:pt idx="209">
                  <c:v>1258.925411794168</c:v>
                </c:pt>
                <c:pt idx="210">
                  <c:v>1288.2495516931347</c:v>
                </c:pt>
                <c:pt idx="211">
                  <c:v>1318.2567385564089</c:v>
                </c:pt>
                <c:pt idx="212">
                  <c:v>1348.9628825916541</c:v>
                </c:pt>
                <c:pt idx="213">
                  <c:v>1380.3842646028863</c:v>
                </c:pt>
                <c:pt idx="214">
                  <c:v>1412.5375446227545</c:v>
                </c:pt>
                <c:pt idx="215">
                  <c:v>1445.4397707459289</c:v>
                </c:pt>
                <c:pt idx="216">
                  <c:v>1479.1083881682086</c:v>
                </c:pt>
                <c:pt idx="217">
                  <c:v>1513.5612484362093</c:v>
                </c:pt>
                <c:pt idx="218">
                  <c:v>1548.8166189124822</c:v>
                </c:pt>
                <c:pt idx="219">
                  <c:v>1584.8931924611156</c:v>
                </c:pt>
                <c:pt idx="220">
                  <c:v>1621.8100973589308</c:v>
                </c:pt>
                <c:pt idx="221">
                  <c:v>1659.5869074375626</c:v>
                </c:pt>
                <c:pt idx="222">
                  <c:v>1698.2436524617447</c:v>
                </c:pt>
                <c:pt idx="223">
                  <c:v>1737.8008287493772</c:v>
                </c:pt>
                <c:pt idx="224">
                  <c:v>1778.2794100389244</c:v>
                </c:pt>
                <c:pt idx="225">
                  <c:v>1819.7008586099832</c:v>
                </c:pt>
                <c:pt idx="226">
                  <c:v>1862.0871366628687</c:v>
                </c:pt>
                <c:pt idx="227">
                  <c:v>1905.4607179632501</c:v>
                </c:pt>
                <c:pt idx="228">
                  <c:v>1949.8445997580463</c:v>
                </c:pt>
                <c:pt idx="229">
                  <c:v>1995.2623149688804</c:v>
                </c:pt>
                <c:pt idx="230">
                  <c:v>2041.7379446695318</c:v>
                </c:pt>
                <c:pt idx="231">
                  <c:v>2089.2961308540398</c:v>
                </c:pt>
                <c:pt idx="232">
                  <c:v>2137.9620895022344</c:v>
                </c:pt>
                <c:pt idx="233">
                  <c:v>2187.7616239495528</c:v>
                </c:pt>
                <c:pt idx="234">
                  <c:v>2238.7211385683418</c:v>
                </c:pt>
                <c:pt idx="235">
                  <c:v>2290.8676527677749</c:v>
                </c:pt>
                <c:pt idx="236">
                  <c:v>2344.2288153199238</c:v>
                </c:pt>
                <c:pt idx="237">
                  <c:v>2398.8329190194918</c:v>
                </c:pt>
                <c:pt idx="238">
                  <c:v>2454.7089156850338</c:v>
                </c:pt>
                <c:pt idx="239">
                  <c:v>2511.8864315095811</c:v>
                </c:pt>
                <c:pt idx="240">
                  <c:v>2570.3957827688669</c:v>
                </c:pt>
                <c:pt idx="241">
                  <c:v>2630.2679918953822</c:v>
                </c:pt>
                <c:pt idx="242">
                  <c:v>2691.5348039269184</c:v>
                </c:pt>
                <c:pt idx="243">
                  <c:v>2754.228703338169</c:v>
                </c:pt>
                <c:pt idx="244">
                  <c:v>2818.3829312644561</c:v>
                </c:pt>
                <c:pt idx="245">
                  <c:v>2884.0315031266077</c:v>
                </c:pt>
                <c:pt idx="246">
                  <c:v>2951.2092266663876</c:v>
                </c:pt>
                <c:pt idx="247">
                  <c:v>3019.9517204020176</c:v>
                </c:pt>
                <c:pt idx="248">
                  <c:v>3090.295432513592</c:v>
                </c:pt>
                <c:pt idx="249">
                  <c:v>3162.2776601683804</c:v>
                </c:pt>
                <c:pt idx="250">
                  <c:v>3235.9365692962833</c:v>
                </c:pt>
                <c:pt idx="251">
                  <c:v>3311.3112148259115</c:v>
                </c:pt>
                <c:pt idx="252">
                  <c:v>3388.4415613920314</c:v>
                </c:pt>
                <c:pt idx="253">
                  <c:v>3467.3685045253224</c:v>
                </c:pt>
                <c:pt idx="254">
                  <c:v>3548.1338923357539</c:v>
                </c:pt>
                <c:pt idx="255">
                  <c:v>3630.7805477010188</c:v>
                </c:pt>
                <c:pt idx="256">
                  <c:v>3715.352290971724</c:v>
                </c:pt>
                <c:pt idx="257">
                  <c:v>3801.8939632056172</c:v>
                </c:pt>
                <c:pt idx="258">
                  <c:v>3890.451449942811</c:v>
                </c:pt>
                <c:pt idx="259">
                  <c:v>3981.0717055349769</c:v>
                </c:pt>
                <c:pt idx="260">
                  <c:v>4073.8027780411317</c:v>
                </c:pt>
                <c:pt idx="261">
                  <c:v>4168.6938347033583</c:v>
                </c:pt>
                <c:pt idx="262">
                  <c:v>4265.7951880159299</c:v>
                </c:pt>
                <c:pt idx="263">
                  <c:v>4365.1583224016631</c:v>
                </c:pt>
                <c:pt idx="264">
                  <c:v>4466.8359215096343</c:v>
                </c:pt>
                <c:pt idx="265">
                  <c:v>4570.8818961487532</c:v>
                </c:pt>
                <c:pt idx="266">
                  <c:v>4677.3514128719844</c:v>
                </c:pt>
                <c:pt idx="267">
                  <c:v>4786.3009232263848</c:v>
                </c:pt>
                <c:pt idx="268">
                  <c:v>4897.7881936844633</c:v>
                </c:pt>
                <c:pt idx="269">
                  <c:v>5011.8723362727324</c:v>
                </c:pt>
                <c:pt idx="270">
                  <c:v>5128.6138399136489</c:v>
                </c:pt>
                <c:pt idx="271">
                  <c:v>5248.0746024977261</c:v>
                </c:pt>
                <c:pt idx="272">
                  <c:v>5370.3179637025269</c:v>
                </c:pt>
                <c:pt idx="273">
                  <c:v>5495.4087385762541</c:v>
                </c:pt>
                <c:pt idx="274">
                  <c:v>5623.4132519034993</c:v>
                </c:pt>
                <c:pt idx="275">
                  <c:v>5754.399373371567</c:v>
                </c:pt>
                <c:pt idx="276">
                  <c:v>5888.4365535558973</c:v>
                </c:pt>
                <c:pt idx="277">
                  <c:v>6025.595860743585</c:v>
                </c:pt>
                <c:pt idx="278">
                  <c:v>6165.9500186148289</c:v>
                </c:pt>
                <c:pt idx="279">
                  <c:v>6309.5734448019384</c:v>
                </c:pt>
                <c:pt idx="280">
                  <c:v>6456.5422903465615</c:v>
                </c:pt>
                <c:pt idx="281">
                  <c:v>6606.9344800759654</c:v>
                </c:pt>
                <c:pt idx="282">
                  <c:v>6760.8297539198229</c:v>
                </c:pt>
                <c:pt idx="283">
                  <c:v>6918.3097091893687</c:v>
                </c:pt>
                <c:pt idx="284">
                  <c:v>7079.4578438413828</c:v>
                </c:pt>
                <c:pt idx="285">
                  <c:v>7244.3596007499036</c:v>
                </c:pt>
                <c:pt idx="286">
                  <c:v>7413.1024130091773</c:v>
                </c:pt>
                <c:pt idx="287">
                  <c:v>7585.7757502918394</c:v>
                </c:pt>
                <c:pt idx="288">
                  <c:v>7762.4711662869322</c:v>
                </c:pt>
                <c:pt idx="289">
                  <c:v>7943.2823472428154</c:v>
                </c:pt>
                <c:pt idx="290">
                  <c:v>8128.3051616410066</c:v>
                </c:pt>
                <c:pt idx="291">
                  <c:v>8317.6377110267094</c:v>
                </c:pt>
                <c:pt idx="292">
                  <c:v>8511.3803820237772</c:v>
                </c:pt>
                <c:pt idx="293">
                  <c:v>8709.6358995608189</c:v>
                </c:pt>
                <c:pt idx="294">
                  <c:v>8912.5093813374679</c:v>
                </c:pt>
                <c:pt idx="295">
                  <c:v>9120.1083935591087</c:v>
                </c:pt>
                <c:pt idx="296">
                  <c:v>9332.5430079699217</c:v>
                </c:pt>
                <c:pt idx="297">
                  <c:v>9549.9258602143691</c:v>
                </c:pt>
                <c:pt idx="298">
                  <c:v>9772.3722095581161</c:v>
                </c:pt>
                <c:pt idx="299">
                  <c:v>10000</c:v>
                </c:pt>
                <c:pt idx="300">
                  <c:v>10232.929922807549</c:v>
                </c:pt>
                <c:pt idx="301">
                  <c:v>10471.285480509003</c:v>
                </c:pt>
                <c:pt idx="302">
                  <c:v>10715.193052376071</c:v>
                </c:pt>
                <c:pt idx="303">
                  <c:v>10964.781961431856</c:v>
                </c:pt>
                <c:pt idx="304">
                  <c:v>11220.184543019639</c:v>
                </c:pt>
                <c:pt idx="305">
                  <c:v>11481.536214968832</c:v>
                </c:pt>
                <c:pt idx="306">
                  <c:v>11748.975549395318</c:v>
                </c:pt>
                <c:pt idx="307">
                  <c:v>12022.644346174151</c:v>
                </c:pt>
                <c:pt idx="308">
                  <c:v>12302.687708123816</c:v>
                </c:pt>
                <c:pt idx="309">
                  <c:v>12589.254117941671</c:v>
                </c:pt>
                <c:pt idx="310">
                  <c:v>12882.49551693136</c:v>
                </c:pt>
                <c:pt idx="311">
                  <c:v>13182.567385564091</c:v>
                </c:pt>
                <c:pt idx="312">
                  <c:v>13489.628825916556</c:v>
                </c:pt>
                <c:pt idx="313">
                  <c:v>13803.842646028841</c:v>
                </c:pt>
                <c:pt idx="314">
                  <c:v>14125.375446227561</c:v>
                </c:pt>
                <c:pt idx="315">
                  <c:v>14454.397707459291</c:v>
                </c:pt>
                <c:pt idx="316">
                  <c:v>14791.083881682089</c:v>
                </c:pt>
                <c:pt idx="317">
                  <c:v>15135.612484362096</c:v>
                </c:pt>
                <c:pt idx="318">
                  <c:v>15488.166189124853</c:v>
                </c:pt>
                <c:pt idx="319">
                  <c:v>15848.931924611146</c:v>
                </c:pt>
                <c:pt idx="320">
                  <c:v>16218.100973589309</c:v>
                </c:pt>
                <c:pt idx="321">
                  <c:v>16595.869074375616</c:v>
                </c:pt>
                <c:pt idx="322">
                  <c:v>16982.436524617482</c:v>
                </c:pt>
                <c:pt idx="323">
                  <c:v>17378.008287493791</c:v>
                </c:pt>
                <c:pt idx="324">
                  <c:v>17782.794100389234</c:v>
                </c:pt>
                <c:pt idx="325">
                  <c:v>18197.008586099837</c:v>
                </c:pt>
                <c:pt idx="326">
                  <c:v>18620.871366628675</c:v>
                </c:pt>
                <c:pt idx="327">
                  <c:v>19054.607179632505</c:v>
                </c:pt>
                <c:pt idx="328">
                  <c:v>19498.445997580486</c:v>
                </c:pt>
                <c:pt idx="329">
                  <c:v>19952.623149688792</c:v>
                </c:pt>
                <c:pt idx="330">
                  <c:v>20417.379446695286</c:v>
                </c:pt>
                <c:pt idx="331">
                  <c:v>20892.961308540423</c:v>
                </c:pt>
                <c:pt idx="332">
                  <c:v>21379.620895022348</c:v>
                </c:pt>
                <c:pt idx="333">
                  <c:v>21877.61623949555</c:v>
                </c:pt>
                <c:pt idx="334">
                  <c:v>22387.211385683382</c:v>
                </c:pt>
                <c:pt idx="335">
                  <c:v>22908.676527677751</c:v>
                </c:pt>
                <c:pt idx="336">
                  <c:v>23442.288153199243</c:v>
                </c:pt>
                <c:pt idx="337">
                  <c:v>23988.329190194923</c:v>
                </c:pt>
                <c:pt idx="338">
                  <c:v>24547.089156850321</c:v>
                </c:pt>
                <c:pt idx="339">
                  <c:v>25118.86431509586</c:v>
                </c:pt>
                <c:pt idx="340">
                  <c:v>25703.95782768865</c:v>
                </c:pt>
                <c:pt idx="341">
                  <c:v>26302.679918953829</c:v>
                </c:pt>
                <c:pt idx="342">
                  <c:v>26915.348039269167</c:v>
                </c:pt>
                <c:pt idx="343">
                  <c:v>27542.287033381719</c:v>
                </c:pt>
                <c:pt idx="344">
                  <c:v>28183.829312644593</c:v>
                </c:pt>
                <c:pt idx="345">
                  <c:v>28840.315031266062</c:v>
                </c:pt>
                <c:pt idx="346">
                  <c:v>29512.092266663854</c:v>
                </c:pt>
                <c:pt idx="347">
                  <c:v>30199.517204020212</c:v>
                </c:pt>
                <c:pt idx="348">
                  <c:v>30902.954325135954</c:v>
                </c:pt>
                <c:pt idx="349">
                  <c:v>31622.77660168384</c:v>
                </c:pt>
                <c:pt idx="350">
                  <c:v>32359.365692962871</c:v>
                </c:pt>
                <c:pt idx="351">
                  <c:v>33113.11214825909</c:v>
                </c:pt>
                <c:pt idx="352">
                  <c:v>33884.41561392029</c:v>
                </c:pt>
                <c:pt idx="353">
                  <c:v>34673.685045253202</c:v>
                </c:pt>
                <c:pt idx="354">
                  <c:v>35481.33892335758</c:v>
                </c:pt>
                <c:pt idx="355">
                  <c:v>36307.805477010232</c:v>
                </c:pt>
                <c:pt idx="356">
                  <c:v>37153.522909717351</c:v>
                </c:pt>
                <c:pt idx="357">
                  <c:v>38018.939632056143</c:v>
                </c:pt>
                <c:pt idx="358">
                  <c:v>38904.514499428085</c:v>
                </c:pt>
                <c:pt idx="359">
                  <c:v>39810.717055349742</c:v>
                </c:pt>
                <c:pt idx="360">
                  <c:v>40738.027780411358</c:v>
                </c:pt>
                <c:pt idx="361">
                  <c:v>41686.938347033625</c:v>
                </c:pt>
                <c:pt idx="362">
                  <c:v>42657.951880159271</c:v>
                </c:pt>
                <c:pt idx="363">
                  <c:v>43651.583224016598</c:v>
                </c:pt>
                <c:pt idx="364">
                  <c:v>44668.359215096389</c:v>
                </c:pt>
                <c:pt idx="365">
                  <c:v>45708.818961487581</c:v>
                </c:pt>
                <c:pt idx="366">
                  <c:v>46773.514128719893</c:v>
                </c:pt>
                <c:pt idx="367">
                  <c:v>47863.009232263823</c:v>
                </c:pt>
                <c:pt idx="368">
                  <c:v>48977.881936844598</c:v>
                </c:pt>
                <c:pt idx="369">
                  <c:v>50118.723362727294</c:v>
                </c:pt>
                <c:pt idx="370">
                  <c:v>51286.138399136544</c:v>
                </c:pt>
                <c:pt idx="371">
                  <c:v>52480.746024977314</c:v>
                </c:pt>
                <c:pt idx="372">
                  <c:v>53703.179637025423</c:v>
                </c:pt>
                <c:pt idx="373">
                  <c:v>54954.087385762505</c:v>
                </c:pt>
                <c:pt idx="374">
                  <c:v>56234.132519034953</c:v>
                </c:pt>
                <c:pt idx="375">
                  <c:v>57543.993733715732</c:v>
                </c:pt>
                <c:pt idx="376">
                  <c:v>58884.365535558936</c:v>
                </c:pt>
                <c:pt idx="377">
                  <c:v>60255.95860743591</c:v>
                </c:pt>
                <c:pt idx="378">
                  <c:v>61659.500186148245</c:v>
                </c:pt>
                <c:pt idx="379">
                  <c:v>63095.734448019342</c:v>
                </c:pt>
                <c:pt idx="380">
                  <c:v>64565.422903465682</c:v>
                </c:pt>
                <c:pt idx="381">
                  <c:v>66069.344800759733</c:v>
                </c:pt>
                <c:pt idx="382">
                  <c:v>67608.297539198305</c:v>
                </c:pt>
                <c:pt idx="383">
                  <c:v>69183.097091893651</c:v>
                </c:pt>
                <c:pt idx="384">
                  <c:v>70794.578438413781</c:v>
                </c:pt>
                <c:pt idx="385">
                  <c:v>72443.596007499116</c:v>
                </c:pt>
                <c:pt idx="386">
                  <c:v>74131.024130091857</c:v>
                </c:pt>
                <c:pt idx="387">
                  <c:v>75857.757502918481</c:v>
                </c:pt>
                <c:pt idx="388">
                  <c:v>77624.711662869129</c:v>
                </c:pt>
                <c:pt idx="389">
                  <c:v>79432.823472428237</c:v>
                </c:pt>
                <c:pt idx="390">
                  <c:v>81283.051616410012</c:v>
                </c:pt>
                <c:pt idx="391">
                  <c:v>83176.377110267174</c:v>
                </c:pt>
                <c:pt idx="392">
                  <c:v>85113.803820237721</c:v>
                </c:pt>
                <c:pt idx="393">
                  <c:v>87096.358995608127</c:v>
                </c:pt>
                <c:pt idx="394">
                  <c:v>89125.093813374609</c:v>
                </c:pt>
                <c:pt idx="395">
                  <c:v>91201.083935591028</c:v>
                </c:pt>
                <c:pt idx="396">
                  <c:v>93325.430079699145</c:v>
                </c:pt>
                <c:pt idx="397">
                  <c:v>95499.258602143804</c:v>
                </c:pt>
                <c:pt idx="398">
                  <c:v>97723.722095581266</c:v>
                </c:pt>
                <c:pt idx="399">
                  <c:v>100000</c:v>
                </c:pt>
                <c:pt idx="400">
                  <c:v>102329.29922807543</c:v>
                </c:pt>
                <c:pt idx="401">
                  <c:v>104712.85480508996</c:v>
                </c:pt>
                <c:pt idx="402">
                  <c:v>107151.93052376082</c:v>
                </c:pt>
                <c:pt idx="403">
                  <c:v>109647.81961431868</c:v>
                </c:pt>
                <c:pt idx="404">
                  <c:v>112201.84543019651</c:v>
                </c:pt>
                <c:pt idx="405">
                  <c:v>114815.36214968823</c:v>
                </c:pt>
                <c:pt idx="406">
                  <c:v>117489.75549395311</c:v>
                </c:pt>
                <c:pt idx="407">
                  <c:v>120226.44346174144</c:v>
                </c:pt>
                <c:pt idx="408">
                  <c:v>123026.87708123829</c:v>
                </c:pt>
                <c:pt idx="409">
                  <c:v>125892.54117941685</c:v>
                </c:pt>
                <c:pt idx="410">
                  <c:v>128824.95516931375</c:v>
                </c:pt>
                <c:pt idx="411">
                  <c:v>131825.67385564081</c:v>
                </c:pt>
                <c:pt idx="412">
                  <c:v>134896.28825916545</c:v>
                </c:pt>
                <c:pt idx="413">
                  <c:v>138038.42646028858</c:v>
                </c:pt>
                <c:pt idx="414">
                  <c:v>141253.75446227577</c:v>
                </c:pt>
                <c:pt idx="415">
                  <c:v>144543.97707459307</c:v>
                </c:pt>
                <c:pt idx="416">
                  <c:v>147910.83881682079</c:v>
                </c:pt>
                <c:pt idx="417">
                  <c:v>151356.12484362084</c:v>
                </c:pt>
                <c:pt idx="418">
                  <c:v>154881.66189124843</c:v>
                </c:pt>
                <c:pt idx="419">
                  <c:v>158489.31924611164</c:v>
                </c:pt>
                <c:pt idx="420">
                  <c:v>162181.00973589328</c:v>
                </c:pt>
                <c:pt idx="421">
                  <c:v>165958.69074375604</c:v>
                </c:pt>
                <c:pt idx="422">
                  <c:v>169824.36524617471</c:v>
                </c:pt>
                <c:pt idx="423">
                  <c:v>173780.0828749378</c:v>
                </c:pt>
                <c:pt idx="424">
                  <c:v>177827.94100389251</c:v>
                </c:pt>
                <c:pt idx="425">
                  <c:v>181970.08586099857</c:v>
                </c:pt>
                <c:pt idx="426">
                  <c:v>186208.71366628664</c:v>
                </c:pt>
                <c:pt idx="427">
                  <c:v>190546.07179632492</c:v>
                </c:pt>
                <c:pt idx="428">
                  <c:v>194984.45997580473</c:v>
                </c:pt>
                <c:pt idx="429">
                  <c:v>199526.23149688813</c:v>
                </c:pt>
                <c:pt idx="430">
                  <c:v>204173.79446695308</c:v>
                </c:pt>
                <c:pt idx="431">
                  <c:v>208929.61308540447</c:v>
                </c:pt>
                <c:pt idx="432">
                  <c:v>213796.20895022334</c:v>
                </c:pt>
                <c:pt idx="433">
                  <c:v>218776.16239495538</c:v>
                </c:pt>
                <c:pt idx="434">
                  <c:v>223872.11385683404</c:v>
                </c:pt>
                <c:pt idx="435">
                  <c:v>229086.76527677779</c:v>
                </c:pt>
                <c:pt idx="436">
                  <c:v>234422.88153199267</c:v>
                </c:pt>
                <c:pt idx="437">
                  <c:v>239883.29190194907</c:v>
                </c:pt>
                <c:pt idx="438">
                  <c:v>245470.89156850305</c:v>
                </c:pt>
                <c:pt idx="439">
                  <c:v>251188.64315095844</c:v>
                </c:pt>
                <c:pt idx="440">
                  <c:v>257039.57827688678</c:v>
                </c:pt>
                <c:pt idx="441">
                  <c:v>263026.79918953858</c:v>
                </c:pt>
                <c:pt idx="442">
                  <c:v>269153.48039269145</c:v>
                </c:pt>
                <c:pt idx="443">
                  <c:v>275422.87033381703</c:v>
                </c:pt>
                <c:pt idx="444">
                  <c:v>281838.29312644573</c:v>
                </c:pt>
                <c:pt idx="445">
                  <c:v>288403.1503126609</c:v>
                </c:pt>
                <c:pt idx="446">
                  <c:v>295120.92266663886</c:v>
                </c:pt>
                <c:pt idx="447">
                  <c:v>301995.17204020242</c:v>
                </c:pt>
                <c:pt idx="448">
                  <c:v>309029.54325135931</c:v>
                </c:pt>
                <c:pt idx="449">
                  <c:v>316227.7660168382</c:v>
                </c:pt>
                <c:pt idx="450">
                  <c:v>323593.65692962846</c:v>
                </c:pt>
                <c:pt idx="451">
                  <c:v>331131.12148259126</c:v>
                </c:pt>
                <c:pt idx="452">
                  <c:v>338844.15613920329</c:v>
                </c:pt>
                <c:pt idx="453">
                  <c:v>346736.85045253241</c:v>
                </c:pt>
                <c:pt idx="454">
                  <c:v>354813.38923357555</c:v>
                </c:pt>
                <c:pt idx="455">
                  <c:v>363078.05477010203</c:v>
                </c:pt>
                <c:pt idx="456">
                  <c:v>371535.2290971732</c:v>
                </c:pt>
                <c:pt idx="457">
                  <c:v>380189.39632056188</c:v>
                </c:pt>
                <c:pt idx="458">
                  <c:v>389045.14499428123</c:v>
                </c:pt>
                <c:pt idx="459">
                  <c:v>398107.17055349716</c:v>
                </c:pt>
                <c:pt idx="460">
                  <c:v>407380.27780411334</c:v>
                </c:pt>
                <c:pt idx="461">
                  <c:v>416869.38347033598</c:v>
                </c:pt>
                <c:pt idx="462">
                  <c:v>426579.51880159322</c:v>
                </c:pt>
                <c:pt idx="463">
                  <c:v>436515.83224016649</c:v>
                </c:pt>
                <c:pt idx="464">
                  <c:v>446683.59215096442</c:v>
                </c:pt>
                <c:pt idx="465">
                  <c:v>457088.18961487547</c:v>
                </c:pt>
                <c:pt idx="466">
                  <c:v>467735.14128719864</c:v>
                </c:pt>
                <c:pt idx="467">
                  <c:v>478630.09232263872</c:v>
                </c:pt>
                <c:pt idx="468">
                  <c:v>489778.81936844654</c:v>
                </c:pt>
                <c:pt idx="469">
                  <c:v>501187.23362727347</c:v>
                </c:pt>
                <c:pt idx="470">
                  <c:v>512861.38399136515</c:v>
                </c:pt>
                <c:pt idx="471">
                  <c:v>524807.46024977288</c:v>
                </c:pt>
                <c:pt idx="472">
                  <c:v>537031.7963702539</c:v>
                </c:pt>
                <c:pt idx="473">
                  <c:v>549540.87385762564</c:v>
                </c:pt>
                <c:pt idx="474">
                  <c:v>562341.32519035018</c:v>
                </c:pt>
                <c:pt idx="475">
                  <c:v>575439.93733715697</c:v>
                </c:pt>
                <c:pt idx="476">
                  <c:v>588843.65535558888</c:v>
                </c:pt>
                <c:pt idx="477">
                  <c:v>602559.58607435878</c:v>
                </c:pt>
                <c:pt idx="478">
                  <c:v>616595.00186148309</c:v>
                </c:pt>
                <c:pt idx="479">
                  <c:v>630957.34448019415</c:v>
                </c:pt>
                <c:pt idx="480">
                  <c:v>645654.22903465747</c:v>
                </c:pt>
                <c:pt idx="481">
                  <c:v>660693.44800759677</c:v>
                </c:pt>
                <c:pt idx="482">
                  <c:v>676082.97539198259</c:v>
                </c:pt>
                <c:pt idx="483">
                  <c:v>691830.97091893724</c:v>
                </c:pt>
                <c:pt idx="484">
                  <c:v>707945.78438413853</c:v>
                </c:pt>
                <c:pt idx="485">
                  <c:v>724435.96007499192</c:v>
                </c:pt>
                <c:pt idx="486">
                  <c:v>741310.24130091805</c:v>
                </c:pt>
                <c:pt idx="487">
                  <c:v>758577.57502918423</c:v>
                </c:pt>
                <c:pt idx="488">
                  <c:v>776247.11662869214</c:v>
                </c:pt>
                <c:pt idx="489">
                  <c:v>794328.23472428333</c:v>
                </c:pt>
                <c:pt idx="490">
                  <c:v>812830.51616410096</c:v>
                </c:pt>
                <c:pt idx="491">
                  <c:v>831763.77110267128</c:v>
                </c:pt>
                <c:pt idx="492">
                  <c:v>851138.03820237669</c:v>
                </c:pt>
                <c:pt idx="493">
                  <c:v>870963.58995608077</c:v>
                </c:pt>
                <c:pt idx="494">
                  <c:v>891250.93813374708</c:v>
                </c:pt>
                <c:pt idx="495">
                  <c:v>912010.83935591124</c:v>
                </c:pt>
                <c:pt idx="496">
                  <c:v>933254.30079699249</c:v>
                </c:pt>
                <c:pt idx="497">
                  <c:v>954992.58602143743</c:v>
                </c:pt>
                <c:pt idx="498">
                  <c:v>977237.22095581202</c:v>
                </c:pt>
                <c:pt idx="499">
                  <c:v>1000000</c:v>
                </c:pt>
                <c:pt idx="500">
                  <c:v>1023292.9922807553</c:v>
                </c:pt>
                <c:pt idx="501">
                  <c:v>1047128.5480509007</c:v>
                </c:pt>
                <c:pt idx="502">
                  <c:v>1071519.3052376076</c:v>
                </c:pt>
                <c:pt idx="503">
                  <c:v>1096478.196143186</c:v>
                </c:pt>
                <c:pt idx="504">
                  <c:v>1122018.4543019643</c:v>
                </c:pt>
                <c:pt idx="505">
                  <c:v>1148153.6214968837</c:v>
                </c:pt>
                <c:pt idx="506">
                  <c:v>1174897.5549395324</c:v>
                </c:pt>
                <c:pt idx="507">
                  <c:v>1202264.4346174158</c:v>
                </c:pt>
                <c:pt idx="508">
                  <c:v>1230268.770812382</c:v>
                </c:pt>
                <c:pt idx="509">
                  <c:v>1258925.4117941677</c:v>
                </c:pt>
                <c:pt idx="510">
                  <c:v>1288249.5516931366</c:v>
                </c:pt>
                <c:pt idx="511">
                  <c:v>1318256.7385564097</c:v>
                </c:pt>
                <c:pt idx="512">
                  <c:v>1348962.8825916562</c:v>
                </c:pt>
                <c:pt idx="513">
                  <c:v>1380384.2646028849</c:v>
                </c:pt>
                <c:pt idx="514">
                  <c:v>1412537.5446227565</c:v>
                </c:pt>
                <c:pt idx="515">
                  <c:v>1445439.7707459298</c:v>
                </c:pt>
                <c:pt idx="516">
                  <c:v>1479108.3881682095</c:v>
                </c:pt>
                <c:pt idx="517">
                  <c:v>1513561.2484362102</c:v>
                </c:pt>
                <c:pt idx="518">
                  <c:v>1548816.6189124861</c:v>
                </c:pt>
                <c:pt idx="519">
                  <c:v>1584893.1924611153</c:v>
                </c:pt>
                <c:pt idx="520">
                  <c:v>1621810.0973589318</c:v>
                </c:pt>
                <c:pt idx="521">
                  <c:v>1659586.9074375622</c:v>
                </c:pt>
                <c:pt idx="522">
                  <c:v>1698243.6524617488</c:v>
                </c:pt>
                <c:pt idx="523">
                  <c:v>1737800.8287493798</c:v>
                </c:pt>
                <c:pt idx="524">
                  <c:v>1778279.4100389241</c:v>
                </c:pt>
                <c:pt idx="525">
                  <c:v>1819700.8586099846</c:v>
                </c:pt>
                <c:pt idx="526">
                  <c:v>1862087.1366628683</c:v>
                </c:pt>
                <c:pt idx="527">
                  <c:v>1905460.7179632513</c:v>
                </c:pt>
                <c:pt idx="528">
                  <c:v>1949844.5997580495</c:v>
                </c:pt>
                <c:pt idx="529">
                  <c:v>1995262.31496888</c:v>
                </c:pt>
                <c:pt idx="530">
                  <c:v>2041737.9446695296</c:v>
                </c:pt>
                <c:pt idx="531">
                  <c:v>2089296.1308540432</c:v>
                </c:pt>
                <c:pt idx="532">
                  <c:v>2137962.0895022359</c:v>
                </c:pt>
                <c:pt idx="533">
                  <c:v>2187761.6239495561</c:v>
                </c:pt>
                <c:pt idx="534">
                  <c:v>2238721.1385683389</c:v>
                </c:pt>
                <c:pt idx="535">
                  <c:v>2290867.6527677765</c:v>
                </c:pt>
                <c:pt idx="536">
                  <c:v>2344228.8153199251</c:v>
                </c:pt>
                <c:pt idx="537">
                  <c:v>2398832.9190194933</c:v>
                </c:pt>
                <c:pt idx="538">
                  <c:v>2454708.915685033</c:v>
                </c:pt>
                <c:pt idx="539">
                  <c:v>2511886.431509587</c:v>
                </c:pt>
                <c:pt idx="540">
                  <c:v>2570395.782768866</c:v>
                </c:pt>
                <c:pt idx="541">
                  <c:v>2630267.9918953842</c:v>
                </c:pt>
              </c:numCache>
            </c:numRef>
          </c:xVal>
          <c:yVal>
            <c:numRef>
              <c:f>Loop_Modeling!$BD$19:$BD$560</c:f>
              <c:numCache>
                <c:formatCode>General</c:formatCode>
                <c:ptCount val="542"/>
                <c:pt idx="0">
                  <c:v>37.644046846143986</c:v>
                </c:pt>
                <c:pt idx="1">
                  <c:v>37.444058513024508</c:v>
                </c:pt>
                <c:pt idx="2">
                  <c:v>37.244070729714529</c:v>
                </c:pt>
                <c:pt idx="3">
                  <c:v>37.044083522122484</c:v>
                </c:pt>
                <c:pt idx="4">
                  <c:v>36.844096917377648</c:v>
                </c:pt>
                <c:pt idx="5">
                  <c:v>36.644110943887341</c:v>
                </c:pt>
                <c:pt idx="6">
                  <c:v>36.444125631397476</c:v>
                </c:pt>
                <c:pt idx="7">
                  <c:v>36.244141011055248</c:v>
                </c:pt>
                <c:pt idx="8">
                  <c:v>36.044157115475528</c:v>
                </c:pt>
                <c:pt idx="9">
                  <c:v>35.844173978809621</c:v>
                </c:pt>
                <c:pt idx="10">
                  <c:v>35.644191636817851</c:v>
                </c:pt>
                <c:pt idx="11">
                  <c:v>35.444210126945329</c:v>
                </c:pt>
                <c:pt idx="12">
                  <c:v>35.244229488401103</c:v>
                </c:pt>
                <c:pt idx="13">
                  <c:v>35.044249762241513</c:v>
                </c:pt>
                <c:pt idx="14">
                  <c:v>34.844270991456973</c:v>
                </c:pt>
                <c:pt idx="15">
                  <c:v>34.644293221063116</c:v>
                </c:pt>
                <c:pt idx="16">
                  <c:v>34.444316498196152</c:v>
                </c:pt>
                <c:pt idx="17">
                  <c:v>34.244340872212774</c:v>
                </c:pt>
                <c:pt idx="18">
                  <c:v>34.044366394794466</c:v>
                </c:pt>
                <c:pt idx="19">
                  <c:v>33.844393120057376</c:v>
                </c:pt>
                <c:pt idx="20">
                  <c:v>33.644421104666542</c:v>
                </c:pt>
                <c:pt idx="21">
                  <c:v>33.444450407956076</c:v>
                </c:pt>
                <c:pt idx="22">
                  <c:v>33.244481092054855</c:v>
                </c:pt>
                <c:pt idx="23">
                  <c:v>33.044513222017898</c:v>
                </c:pt>
                <c:pt idx="24">
                  <c:v>32.844546865964212</c:v>
                </c:pt>
                <c:pt idx="25">
                  <c:v>32.64458209522104</c:v>
                </c:pt>
                <c:pt idx="26">
                  <c:v>32.444618984474786</c:v>
                </c:pt>
                <c:pt idx="27">
                  <c:v>32.2446576119291</c:v>
                </c:pt>
                <c:pt idx="28">
                  <c:v>32.044698059470342</c:v>
                </c:pt>
                <c:pt idx="29">
                  <c:v>31.844740412841052</c:v>
                </c:pt>
                <c:pt idx="30">
                  <c:v>31.644784761821143</c:v>
                </c:pt>
                <c:pt idx="31">
                  <c:v>31.444831200418054</c:v>
                </c:pt>
                <c:pt idx="32">
                  <c:v>31.244879827065478</c:v>
                </c:pt>
                <c:pt idx="33">
                  <c:v>31.044930744831664</c:v>
                </c:pt>
                <c:pt idx="34">
                  <c:v>30.844984061637266</c:v>
                </c:pt>
                <c:pt idx="35">
                  <c:v>30.645039890483758</c:v>
                </c:pt>
                <c:pt idx="36">
                  <c:v>30.445098349692181</c:v>
                </c:pt>
                <c:pt idx="37">
                  <c:v>30.245159563153369</c:v>
                </c:pt>
                <c:pt idx="38">
                  <c:v>30.045223660589762</c:v>
                </c:pt>
                <c:pt idx="39">
                  <c:v>29.845290777829575</c:v>
                </c:pt>
                <c:pt idx="40">
                  <c:v>29.645361057093851</c:v>
                </c:pt>
                <c:pt idx="41">
                  <c:v>29.445434647296711</c:v>
                </c:pt>
                <c:pt idx="42">
                  <c:v>29.245511704360272</c:v>
                </c:pt>
                <c:pt idx="43">
                  <c:v>29.045592391543416</c:v>
                </c:pt>
                <c:pt idx="44">
                  <c:v>28.845676879786815</c:v>
                </c:pt>
                <c:pt idx="45">
                  <c:v>28.645765348073809</c:v>
                </c:pt>
                <c:pt idx="46">
                  <c:v>28.445857983807858</c:v>
                </c:pt>
                <c:pt idx="47">
                  <c:v>28.245954983208108</c:v>
                </c:pt>
                <c:pt idx="48">
                  <c:v>28.046056551723243</c:v>
                </c:pt>
                <c:pt idx="49">
                  <c:v>27.846162904464776</c:v>
                </c:pt>
                <c:pt idx="50">
                  <c:v>27.64627426666037</c:v>
                </c:pt>
                <c:pt idx="51">
                  <c:v>27.446390874128678</c:v>
                </c:pt>
                <c:pt idx="52">
                  <c:v>27.246512973776305</c:v>
                </c:pt>
                <c:pt idx="53">
                  <c:v>27.046640824117503</c:v>
                </c:pt>
                <c:pt idx="54">
                  <c:v>26.846774695818809</c:v>
                </c:pt>
                <c:pt idx="55">
                  <c:v>26.646914872268582</c:v>
                </c:pt>
                <c:pt idx="56">
                  <c:v>26.447061650173282</c:v>
                </c:pt>
                <c:pt idx="57">
                  <c:v>26.247215340181743</c:v>
                </c:pt>
                <c:pt idx="58">
                  <c:v>26.047376267537871</c:v>
                </c:pt>
                <c:pt idx="59">
                  <c:v>25.84754477276444</c:v>
                </c:pt>
                <c:pt idx="60">
                  <c:v>25.647721212378443</c:v>
                </c:pt>
                <c:pt idx="61">
                  <c:v>25.447905959639399</c:v>
                </c:pt>
                <c:pt idx="62">
                  <c:v>25.24809940533288</c:v>
                </c:pt>
                <c:pt idx="63">
                  <c:v>25.048301958590194</c:v>
                </c:pt>
                <c:pt idx="64">
                  <c:v>24.848514047746097</c:v>
                </c:pt>
                <c:pt idx="65">
                  <c:v>24.64873612123607</c:v>
                </c:pt>
                <c:pt idx="66">
                  <c:v>24.448968648535839</c:v>
                </c:pt>
                <c:pt idx="67">
                  <c:v>24.249212121143454</c:v>
                </c:pt>
                <c:pt idx="68">
                  <c:v>24.049467053607465</c:v>
                </c:pt>
                <c:pt idx="69">
                  <c:v>23.849733984602434</c:v>
                </c:pt>
                <c:pt idx="70">
                  <c:v>23.650013478053772</c:v>
                </c:pt>
                <c:pt idx="71">
                  <c:v>23.450306124314896</c:v>
                </c:pt>
                <c:pt idx="72">
                  <c:v>23.250612541398649</c:v>
                </c:pt>
                <c:pt idx="73">
                  <c:v>23.050933376264421</c:v>
                </c:pt>
                <c:pt idx="74">
                  <c:v>22.85126930616595</c:v>
                </c:pt>
                <c:pt idx="75">
                  <c:v>22.651621040059755</c:v>
                </c:pt>
                <c:pt idx="76">
                  <c:v>22.451989320078614</c:v>
                </c:pt>
                <c:pt idx="77">
                  <c:v>22.25237492307247</c:v>
                </c:pt>
                <c:pt idx="78">
                  <c:v>22.052778662219819</c:v>
                </c:pt>
                <c:pt idx="79">
                  <c:v>21.853201388712659</c:v>
                </c:pt>
                <c:pt idx="80">
                  <c:v>21.653643993518124</c:v>
                </c:pt>
                <c:pt idx="81">
                  <c:v>21.454107409220384</c:v>
                </c:pt>
                <c:pt idx="82">
                  <c:v>21.254592611946066</c:v>
                </c:pt>
                <c:pt idx="83">
                  <c:v>21.055100623377491</c:v>
                </c:pt>
                <c:pt idx="84">
                  <c:v>20.855632512856161</c:v>
                </c:pt>
                <c:pt idx="85">
                  <c:v>20.656189399582363</c:v>
                </c:pt>
                <c:pt idx="86">
                  <c:v>20.456772454912887</c:v>
                </c:pt>
                <c:pt idx="87">
                  <c:v>20.257382904762661</c:v>
                </c:pt>
                <c:pt idx="88">
                  <c:v>20.058022032114508</c:v>
                </c:pt>
                <c:pt idx="89">
                  <c:v>19.858691179640189</c:v>
                </c:pt>
                <c:pt idx="90">
                  <c:v>19.659391752439653</c:v>
                </c:pt>
                <c:pt idx="91">
                  <c:v>19.460125220901709</c:v>
                </c:pt>
                <c:pt idx="92">
                  <c:v>19.260893123691783</c:v>
                </c:pt>
                <c:pt idx="93">
                  <c:v>19.061697070872082</c:v>
                </c:pt>
                <c:pt idx="94">
                  <c:v>18.862538747159721</c:v>
                </c:pt>
                <c:pt idx="95">
                  <c:v>18.663419915327644</c:v>
                </c:pt>
                <c:pt idx="96">
                  <c:v>18.464342419755532</c:v>
                </c:pt>
                <c:pt idx="97">
                  <c:v>18.265308190135009</c:v>
                </c:pt>
                <c:pt idx="98">
                  <c:v>18.066319245336796</c:v>
                </c:pt>
                <c:pt idx="99">
                  <c:v>17.867377697445207</c:v>
                </c:pt>
                <c:pt idx="100">
                  <c:v>17.668485755966966</c:v>
                </c:pt>
                <c:pt idx="101">
                  <c:v>17.469645732220847</c:v>
                </c:pt>
                <c:pt idx="102">
                  <c:v>17.270860043915143</c:v>
                </c:pt>
                <c:pt idx="103">
                  <c:v>17.072131219920028</c:v>
                </c:pt>
                <c:pt idx="104">
                  <c:v>16.873461905242003</c:v>
                </c:pt>
                <c:pt idx="105">
                  <c:v>16.674854866207586</c:v>
                </c:pt>
                <c:pt idx="106">
                  <c:v>16.476312995864628</c:v>
                </c:pt>
                <c:pt idx="107">
                  <c:v>16.277839319607533</c:v>
                </c:pt>
                <c:pt idx="108">
                  <c:v>16.079437001035856</c:v>
                </c:pt>
                <c:pt idx="109">
                  <c:v>15.881109348052615</c:v>
                </c:pt>
                <c:pt idx="110">
                  <c:v>15.682859819211854</c:v>
                </c:pt>
                <c:pt idx="111">
                  <c:v>15.484692030322229</c:v>
                </c:pt>
                <c:pt idx="112">
                  <c:v>15.286609761315725</c:v>
                </c:pt>
                <c:pt idx="113">
                  <c:v>15.088616963389423</c:v>
                </c:pt>
                <c:pt idx="114">
                  <c:v>14.890717766428466</c:v>
                </c:pt>
                <c:pt idx="115">
                  <c:v>14.69291648671836</c:v>
                </c:pt>
                <c:pt idx="116">
                  <c:v>14.495217634955132</c:v>
                </c:pt>
                <c:pt idx="117">
                  <c:v>14.297625924560762</c:v>
                </c:pt>
                <c:pt idx="118">
                  <c:v>14.100146280312504</c:v>
                </c:pt>
                <c:pt idx="119">
                  <c:v>13.902783847292838</c:v>
                </c:pt>
                <c:pt idx="120">
                  <c:v>13.705544000168672</c:v>
                </c:pt>
                <c:pt idx="121">
                  <c:v>13.508432352805656</c:v>
                </c:pt>
                <c:pt idx="122">
                  <c:v>13.311454768225206</c:v>
                </c:pt>
                <c:pt idx="123">
                  <c:v>13.114617368910332</c:v>
                </c:pt>
                <c:pt idx="124">
                  <c:v>12.917926547465425</c:v>
                </c:pt>
                <c:pt idx="125">
                  <c:v>12.721388977636028</c:v>
                </c:pt>
                <c:pt idx="126">
                  <c:v>12.525011625691931</c:v>
                </c:pt>
                <c:pt idx="127">
                  <c:v>12.328801762177882</c:v>
                </c:pt>
                <c:pt idx="128">
                  <c:v>12.132766974034194</c:v>
                </c:pt>
                <c:pt idx="129">
                  <c:v>11.936915177088061</c:v>
                </c:pt>
                <c:pt idx="130">
                  <c:v>11.741254628917211</c:v>
                </c:pt>
                <c:pt idx="131">
                  <c:v>11.545793942082927</c:v>
                </c:pt>
                <c:pt idx="132">
                  <c:v>11.350542097731433</c:v>
                </c:pt>
                <c:pt idx="133">
                  <c:v>11.155508459557982</c:v>
                </c:pt>
                <c:pt idx="134">
                  <c:v>10.960702788127756</c:v>
                </c:pt>
                <c:pt idx="135">
                  <c:v>10.766135255545354</c:v>
                </c:pt>
                <c:pt idx="136">
                  <c:v>10.571816460461548</c:v>
                </c:pt>
                <c:pt idx="137">
                  <c:v>10.377757443404604</c:v>
                </c:pt>
                <c:pt idx="138">
                  <c:v>10.183969702419427</c:v>
                </c:pt>
                <c:pt idx="139">
                  <c:v>9.9904652089962802</c:v>
                </c:pt>
                <c:pt idx="140">
                  <c:v>9.7972564242653579</c:v>
                </c:pt>
                <c:pt idx="141">
                  <c:v>9.6043563154325895</c:v>
                </c:pt>
                <c:pt idx="142">
                  <c:v>9.411778372425367</c:v>
                </c:pt>
                <c:pt idx="143">
                  <c:v>9.2195366247156656</c:v>
                </c:pt>
                <c:pt idx="144">
                  <c:v>9.0276456582802389</c:v>
                </c:pt>
                <c:pt idx="145">
                  <c:v>8.8361206326556534</c:v>
                </c:pt>
                <c:pt idx="146">
                  <c:v>8.6449772980393575</c:v>
                </c:pt>
                <c:pt idx="147">
                  <c:v>8.4542320123819685</c:v>
                </c:pt>
                <c:pt idx="148">
                  <c:v>8.2639017584121408</c:v>
                </c:pt>
                <c:pt idx="149">
                  <c:v>8.0740041605264494</c:v>
                </c:pt>
                <c:pt idx="150">
                  <c:v>7.8845575014726945</c:v>
                </c:pt>
                <c:pt idx="151">
                  <c:v>7.6955807387469433</c:v>
                </c:pt>
                <c:pt idx="152">
                  <c:v>7.5070935206169445</c:v>
                </c:pt>
                <c:pt idx="153">
                  <c:v>7.3191162016792504</c:v>
                </c:pt>
                <c:pt idx="154">
                  <c:v>7.1316698578465418</c:v>
                </c:pt>
                <c:pt idx="155">
                  <c:v>6.9447763006567653</c:v>
                </c:pt>
                <c:pt idx="156">
                  <c:v>6.7584580907851048</c:v>
                </c:pt>
                <c:pt idx="157">
                  <c:v>6.5727385506334759</c:v>
                </c:pt>
                <c:pt idx="158">
                  <c:v>6.3876417758615043</c:v>
                </c:pt>
                <c:pt idx="159">
                  <c:v>6.2031926457174622</c:v>
                </c:pt>
                <c:pt idx="160">
                  <c:v>6.0194168320157448</c:v>
                </c:pt>
                <c:pt idx="161">
                  <c:v>5.8363408066030198</c:v>
                </c:pt>
                <c:pt idx="162">
                  <c:v>5.6539918471433017</c:v>
                </c:pt>
                <c:pt idx="163">
                  <c:v>5.4723980410480557</c:v>
                </c:pt>
                <c:pt idx="164">
                  <c:v>5.2915882873672517</c:v>
                </c:pt>
                <c:pt idx="165">
                  <c:v>5.1115922964527556</c:v>
                </c:pt>
                <c:pt idx="166">
                  <c:v>4.9324405871993529</c:v>
                </c:pt>
                <c:pt idx="167">
                  <c:v>4.7541644816621602</c:v>
                </c:pt>
                <c:pt idx="168">
                  <c:v>4.5767960968482013</c:v>
                </c:pt>
                <c:pt idx="169">
                  <c:v>4.4003683334746988</c:v>
                </c:pt>
                <c:pt idx="170">
                  <c:v>4.224914861487866</c:v>
                </c:pt>
                <c:pt idx="171">
                  <c:v>4.0504701021352414</c:v>
                </c:pt>
                <c:pt idx="172">
                  <c:v>3.8770692063889216</c:v>
                </c:pt>
                <c:pt idx="173">
                  <c:v>3.7047480295187722</c:v>
                </c:pt>
                <c:pt idx="174">
                  <c:v>3.5335431016268664</c:v>
                </c:pt>
                <c:pt idx="175">
                  <c:v>3.3634915939586247</c:v>
                </c:pt>
                <c:pt idx="176">
                  <c:v>3.1946312808224766</c:v>
                </c:pt>
                <c:pt idx="177">
                  <c:v>3.0270004969634283</c:v>
                </c:pt>
                <c:pt idx="178">
                  <c:v>2.8606380902561042</c:v>
                </c:pt>
                <c:pt idx="179">
                  <c:v>2.6955833696015912</c:v>
                </c:pt>
                <c:pt idx="180">
                  <c:v>2.5318760479408438</c:v>
                </c:pt>
                <c:pt idx="181">
                  <c:v>2.3695561803241989</c:v>
                </c:pt>
                <c:pt idx="182">
                  <c:v>2.2086640970082252</c:v>
                </c:pt>
                <c:pt idx="183">
                  <c:v>2.0492403315874883</c:v>
                </c:pt>
                <c:pt idx="184">
                  <c:v>1.8913255442071184</c:v>
                </c:pt>
                <c:pt idx="185">
                  <c:v>1.7349604399429528</c:v>
                </c:pt>
                <c:pt idx="186">
                  <c:v>1.580185682481926</c:v>
                </c:pt>
                <c:pt idx="187">
                  <c:v>1.4270418032825327</c:v>
                </c:pt>
                <c:pt idx="188">
                  <c:v>1.275569106443952</c:v>
                </c:pt>
                <c:pt idx="189">
                  <c:v>1.1258075695632765</c:v>
                </c:pt>
                <c:pt idx="190">
                  <c:v>0.9777967409155498</c:v>
                </c:pt>
                <c:pt idx="191">
                  <c:v>0.83157563334026396</c:v>
                </c:pt>
                <c:pt idx="192">
                  <c:v>0.68718261527382518</c:v>
                </c:pt>
                <c:pt idx="193">
                  <c:v>0.54465529941848045</c:v>
                </c:pt>
                <c:pt idx="194">
                  <c:v>0.40403042958852764</c:v>
                </c:pt>
                <c:pt idx="195">
                  <c:v>0.26534376632163853</c:v>
                </c:pt>
                <c:pt idx="196">
                  <c:v>0.12862997188915193</c:v>
                </c:pt>
                <c:pt idx="197">
                  <c:v>-6.0775046237352189E-3</c:v>
                </c:pt>
                <c:pt idx="198">
                  <c:v>-0.13874654145964938</c:v>
                </c:pt>
                <c:pt idx="199">
                  <c:v>-0.26934645681814984</c:v>
                </c:pt>
                <c:pt idx="200">
                  <c:v>-0.39784811921525509</c:v>
                </c:pt>
                <c:pt idx="201">
                  <c:v>-0.52422405480363077</c:v>
                </c:pt>
                <c:pt idx="202">
                  <c:v>-0.64844855087744524</c:v>
                </c:pt>
                <c:pt idx="203">
                  <c:v>-0.77049775479051996</c:v>
                </c:pt>
                <c:pt idx="204">
                  <c:v>-0.89034976752893669</c:v>
                </c:pt>
                <c:pt idx="205">
                  <c:v>-1.0079847312018886</c:v>
                </c:pt>
                <c:pt idx="206">
                  <c:v>-1.123384909746034</c:v>
                </c:pt>
                <c:pt idx="207">
                  <c:v>-1.2365347621821219</c:v>
                </c:pt>
                <c:pt idx="208">
                  <c:v>-1.3474210078105453</c:v>
                </c:pt>
                <c:pt idx="209">
                  <c:v>-1.4560326827946271</c:v>
                </c:pt>
                <c:pt idx="210">
                  <c:v>-1.5623611876467935</c:v>
                </c:pt>
                <c:pt idx="211">
                  <c:v>-1.6664003252064372</c:v>
                </c:pt>
                <c:pt idx="212">
                  <c:v>-1.7681463287815573</c:v>
                </c:pt>
                <c:pt idx="213">
                  <c:v>-1.8675978802095337</c:v>
                </c:pt>
                <c:pt idx="214">
                  <c:v>-1.9647561176832682</c:v>
                </c:pt>
                <c:pt idx="215">
                  <c:v>-2.0596246332810622</c:v>
                </c:pt>
                <c:pt idx="216">
                  <c:v>-2.152209460229856</c:v>
                </c:pt>
                <c:pt idx="217">
                  <c:v>-2.2425190500267753</c:v>
                </c:pt>
                <c:pt idx="218">
                  <c:v>-2.3305642396309647</c:v>
                </c:pt>
                <c:pt idx="219">
                  <c:v>-2.4163582090285134</c:v>
                </c:pt>
                <c:pt idx="220">
                  <c:v>-2.4999164295533722</c:v>
                </c:pt>
                <c:pt idx="221">
                  <c:v>-2.5812566034256044</c:v>
                </c:pt>
                <c:pt idx="222">
                  <c:v>-2.6603985950391937</c:v>
                </c:pt>
                <c:pt idx="223">
                  <c:v>-2.7373643545916071</c:v>
                </c:pt>
                <c:pt idx="224">
                  <c:v>-2.8121778347051798</c:v>
                </c:pt>
                <c:pt idx="225">
                  <c:v>-2.8848649007317122</c:v>
                </c:pt>
                <c:pt idx="226">
                  <c:v>-2.9554532354700642</c:v>
                </c:pt>
                <c:pt idx="227">
                  <c:v>-3.0239722390522301</c:v>
                </c:pt>
                <c:pt idx="228">
                  <c:v>-3.0904529247680115</c:v>
                </c:pt>
                <c:pt idx="229">
                  <c:v>-3.154927811608403</c:v>
                </c:pt>
                <c:pt idx="230">
                  <c:v>-3.2174308143038162</c:v>
                </c:pt>
                <c:pt idx="231">
                  <c:v>-3.2779971316235876</c:v>
                </c:pt>
                <c:pt idx="232">
                  <c:v>-3.3366631336853998</c:v>
                </c:pt>
                <c:pt idx="233">
                  <c:v>-3.3934662489949274</c:v>
                </c:pt>
                <c:pt idx="234">
                  <c:v>-3.4484448519080462</c:v>
                </c:pt>
                <c:pt idx="235">
                  <c:v>-3.5016381511656016</c:v>
                </c:pt>
                <c:pt idx="236">
                  <c:v>-3.5530860801119282</c:v>
                </c:pt>
                <c:pt idx="237">
                  <c:v>-3.6028291891590909</c:v>
                </c:pt>
                <c:pt idx="238">
                  <c:v>-3.6509085410114572</c:v>
                </c:pt>
                <c:pt idx="239">
                  <c:v>-3.6973656091132758</c:v>
                </c:pt>
                <c:pt idx="240">
                  <c:v>-3.7422421797292085</c:v>
                </c:pt>
                <c:pt idx="241">
                  <c:v>-3.7855802580144502</c:v>
                </c:pt>
                <c:pt idx="242">
                  <c:v>-3.8274219783803636</c:v>
                </c:pt>
                <c:pt idx="243">
                  <c:v>-3.8678095194073983</c:v>
                </c:pt>
                <c:pt idx="244">
                  <c:v>-3.9067850235088937</c:v>
                </c:pt>
                <c:pt idx="245">
                  <c:v>-3.9443905215005777</c:v>
                </c:pt>
                <c:pt idx="246">
                  <c:v>-3.9806678621851521</c:v>
                </c:pt>
                <c:pt idx="247">
                  <c:v>-4.0156586470184736</c:v>
                </c:pt>
                <c:pt idx="248">
                  <c:v>-4.0494041698848502</c:v>
                </c:pt>
                <c:pt idx="249">
                  <c:v>-4.0819453619713926</c:v>
                </c:pt>
                <c:pt idx="250">
                  <c:v>-4.1133227416995997</c:v>
                </c:pt>
                <c:pt idx="251">
                  <c:v>-4.1435763696416137</c:v>
                </c:pt>
                <c:pt idx="252">
                  <c:v>-4.1727458083235138</c:v>
                </c:pt>
                <c:pt idx="253">
                  <c:v>-4.2008700867936746</c:v>
                </c:pt>
                <c:pt idx="254">
                  <c:v>-4.2279876698167387</c:v>
                </c:pt>
                <c:pt idx="255">
                  <c:v>-4.2541364315353007</c:v>
                </c:pt>
                <c:pt idx="256">
                  <c:v>-4.2793536334293387</c:v>
                </c:pt>
                <c:pt idx="257">
                  <c:v>-4.3036759063925869</c:v>
                </c:pt>
                <c:pt idx="258">
                  <c:v>-4.3271392367367687</c:v>
                </c:pt>
                <c:pt idx="259">
                  <c:v>-4.3497789559293629</c:v>
                </c:pt>
                <c:pt idx="260">
                  <c:v>-4.3716297338673149</c:v>
                </c:pt>
                <c:pt idx="261">
                  <c:v>-4.3927255754878312</c:v>
                </c:pt>
                <c:pt idx="262">
                  <c:v>-4.413099820517024</c:v>
                </c:pt>
                <c:pt idx="263">
                  <c:v>-4.4327851461609162</c:v>
                </c:pt>
                <c:pt idx="264">
                  <c:v>-4.4518135725443493</c:v>
                </c:pt>
                <c:pt idx="265">
                  <c:v>-4.4702164707103078</c:v>
                </c:pt>
                <c:pt idx="266">
                  <c:v>-4.4880245729957204</c:v>
                </c:pt>
                <c:pt idx="267">
                  <c:v>-4.5052679856070323</c:v>
                </c:pt>
                <c:pt idx="268">
                  <c:v>-4.5219762032258721</c:v>
                </c:pt>
                <c:pt idx="269">
                  <c:v>-4.5381781254821014</c:v>
                </c:pt>
                <c:pt idx="270">
                  <c:v>-4.5539020751399031</c:v>
                </c:pt>
                <c:pt idx="271">
                  <c:v>-4.5691758178495281</c:v>
                </c:pt>
                <c:pt idx="272">
                  <c:v>-4.5840265833274092</c:v>
                </c:pt>
                <c:pt idx="273">
                  <c:v>-4.5984810878337887</c:v>
                </c:pt>
                <c:pt idx="274">
                  <c:v>-4.612565557825274</c:v>
                </c:pt>
                <c:pt idx="275">
                  <c:v>-4.6263057546688584</c:v>
                </c:pt>
                <c:pt idx="276">
                  <c:v>-4.6397270003110318</c:v>
                </c:pt>
                <c:pt idx="277">
                  <c:v>-4.6528542038031988</c:v>
                </c:pt>
                <c:pt idx="278">
                  <c:v>-4.6657118885903763</c:v>
                </c:pt>
                <c:pt idx="279">
                  <c:v>-4.6783242204809703</c:v>
                </c:pt>
                <c:pt idx="280">
                  <c:v>-4.6907150362168384</c:v>
                </c:pt>
                <c:pt idx="281">
                  <c:v>-4.7029078725727134</c:v>
                </c:pt>
                <c:pt idx="282">
                  <c:v>-4.7149259959173753</c:v>
                </c:pt>
                <c:pt idx="283">
                  <c:v>-4.7267924321758201</c:v>
                </c:pt>
                <c:pt idx="284">
                  <c:v>-4.7385299971340515</c:v>
                </c:pt>
                <c:pt idx="285">
                  <c:v>-4.7501613270348724</c:v>
                </c:pt>
                <c:pt idx="286">
                  <c:v>-4.7617089094145753</c:v>
                </c:pt>
                <c:pt idx="287">
                  <c:v>-4.7731951141337241</c:v>
                </c:pt>
                <c:pt idx="288">
                  <c:v>-4.7846422245596223</c:v>
                </c:pt>
                <c:pt idx="289">
                  <c:v>-4.7960724688575205</c:v>
                </c:pt>
                <c:pt idx="290">
                  <c:v>-4.8075080513506885</c:v>
                </c:pt>
                <c:pt idx="291">
                  <c:v>-4.8189711839101923</c:v>
                </c:pt>
                <c:pt idx="292">
                  <c:v>-4.8304841173352333</c:v>
                </c:pt>
                <c:pt idx="293">
                  <c:v>-4.8420691726853518</c:v>
                </c:pt>
                <c:pt idx="294">
                  <c:v>-4.8537487725238702</c:v>
                </c:pt>
                <c:pt idx="295">
                  <c:v>-4.8655454720333227</c:v>
                </c:pt>
                <c:pt idx="296">
                  <c:v>-4.8774819899581097</c:v>
                </c:pt>
                <c:pt idx="297">
                  <c:v>-4.8895812393315268</c:v>
                </c:pt>
                <c:pt idx="298">
                  <c:v>-4.9018663579379655</c:v>
                </c:pt>
                <c:pt idx="299">
                  <c:v>-4.914360738459763</c:v>
                </c:pt>
                <c:pt idx="300">
                  <c:v>-4.927088058253835</c:v>
                </c:pt>
                <c:pt idx="301">
                  <c:v>-4.940072308699003</c:v>
                </c:pt>
                <c:pt idx="302">
                  <c:v>-4.9533378240494903</c:v>
                </c:pt>
                <c:pt idx="303">
                  <c:v>-4.9669093097256658</c:v>
                </c:pt>
                <c:pt idx="304">
                  <c:v>-4.9808118699662387</c:v>
                </c:pt>
                <c:pt idx="305">
                  <c:v>-4.9950710347615743</c:v>
                </c:pt>
                <c:pt idx="306">
                  <c:v>-5.0097127859786204</c:v>
                </c:pt>
                <c:pt idx="307">
                  <c:v>-5.0247635825835504</c:v>
                </c:pt>
                <c:pt idx="308">
                  <c:v>-5.0402503848594549</c:v>
                </c:pt>
                <c:pt idx="309">
                  <c:v>-5.0562006775085777</c:v>
                </c:pt>
                <c:pt idx="310">
                  <c:v>-5.0726424915214521</c:v>
                </c:pt>
                <c:pt idx="311">
                  <c:v>-5.0896044246870726</c:v>
                </c:pt>
                <c:pt idx="312">
                  <c:v>-5.1071156606096935</c:v>
                </c:pt>
                <c:pt idx="313">
                  <c:v>-5.125205986089874</c:v>
                </c:pt>
                <c:pt idx="314">
                  <c:v>-5.1439058067192702</c:v>
                </c:pt>
                <c:pt idx="315">
                  <c:v>-5.1632461605308979</c:v>
                </c:pt>
                <c:pt idx="316">
                  <c:v>-5.183258729538557</c:v>
                </c:pt>
                <c:pt idx="317">
                  <c:v>-5.2039758489924504</c:v>
                </c:pt>
                <c:pt idx="318">
                  <c:v>-5.225430514170192</c:v>
                </c:pt>
                <c:pt idx="319">
                  <c:v>-5.2476563845184634</c:v>
                </c:pt>
                <c:pt idx="320">
                  <c:v>-5.2706877849535703</c:v>
                </c:pt>
                <c:pt idx="321">
                  <c:v>-5.2945597041254091</c:v>
                </c:pt>
                <c:pt idx="322">
                  <c:v>-5.3193077894489171</c:v>
                </c:pt>
                <c:pt idx="323">
                  <c:v>-5.3449683387020297</c:v>
                </c:pt>
                <c:pt idx="324">
                  <c:v>-5.3715782879927145</c:v>
                </c:pt>
                <c:pt idx="325">
                  <c:v>-5.3991751958979508</c:v>
                </c:pt>
                <c:pt idx="326">
                  <c:v>-5.4277972235844167</c:v>
                </c:pt>
                <c:pt idx="327">
                  <c:v>-5.457483110722487</c:v>
                </c:pt>
                <c:pt idx="328">
                  <c:v>-5.4882721470202931</c:v>
                </c:pt>
                <c:pt idx="329">
                  <c:v>-5.5202041392120114</c:v>
                </c:pt>
                <c:pt idx="330">
                  <c:v>-5.5533193733514779</c:v>
                </c:pt>
                <c:pt idx="331">
                  <c:v>-5.5876585722787562</c:v>
                </c:pt>
                <c:pt idx="332">
                  <c:v>-5.6232628481507705</c:v>
                </c:pt>
                <c:pt idx="333">
                  <c:v>-5.6601736499477457</c:v>
                </c:pt>
                <c:pt idx="334">
                  <c:v>-5.6984327058990738</c:v>
                </c:pt>
                <c:pt idx="335">
                  <c:v>-5.7380819608009412</c:v>
                </c:pt>
                <c:pt idx="336">
                  <c:v>-5.7791635082330419</c:v>
                </c:pt>
                <c:pt idx="337">
                  <c:v>-5.8217195177208039</c:v>
                </c:pt>
                <c:pt idx="338">
                  <c:v>-5.8657921569291895</c:v>
                </c:pt>
                <c:pt idx="339">
                  <c:v>-5.9114235090200538</c:v>
                </c:pt>
                <c:pt idx="340">
                  <c:v>-5.958655485349917</c:v>
                </c:pt>
                <c:pt idx="341">
                  <c:v>-6.0075297337351135</c:v>
                </c:pt>
                <c:pt idx="342">
                  <c:v>-6.0580875425624834</c:v>
                </c:pt>
                <c:pt idx="343">
                  <c:v>-6.1103697410749716</c:v>
                </c:pt>
                <c:pt idx="344">
                  <c:v>-6.1644165962147515</c:v>
                </c:pt>
                <c:pt idx="345">
                  <c:v>-6.2202677064596745</c:v>
                </c:pt>
                <c:pt idx="346">
                  <c:v>-6.2779618931402599</c:v>
                </c:pt>
                <c:pt idx="347">
                  <c:v>-6.3375370897756689</c:v>
                </c:pt>
                <c:pt idx="348">
                  <c:v>-6.3990302300132491</c:v>
                </c:pt>
                <c:pt idx="349">
                  <c:v>-6.4624771348042751</c:v>
                </c:pt>
                <c:pt idx="350">
                  <c:v>-6.5279123994847978</c:v>
                </c:pt>
                <c:pt idx="351">
                  <c:v>-6.5953692814694476</c:v>
                </c:pt>
                <c:pt idx="352">
                  <c:v>-6.6648795892922035</c:v>
                </c:pt>
                <c:pt idx="353">
                  <c:v>-6.7364735737529537</c:v>
                </c:pt>
                <c:pt idx="354">
                  <c:v>-6.8101798219411647</c:v>
                </c:pt>
                <c:pt idx="355">
                  <c:v>-6.8860251549171885</c:v>
                </c:pt>
                <c:pt idx="356">
                  <c:v>-6.9640345298252724</c:v>
                </c:pt>
                <c:pt idx="357">
                  <c:v>-7.0442309472057456</c:v>
                </c:pt>
                <c:pt idx="358">
                  <c:v>-7.1266353642477229</c:v>
                </c:pt>
                <c:pt idx="359">
                  <c:v>-7.2112666146966609</c:v>
                </c:pt>
                <c:pt idx="360">
                  <c:v>-7.2981413360888698</c:v>
                </c:pt>
                <c:pt idx="361">
                  <c:v>-7.3872739049359968</c:v>
                </c:pt>
                <c:pt idx="362">
                  <c:v>-7.4786763804246199</c:v>
                </c:pt>
                <c:pt idx="363">
                  <c:v>-7.5723584571295133</c:v>
                </c:pt>
                <c:pt idx="364">
                  <c:v>-7.6683274271645443</c:v>
                </c:pt>
                <c:pt idx="365">
                  <c:v>-7.7665881521174587</c:v>
                </c:pt>
                <c:pt idx="366">
                  <c:v>-7.8671430450266886</c:v>
                </c:pt>
                <c:pt idx="367">
                  <c:v>-7.9699920625723202</c:v>
                </c:pt>
                <c:pt idx="368">
                  <c:v>-8.0751327075584616</c:v>
                </c:pt>
                <c:pt idx="369">
                  <c:v>-8.1825600416748117</c:v>
                </c:pt>
                <c:pt idx="370">
                  <c:v>-8.2922667084295796</c:v>
                </c:pt>
                <c:pt idx="371">
                  <c:v>-8.4042429660570175</c:v>
                </c:pt>
                <c:pt idx="372">
                  <c:v>-8.5184767301134929</c:v>
                </c:pt>
                <c:pt idx="373">
                  <c:v>-8.6349536253942887</c:v>
                </c:pt>
                <c:pt idx="374">
                  <c:v>-8.7536570467235961</c:v>
                </c:pt>
                <c:pt idx="375">
                  <c:v>-8.8745682280980809</c:v>
                </c:pt>
                <c:pt idx="376">
                  <c:v>-8.9976663196056101</c:v>
                </c:pt>
                <c:pt idx="377">
                  <c:v>-9.1229284714782803</c:v>
                </c:pt>
                <c:pt idx="378">
                  <c:v>-9.2503299245973576</c:v>
                </c:pt>
                <c:pt idx="379">
                  <c:v>-9.3798441067304807</c:v>
                </c:pt>
                <c:pt idx="380">
                  <c:v>-9.5114427337510286</c:v>
                </c:pt>
                <c:pt idx="381">
                  <c:v>-9.6450959150742719</c:v>
                </c:pt>
                <c:pt idx="382">
                  <c:v>-9.7807722625359368</c:v>
                </c:pt>
                <c:pt idx="383">
                  <c:v>-9.9184390019382036</c:v>
                </c:pt>
                <c:pt idx="384">
                  <c:v>-10.058062086500176</c:v>
                </c:pt>
                <c:pt idx="385">
                  <c:v>-10.199606311463167</c:v>
                </c:pt>
                <c:pt idx="386">
                  <c:v>-10.34303542913079</c:v>
                </c:pt>
                <c:pt idx="387">
                  <c:v>-10.488312263651141</c:v>
                </c:pt>
                <c:pt idx="388">
                  <c:v>-10.635398824887934</c:v>
                </c:pt>
                <c:pt idx="389">
                  <c:v>-10.784256420768513</c:v>
                </c:pt>
                <c:pt idx="390">
                  <c:v>-10.934845767542852</c:v>
                </c:pt>
                <c:pt idx="391">
                  <c:v>-11.087127097436287</c:v>
                </c:pt>
                <c:pt idx="392">
                  <c:v>-11.241060263231359</c:v>
                </c:pt>
                <c:pt idx="393">
                  <c:v>-11.396604839364137</c:v>
                </c:pt>
                <c:pt idx="394">
                  <c:v>-11.553720219175807</c:v>
                </c:pt>
                <c:pt idx="395">
                  <c:v>-11.712365708012271</c:v>
                </c:pt>
                <c:pt idx="396">
                  <c:v>-11.872500611915296</c:v>
                </c:pt>
                <c:pt idx="397">
                  <c:v>-12.034084321701673</c:v>
                </c:pt>
                <c:pt idx="398">
                  <c:v>-12.197076392273035</c:v>
                </c:pt>
                <c:pt idx="399">
                  <c:v>-12.36143661704601</c:v>
                </c:pt>
                <c:pt idx="400">
                  <c:v>-12.527125097436226</c:v>
                </c:pt>
                <c:pt idx="401">
                  <c:v>-12.694102307368913</c:v>
                </c:pt>
                <c:pt idx="402">
                  <c:v>-12.86232915282627</c:v>
                </c:pt>
                <c:pt idx="403">
                  <c:v>-13.031767026476738</c:v>
                </c:pt>
                <c:pt idx="404">
                  <c:v>-13.202377857458512</c:v>
                </c:pt>
                <c:pt idx="405">
                  <c:v>-13.37412415642085</c:v>
                </c:pt>
                <c:pt idx="406">
                  <c:v>-13.546969055946247</c:v>
                </c:pt>
                <c:pt idx="407">
                  <c:v>-13.720876346497889</c:v>
                </c:pt>
                <c:pt idx="408">
                  <c:v>-13.895810508056909</c:v>
                </c:pt>
                <c:pt idx="409">
                  <c:v>-14.071736737621476</c:v>
                </c:pt>
                <c:pt idx="410">
                  <c:v>-14.248620972758527</c:v>
                </c:pt>
                <c:pt idx="411">
                  <c:v>-14.426429911399916</c:v>
                </c:pt>
                <c:pt idx="412">
                  <c:v>-14.605131028087879</c:v>
                </c:pt>
                <c:pt idx="413">
                  <c:v>-14.784692586872064</c:v>
                </c:pt>
                <c:pt idx="414">
                  <c:v>-14.965083651067069</c:v>
                </c:pt>
                <c:pt idx="415">
                  <c:v>-15.146274090076266</c:v>
                </c:pt>
                <c:pt idx="416">
                  <c:v>-15.328234583487577</c:v>
                </c:pt>
                <c:pt idx="417">
                  <c:v>-15.51093662264333</c:v>
                </c:pt>
                <c:pt idx="418">
                  <c:v>-15.694352509880662</c:v>
                </c:pt>
                <c:pt idx="419">
                  <c:v>-15.878455355637682</c:v>
                </c:pt>
                <c:pt idx="420">
                  <c:v>-16.0632190736086</c:v>
                </c:pt>
                <c:pt idx="421">
                  <c:v>-16.248618374128622</c:v>
                </c:pt>
                <c:pt idx="422">
                  <c:v>-16.434628755961118</c:v>
                </c:pt>
                <c:pt idx="423">
                  <c:v>-16.621226496649331</c:v>
                </c:pt>
                <c:pt idx="424">
                  <c:v>-16.80838864159039</c:v>
                </c:pt>
                <c:pt idx="425">
                  <c:v>-16.996092991977473</c:v>
                </c:pt>
                <c:pt idx="426">
                  <c:v>-17.184318091751017</c:v>
                </c:pt>
                <c:pt idx="427">
                  <c:v>-17.373043213687826</c:v>
                </c:pt>
                <c:pt idx="428">
                  <c:v>-17.562248344751442</c:v>
                </c:pt>
                <c:pt idx="429">
                  <c:v>-17.751914170818111</c:v>
                </c:pt>
                <c:pt idx="430">
                  <c:v>-17.942022060882742</c:v>
                </c:pt>
                <c:pt idx="431">
                  <c:v>-18.132554050844764</c:v>
                </c:pt>
                <c:pt idx="432">
                  <c:v>-18.323492826963157</c:v>
                </c:pt>
                <c:pt idx="433">
                  <c:v>-18.514821709063959</c:v>
                </c:pt>
                <c:pt idx="434">
                  <c:v>-18.706524633577093</c:v>
                </c:pt>
                <c:pt idx="435">
                  <c:v>-18.898586136471412</c:v>
                </c:pt>
                <c:pt idx="436">
                  <c:v>-19.090991336150481</c:v>
                </c:pt>
                <c:pt idx="437">
                  <c:v>-19.283725916367832</c:v>
                </c:pt>
                <c:pt idx="438">
                  <c:v>-19.476776109211468</c:v>
                </c:pt>
                <c:pt idx="439">
                  <c:v>-19.670128678204549</c:v>
                </c:pt>
                <c:pt idx="440">
                  <c:v>-19.863770901563026</c:v>
                </c:pt>
                <c:pt idx="441">
                  <c:v>-20.057690555646825</c:v>
                </c:pt>
                <c:pt idx="442">
                  <c:v>-20.251875898636822</c:v>
                </c:pt>
                <c:pt idx="443">
                  <c:v>-20.446315654464655</c:v>
                </c:pt>
                <c:pt idx="444">
                  <c:v>-20.640998997020951</c:v>
                </c:pt>
                <c:pt idx="445">
                  <c:v>-20.835915534661975</c:v>
                </c:pt>
                <c:pt idx="446">
                  <c:v>-21.031055295032498</c:v>
                </c:pt>
                <c:pt idx="447">
                  <c:v>-21.226408710219772</c:v>
                </c:pt>
                <c:pt idx="448">
                  <c:v>-21.421966602250361</c:v>
                </c:pt>
                <c:pt idx="449">
                  <c:v>-21.617720168940057</c:v>
                </c:pt>
                <c:pt idx="450">
                  <c:v>-21.813660970103406</c:v>
                </c:pt>
                <c:pt idx="451">
                  <c:v>-22.009780914129145</c:v>
                </c:pt>
                <c:pt idx="452">
                  <c:v>-22.206072244924368</c:v>
                </c:pt>
                <c:pt idx="453">
                  <c:v>-22.40252752923012</c:v>
                </c:pt>
                <c:pt idx="454">
                  <c:v>-22.599139644308082</c:v>
                </c:pt>
                <c:pt idx="455">
                  <c:v>-22.795901765998604</c:v>
                </c:pt>
                <c:pt idx="456">
                  <c:v>-22.992807357146567</c:v>
                </c:pt>
                <c:pt idx="457">
                  <c:v>-23.189850156393938</c:v>
                </c:pt>
                <c:pt idx="458">
                  <c:v>-23.387024167333447</c:v>
                </c:pt>
                <c:pt idx="459">
                  <c:v>-23.584323648019762</c:v>
                </c:pt>
                <c:pt idx="460">
                  <c:v>-23.781743100832298</c:v>
                </c:pt>
                <c:pt idx="461">
                  <c:v>-23.979277262683382</c:v>
                </c:pt>
                <c:pt idx="462">
                  <c:v>-24.176921095566382</c:v>
                </c:pt>
                <c:pt idx="463">
                  <c:v>-24.37466977743561</c:v>
                </c:pt>
                <c:pt idx="464">
                  <c:v>-24.572518693411347</c:v>
                </c:pt>
                <c:pt idx="465">
                  <c:v>-24.770463427302531</c:v>
                </c:pt>
                <c:pt idx="466">
                  <c:v>-24.968499753439247</c:v>
                </c:pt>
                <c:pt idx="467">
                  <c:v>-25.166623628806551</c:v>
                </c:pt>
                <c:pt idx="468">
                  <c:v>-25.364831185472593</c:v>
                </c:pt>
                <c:pt idx="469">
                  <c:v>-25.563118723301493</c:v>
                </c:pt>
                <c:pt idx="470">
                  <c:v>-25.761482702944537</c:v>
                </c:pt>
                <c:pt idx="471">
                  <c:v>-25.959919739099554</c:v>
                </c:pt>
                <c:pt idx="472">
                  <c:v>-26.158426594031212</c:v>
                </c:pt>
                <c:pt idx="473">
                  <c:v>-26.357000171344733</c:v>
                </c:pt>
                <c:pt idx="474">
                  <c:v>-26.555637510004185</c:v>
                </c:pt>
                <c:pt idx="475">
                  <c:v>-26.754335778585904</c:v>
                </c:pt>
                <c:pt idx="476">
                  <c:v>-26.953092269763246</c:v>
                </c:pt>
                <c:pt idx="477">
                  <c:v>-27.151904395010135</c:v>
                </c:pt>
                <c:pt idx="478">
                  <c:v>-27.350769679518908</c:v>
                </c:pt>
                <c:pt idx="479">
                  <c:v>-27.549685757324319</c:v>
                </c:pt>
                <c:pt idx="480">
                  <c:v>-27.748650366625441</c:v>
                </c:pt>
                <c:pt idx="481">
                  <c:v>-27.947661345299682</c:v>
                </c:pt>
                <c:pt idx="482">
                  <c:v>-28.146716626600824</c:v>
                </c:pt>
                <c:pt idx="483">
                  <c:v>-28.345814235034599</c:v>
                </c:pt>
                <c:pt idx="484">
                  <c:v>-28.544952282405966</c:v>
                </c:pt>
                <c:pt idx="485">
                  <c:v>-28.74412896403031</c:v>
                </c:pt>
                <c:pt idx="486">
                  <c:v>-28.94334255510298</c:v>
                </c:pt>
                <c:pt idx="487">
                  <c:v>-29.142591407221943</c:v>
                </c:pt>
                <c:pt idx="488">
                  <c:v>-29.341873945055369</c:v>
                </c:pt>
                <c:pt idx="489">
                  <c:v>-29.541188663151374</c:v>
                </c:pt>
                <c:pt idx="490">
                  <c:v>-29.740534122881236</c:v>
                </c:pt>
                <c:pt idx="491">
                  <c:v>-29.939908949514539</c:v>
                </c:pt>
                <c:pt idx="492">
                  <c:v>-30.139311829416542</c:v>
                </c:pt>
                <c:pt idx="493">
                  <c:v>-30.338741507366809</c:v>
                </c:pt>
                <c:pt idx="494">
                  <c:v>-30.538196783992223</c:v>
                </c:pt>
                <c:pt idx="495">
                  <c:v>-30.737676513309815</c:v>
                </c:pt>
                <c:pt idx="496">
                  <c:v>-30.93717960037544</c:v>
                </c:pt>
                <c:pt idx="497">
                  <c:v>-31.136704999034002</c:v>
                </c:pt>
                <c:pt idx="498">
                  <c:v>-31.336251709766472</c:v>
                </c:pt>
                <c:pt idx="499">
                  <c:v>-31.535818777630173</c:v>
                </c:pt>
                <c:pt idx="500">
                  <c:v>-31.735405290288373</c:v>
                </c:pt>
                <c:pt idx="501">
                  <c:v>-31.935010376125582</c:v>
                </c:pt>
                <c:pt idx="502">
                  <c:v>-32.134633202444427</c:v>
                </c:pt>
                <c:pt idx="503">
                  <c:v>-32.334272973741264</c:v>
                </c:pt>
                <c:pt idx="504">
                  <c:v>-32.533928930057371</c:v>
                </c:pt>
                <c:pt idx="505">
                  <c:v>-32.733600345401527</c:v>
                </c:pt>
                <c:pt idx="506">
                  <c:v>-32.933286526242014</c:v>
                </c:pt>
                <c:pt idx="507">
                  <c:v>-33.132986810064594</c:v>
                </c:pt>
                <c:pt idx="508">
                  <c:v>-33.332700563993868</c:v>
                </c:pt>
                <c:pt idx="509">
                  <c:v>-33.532427183474873</c:v>
                </c:pt>
                <c:pt idx="510">
                  <c:v>-33.732166091012694</c:v>
                </c:pt>
                <c:pt idx="511">
                  <c:v>-33.931916734968112</c:v>
                </c:pt>
                <c:pt idx="512">
                  <c:v>-34.1316785884053</c:v>
                </c:pt>
                <c:pt idx="513">
                  <c:v>-34.331451147991075</c:v>
                </c:pt>
                <c:pt idx="514">
                  <c:v>-34.531233932942946</c:v>
                </c:pt>
                <c:pt idx="515">
                  <c:v>-34.731026484022635</c:v>
                </c:pt>
                <c:pt idx="516">
                  <c:v>-34.930828362575099</c:v>
                </c:pt>
                <c:pt idx="517">
                  <c:v>-35.130639149609394</c:v>
                </c:pt>
                <c:pt idx="518">
                  <c:v>-35.33045844492095</c:v>
                </c:pt>
                <c:pt idx="519">
                  <c:v>-35.530285866251816</c:v>
                </c:pt>
                <c:pt idx="520">
                  <c:v>-35.73012104848911</c:v>
                </c:pt>
                <c:pt idx="521">
                  <c:v>-35.929963642898329</c:v>
                </c:pt>
                <c:pt idx="522">
                  <c:v>-36.129813316391115</c:v>
                </c:pt>
                <c:pt idx="523">
                  <c:v>-36.329669750825182</c:v>
                </c:pt>
                <c:pt idx="524">
                  <c:v>-36.529532642336207</c:v>
                </c:pt>
                <c:pt idx="525">
                  <c:v>-36.729401700697672</c:v>
                </c:pt>
                <c:pt idx="526">
                  <c:v>-36.929276648711856</c:v>
                </c:pt>
                <c:pt idx="527">
                  <c:v>-37.129157221625363</c:v>
                </c:pt>
                <c:pt idx="528">
                  <c:v>-37.329043166571985</c:v>
                </c:pt>
                <c:pt idx="529">
                  <c:v>-37.528934242040521</c:v>
                </c:pt>
                <c:pt idx="530">
                  <c:v>-37.728830217365903</c:v>
                </c:pt>
                <c:pt idx="531">
                  <c:v>-37.928730872242696</c:v>
                </c:pt>
                <c:pt idx="532">
                  <c:v>-38.128635996261515</c:v>
                </c:pt>
                <c:pt idx="533">
                  <c:v>-38.328545388464711</c:v>
                </c:pt>
                <c:pt idx="534">
                  <c:v>-38.528458856922697</c:v>
                </c:pt>
                <c:pt idx="535">
                  <c:v>-38.728376218329366</c:v>
                </c:pt>
                <c:pt idx="536">
                  <c:v>-38.928297297614968</c:v>
                </c:pt>
                <c:pt idx="537">
                  <c:v>-39.128221927576668</c:v>
                </c:pt>
                <c:pt idx="538">
                  <c:v>-39.32814994852577</c:v>
                </c:pt>
                <c:pt idx="539">
                  <c:v>-39.528081207950187</c:v>
                </c:pt>
                <c:pt idx="540">
                  <c:v>-39.728015560192702</c:v>
                </c:pt>
                <c:pt idx="541">
                  <c:v>-39.927952866142974</c:v>
                </c:pt>
              </c:numCache>
            </c:numRef>
          </c:yVal>
          <c:smooth val="1"/>
          <c:extLst>
            <c:ext xmlns:c16="http://schemas.microsoft.com/office/drawing/2014/chart" uri="{C3380CC4-5D6E-409C-BE32-E72D297353CC}">
              <c16:uniqueId val="{00000000-0B5D-4E78-BD48-CC54C4E43363}"/>
            </c:ext>
          </c:extLst>
        </c:ser>
        <c:dLbls>
          <c:showLegendKey val="0"/>
          <c:showVal val="0"/>
          <c:showCatName val="0"/>
          <c:showSerName val="0"/>
          <c:showPercent val="0"/>
          <c:showBubbleSize val="0"/>
        </c:dLbls>
        <c:axId val="555280640"/>
        <c:axId val="365437312"/>
      </c:scatterChart>
      <c:scatterChart>
        <c:scatterStyle val="smoothMarker"/>
        <c:varyColors val="0"/>
        <c:ser>
          <c:idx val="1"/>
          <c:order val="1"/>
          <c:marker>
            <c:symbol val="none"/>
          </c:marker>
          <c:xVal>
            <c:numRef>
              <c:f>Loop_Modeling!$O$19:$O$560</c:f>
              <c:numCache>
                <c:formatCode>0.00</c:formatCode>
                <c:ptCount val="542"/>
                <c:pt idx="0">
                  <c:v>10.232929922807543</c:v>
                </c:pt>
                <c:pt idx="1">
                  <c:v>10.471285480509</c:v>
                </c:pt>
                <c:pt idx="2">
                  <c:v>10.715193052376069</c:v>
                </c:pt>
                <c:pt idx="3">
                  <c:v>10.964781961431854</c:v>
                </c:pt>
                <c:pt idx="4">
                  <c:v>11.220184543019636</c:v>
                </c:pt>
                <c:pt idx="5">
                  <c:v>11.481536214968834</c:v>
                </c:pt>
                <c:pt idx="6">
                  <c:v>11.748975549395301</c:v>
                </c:pt>
                <c:pt idx="7">
                  <c:v>12.022644346174133</c:v>
                </c:pt>
                <c:pt idx="8">
                  <c:v>12.302687708123818</c:v>
                </c:pt>
                <c:pt idx="9">
                  <c:v>12.58925411794168</c:v>
                </c:pt>
                <c:pt idx="10">
                  <c:v>12.882495516931346</c:v>
                </c:pt>
                <c:pt idx="11">
                  <c:v>13.182567385564075</c:v>
                </c:pt>
                <c:pt idx="12">
                  <c:v>13.489628825916535</c:v>
                </c:pt>
                <c:pt idx="13">
                  <c:v>13.803842646028857</c:v>
                </c:pt>
                <c:pt idx="14">
                  <c:v>14.125375446227544</c:v>
                </c:pt>
                <c:pt idx="15">
                  <c:v>14.454397707459275</c:v>
                </c:pt>
                <c:pt idx="16">
                  <c:v>14.791083881682074</c:v>
                </c:pt>
                <c:pt idx="17">
                  <c:v>15.135612484362087</c:v>
                </c:pt>
                <c:pt idx="18">
                  <c:v>15.488166189124817</c:v>
                </c:pt>
                <c:pt idx="19">
                  <c:v>15.848931924611136</c:v>
                </c:pt>
                <c:pt idx="20">
                  <c:v>16.218100973589298</c:v>
                </c:pt>
                <c:pt idx="21">
                  <c:v>16.595869074375614</c:v>
                </c:pt>
                <c:pt idx="22">
                  <c:v>16.982436524617448</c:v>
                </c:pt>
                <c:pt idx="23">
                  <c:v>17.378008287493756</c:v>
                </c:pt>
                <c:pt idx="24">
                  <c:v>17.782794100389236</c:v>
                </c:pt>
                <c:pt idx="25">
                  <c:v>18.197008586099841</c:v>
                </c:pt>
                <c:pt idx="26">
                  <c:v>18.62087136662868</c:v>
                </c:pt>
                <c:pt idx="27">
                  <c:v>19.054607179632477</c:v>
                </c:pt>
                <c:pt idx="28">
                  <c:v>19.498445997580465</c:v>
                </c:pt>
                <c:pt idx="29">
                  <c:v>19.952623149688804</c:v>
                </c:pt>
                <c:pt idx="30">
                  <c:v>20.4173794466953</c:v>
                </c:pt>
                <c:pt idx="31">
                  <c:v>20.8929613085404</c:v>
                </c:pt>
                <c:pt idx="32">
                  <c:v>21.379620895022335</c:v>
                </c:pt>
                <c:pt idx="33">
                  <c:v>21.877616239495538</c:v>
                </c:pt>
                <c:pt idx="34">
                  <c:v>22.387211385683404</c:v>
                </c:pt>
                <c:pt idx="35">
                  <c:v>22.908676527677727</c:v>
                </c:pt>
                <c:pt idx="36">
                  <c:v>23.442288153199236</c:v>
                </c:pt>
                <c:pt idx="37">
                  <c:v>23.988329190194907</c:v>
                </c:pt>
                <c:pt idx="38">
                  <c:v>24.547089156850316</c:v>
                </c:pt>
                <c:pt idx="39">
                  <c:v>25.118864315095799</c:v>
                </c:pt>
                <c:pt idx="40">
                  <c:v>25.703957827688647</c:v>
                </c:pt>
                <c:pt idx="41">
                  <c:v>26.302679918953825</c:v>
                </c:pt>
                <c:pt idx="42">
                  <c:v>26.915348039269158</c:v>
                </c:pt>
                <c:pt idx="43">
                  <c:v>27.542287033381665</c:v>
                </c:pt>
                <c:pt idx="44">
                  <c:v>28.183829312644548</c:v>
                </c:pt>
                <c:pt idx="45">
                  <c:v>28.840315031266066</c:v>
                </c:pt>
                <c:pt idx="46">
                  <c:v>29.512092266663863</c:v>
                </c:pt>
                <c:pt idx="47">
                  <c:v>30.199517204020164</c:v>
                </c:pt>
                <c:pt idx="48">
                  <c:v>30.902954325135919</c:v>
                </c:pt>
                <c:pt idx="49">
                  <c:v>31.622776601683803</c:v>
                </c:pt>
                <c:pt idx="50">
                  <c:v>32.359365692962832</c:v>
                </c:pt>
                <c:pt idx="51">
                  <c:v>33.113112148259127</c:v>
                </c:pt>
                <c:pt idx="52">
                  <c:v>33.884415613920268</c:v>
                </c:pt>
                <c:pt idx="53">
                  <c:v>34.67368504525318</c:v>
                </c:pt>
                <c:pt idx="54">
                  <c:v>35.481338923357555</c:v>
                </c:pt>
                <c:pt idx="55">
                  <c:v>36.307805477010156</c:v>
                </c:pt>
                <c:pt idx="56">
                  <c:v>37.15352290971726</c:v>
                </c:pt>
                <c:pt idx="57">
                  <c:v>38.018939632056139</c:v>
                </c:pt>
                <c:pt idx="58">
                  <c:v>38.904514499428053</c:v>
                </c:pt>
                <c:pt idx="59">
                  <c:v>39.810717055349755</c:v>
                </c:pt>
                <c:pt idx="60">
                  <c:v>40.738027780411279</c:v>
                </c:pt>
                <c:pt idx="61">
                  <c:v>41.686938347033561</c:v>
                </c:pt>
                <c:pt idx="62">
                  <c:v>42.657951880159267</c:v>
                </c:pt>
                <c:pt idx="63">
                  <c:v>43.651583224016633</c:v>
                </c:pt>
                <c:pt idx="64">
                  <c:v>44.668359215096324</c:v>
                </c:pt>
                <c:pt idx="65">
                  <c:v>45.70881896148753</c:v>
                </c:pt>
                <c:pt idx="66">
                  <c:v>46.773514128719818</c:v>
                </c:pt>
                <c:pt idx="67">
                  <c:v>47.863009232263877</c:v>
                </c:pt>
                <c:pt idx="68">
                  <c:v>48.977881936844632</c:v>
                </c:pt>
                <c:pt idx="69">
                  <c:v>50.118723362727238</c:v>
                </c:pt>
                <c:pt idx="70">
                  <c:v>51.28613839913649</c:v>
                </c:pt>
                <c:pt idx="71">
                  <c:v>52.480746024977286</c:v>
                </c:pt>
                <c:pt idx="72">
                  <c:v>53.703179637025293</c:v>
                </c:pt>
                <c:pt idx="73">
                  <c:v>54.95408738576247</c:v>
                </c:pt>
                <c:pt idx="74">
                  <c:v>56.234132519034915</c:v>
                </c:pt>
                <c:pt idx="75">
                  <c:v>57.543993733715695</c:v>
                </c:pt>
                <c:pt idx="76">
                  <c:v>58.884365535558949</c:v>
                </c:pt>
                <c:pt idx="77">
                  <c:v>60.255958607435822</c:v>
                </c:pt>
                <c:pt idx="78">
                  <c:v>61.659500186148257</c:v>
                </c:pt>
                <c:pt idx="79">
                  <c:v>63.095734448019364</c:v>
                </c:pt>
                <c:pt idx="80">
                  <c:v>64.565422903465588</c:v>
                </c:pt>
                <c:pt idx="81">
                  <c:v>66.069344800759623</c:v>
                </c:pt>
                <c:pt idx="82">
                  <c:v>67.60829753919819</c:v>
                </c:pt>
                <c:pt idx="83">
                  <c:v>69.183097091893657</c:v>
                </c:pt>
                <c:pt idx="84">
                  <c:v>70.794578438413865</c:v>
                </c:pt>
                <c:pt idx="85">
                  <c:v>72.443596007499011</c:v>
                </c:pt>
                <c:pt idx="86">
                  <c:v>74.131024130091816</c:v>
                </c:pt>
                <c:pt idx="87">
                  <c:v>75.857757502918361</c:v>
                </c:pt>
                <c:pt idx="88">
                  <c:v>77.624711662869217</c:v>
                </c:pt>
                <c:pt idx="89">
                  <c:v>79.432823472428197</c:v>
                </c:pt>
                <c:pt idx="90">
                  <c:v>81.283051616409963</c:v>
                </c:pt>
                <c:pt idx="91">
                  <c:v>83.176377110267126</c:v>
                </c:pt>
                <c:pt idx="92">
                  <c:v>85.113803820237734</c:v>
                </c:pt>
                <c:pt idx="93">
                  <c:v>87.096358995608071</c:v>
                </c:pt>
                <c:pt idx="94">
                  <c:v>89.125093813374562</c:v>
                </c:pt>
                <c:pt idx="95">
                  <c:v>91.201083935590972</c:v>
                </c:pt>
                <c:pt idx="96">
                  <c:v>93.325430079699174</c:v>
                </c:pt>
                <c:pt idx="97">
                  <c:v>95.499258602143655</c:v>
                </c:pt>
                <c:pt idx="98">
                  <c:v>97.723722095581124</c:v>
                </c:pt>
                <c:pt idx="99">
                  <c:v>100</c:v>
                </c:pt>
                <c:pt idx="100">
                  <c:v>102.32929922807544</c:v>
                </c:pt>
                <c:pt idx="101">
                  <c:v>104.71285480508998</c:v>
                </c:pt>
                <c:pt idx="102">
                  <c:v>107.15193052376065</c:v>
                </c:pt>
                <c:pt idx="103">
                  <c:v>109.64781961431861</c:v>
                </c:pt>
                <c:pt idx="104">
                  <c:v>112.20184543019634</c:v>
                </c:pt>
                <c:pt idx="105">
                  <c:v>114.81536214968835</c:v>
                </c:pt>
                <c:pt idx="106">
                  <c:v>117.48975549395293</c:v>
                </c:pt>
                <c:pt idx="107">
                  <c:v>120.22644346174135</c:v>
                </c:pt>
                <c:pt idx="108">
                  <c:v>123.02687708123821</c:v>
                </c:pt>
                <c:pt idx="109">
                  <c:v>125.89254117941677</c:v>
                </c:pt>
                <c:pt idx="110">
                  <c:v>128.82495516931343</c:v>
                </c:pt>
                <c:pt idx="111">
                  <c:v>131.82567385564084</c:v>
                </c:pt>
                <c:pt idx="112">
                  <c:v>134.89628825916537</c:v>
                </c:pt>
                <c:pt idx="113">
                  <c:v>138.0384264602886</c:v>
                </c:pt>
                <c:pt idx="114">
                  <c:v>141.25375446227542</c:v>
                </c:pt>
                <c:pt idx="115">
                  <c:v>144.54397707459285</c:v>
                </c:pt>
                <c:pt idx="116">
                  <c:v>147.91083881682084</c:v>
                </c:pt>
                <c:pt idx="117">
                  <c:v>151.3561248436209</c:v>
                </c:pt>
                <c:pt idx="118">
                  <c:v>154.8816618912482</c:v>
                </c:pt>
                <c:pt idx="119">
                  <c:v>158.48931924611153</c:v>
                </c:pt>
                <c:pt idx="120">
                  <c:v>162.18100973589304</c:v>
                </c:pt>
                <c:pt idx="121">
                  <c:v>165.95869074375622</c:v>
                </c:pt>
                <c:pt idx="122">
                  <c:v>169.82436524617444</c:v>
                </c:pt>
                <c:pt idx="123">
                  <c:v>173.78008287493768</c:v>
                </c:pt>
                <c:pt idx="124">
                  <c:v>177.82794100389242</c:v>
                </c:pt>
                <c:pt idx="125">
                  <c:v>181.9700858609983</c:v>
                </c:pt>
                <c:pt idx="126">
                  <c:v>186.20871366628685</c:v>
                </c:pt>
                <c:pt idx="127">
                  <c:v>190.54607179632498</c:v>
                </c:pt>
                <c:pt idx="128">
                  <c:v>194.98445997580458</c:v>
                </c:pt>
                <c:pt idx="129">
                  <c:v>199.52623149688802</c:v>
                </c:pt>
                <c:pt idx="130">
                  <c:v>204.17379446695315</c:v>
                </c:pt>
                <c:pt idx="131">
                  <c:v>208.92961308540396</c:v>
                </c:pt>
                <c:pt idx="132">
                  <c:v>213.79620895022339</c:v>
                </c:pt>
                <c:pt idx="133">
                  <c:v>218.77616239495524</c:v>
                </c:pt>
                <c:pt idx="134">
                  <c:v>223.87211385683412</c:v>
                </c:pt>
                <c:pt idx="135">
                  <c:v>229.08676527677744</c:v>
                </c:pt>
                <c:pt idx="136">
                  <c:v>234.42288153199232</c:v>
                </c:pt>
                <c:pt idx="137">
                  <c:v>239.88329190194912</c:v>
                </c:pt>
                <c:pt idx="138">
                  <c:v>245.4708915685033</c:v>
                </c:pt>
                <c:pt idx="139">
                  <c:v>251.18864315095806</c:v>
                </c:pt>
                <c:pt idx="140">
                  <c:v>257.03957827688663</c:v>
                </c:pt>
                <c:pt idx="141">
                  <c:v>263.02679918953817</c:v>
                </c:pt>
                <c:pt idx="142">
                  <c:v>269.15348039269179</c:v>
                </c:pt>
                <c:pt idx="143">
                  <c:v>275.42287033381683</c:v>
                </c:pt>
                <c:pt idx="144">
                  <c:v>281.83829312644554</c:v>
                </c:pt>
                <c:pt idx="145">
                  <c:v>288.40315031266073</c:v>
                </c:pt>
                <c:pt idx="146">
                  <c:v>295.12092266663871</c:v>
                </c:pt>
                <c:pt idx="147">
                  <c:v>301.99517204020168</c:v>
                </c:pt>
                <c:pt idx="148">
                  <c:v>309.02954325135937</c:v>
                </c:pt>
                <c:pt idx="149">
                  <c:v>316.22776601683825</c:v>
                </c:pt>
                <c:pt idx="150">
                  <c:v>323.59365692962825</c:v>
                </c:pt>
                <c:pt idx="151">
                  <c:v>331.13112148259137</c:v>
                </c:pt>
                <c:pt idx="152">
                  <c:v>338.84415613920277</c:v>
                </c:pt>
                <c:pt idx="153">
                  <c:v>346.73685045253183</c:v>
                </c:pt>
                <c:pt idx="154">
                  <c:v>354.81338923357566</c:v>
                </c:pt>
                <c:pt idx="155">
                  <c:v>363.07805477010152</c:v>
                </c:pt>
                <c:pt idx="156">
                  <c:v>371.53522909717265</c:v>
                </c:pt>
                <c:pt idx="157">
                  <c:v>380.18939632056163</c:v>
                </c:pt>
                <c:pt idx="158">
                  <c:v>389.04514499428063</c:v>
                </c:pt>
                <c:pt idx="159">
                  <c:v>398.10717055349761</c:v>
                </c:pt>
                <c:pt idx="160">
                  <c:v>407.38027780411272</c:v>
                </c:pt>
                <c:pt idx="161">
                  <c:v>416.86938347033572</c:v>
                </c:pt>
                <c:pt idx="162">
                  <c:v>426.57951880159294</c:v>
                </c:pt>
                <c:pt idx="163">
                  <c:v>436.51583224016622</c:v>
                </c:pt>
                <c:pt idx="164">
                  <c:v>446.68359215096331</c:v>
                </c:pt>
                <c:pt idx="165">
                  <c:v>457.0881896148756</c:v>
                </c:pt>
                <c:pt idx="166">
                  <c:v>467.7351412871983</c:v>
                </c:pt>
                <c:pt idx="167">
                  <c:v>478.63009232263886</c:v>
                </c:pt>
                <c:pt idx="168">
                  <c:v>489.77881936844625</c:v>
                </c:pt>
                <c:pt idx="169">
                  <c:v>501.18723362727269</c:v>
                </c:pt>
                <c:pt idx="170">
                  <c:v>512.86138399136519</c:v>
                </c:pt>
                <c:pt idx="171">
                  <c:v>524.80746024977248</c:v>
                </c:pt>
                <c:pt idx="172">
                  <c:v>537.03179637025301</c:v>
                </c:pt>
                <c:pt idx="173">
                  <c:v>549.54087385762534</c:v>
                </c:pt>
                <c:pt idx="174">
                  <c:v>562.34132519034927</c:v>
                </c:pt>
                <c:pt idx="175">
                  <c:v>575.43993733715706</c:v>
                </c:pt>
                <c:pt idx="176">
                  <c:v>588.84365535558959</c:v>
                </c:pt>
                <c:pt idx="177">
                  <c:v>602.55958607435832</c:v>
                </c:pt>
                <c:pt idx="178">
                  <c:v>616.59500186148273</c:v>
                </c:pt>
                <c:pt idx="179">
                  <c:v>630.95734448019323</c:v>
                </c:pt>
                <c:pt idx="180">
                  <c:v>645.65422903465594</c:v>
                </c:pt>
                <c:pt idx="181">
                  <c:v>660.69344800759643</c:v>
                </c:pt>
                <c:pt idx="182">
                  <c:v>676.08297539198213</c:v>
                </c:pt>
                <c:pt idx="183">
                  <c:v>691.83097091893671</c:v>
                </c:pt>
                <c:pt idx="184">
                  <c:v>707.94578438413873</c:v>
                </c:pt>
                <c:pt idx="185">
                  <c:v>724.43596007499025</c:v>
                </c:pt>
                <c:pt idx="186">
                  <c:v>741.31024130091828</c:v>
                </c:pt>
                <c:pt idx="187">
                  <c:v>758.57757502918378</c:v>
                </c:pt>
                <c:pt idx="188">
                  <c:v>776.24711662869231</c:v>
                </c:pt>
                <c:pt idx="189">
                  <c:v>794.32823472428208</c:v>
                </c:pt>
                <c:pt idx="190">
                  <c:v>812.83051616409978</c:v>
                </c:pt>
                <c:pt idx="191">
                  <c:v>831.7637711026714</c:v>
                </c:pt>
                <c:pt idx="192">
                  <c:v>851.13803820237763</c:v>
                </c:pt>
                <c:pt idx="193">
                  <c:v>870.96358995608091</c:v>
                </c:pt>
                <c:pt idx="194">
                  <c:v>891.25093813374656</c:v>
                </c:pt>
                <c:pt idx="195">
                  <c:v>912.01083935590987</c:v>
                </c:pt>
                <c:pt idx="196">
                  <c:v>933.25430079699106</c:v>
                </c:pt>
                <c:pt idx="197">
                  <c:v>954.99258602143675</c:v>
                </c:pt>
                <c:pt idx="198">
                  <c:v>977.23722095581138</c:v>
                </c:pt>
                <c:pt idx="199">
                  <c:v>1000</c:v>
                </c:pt>
                <c:pt idx="200">
                  <c:v>1023.2929922807547</c:v>
                </c:pt>
                <c:pt idx="201">
                  <c:v>1047.1285480509</c:v>
                </c:pt>
                <c:pt idx="202">
                  <c:v>1071.5193052376069</c:v>
                </c:pt>
                <c:pt idx="203">
                  <c:v>1096.4781961431863</c:v>
                </c:pt>
                <c:pt idx="204">
                  <c:v>1122.0184543019636</c:v>
                </c:pt>
                <c:pt idx="205">
                  <c:v>1148.1536214968839</c:v>
                </c:pt>
                <c:pt idx="206">
                  <c:v>1174.8975549395295</c:v>
                </c:pt>
                <c:pt idx="207">
                  <c:v>1202.2644346174138</c:v>
                </c:pt>
                <c:pt idx="208">
                  <c:v>1230.2687708123824</c:v>
                </c:pt>
                <c:pt idx="209">
                  <c:v>1258.925411794168</c:v>
                </c:pt>
                <c:pt idx="210">
                  <c:v>1288.2495516931347</c:v>
                </c:pt>
                <c:pt idx="211">
                  <c:v>1318.2567385564089</c:v>
                </c:pt>
                <c:pt idx="212">
                  <c:v>1348.9628825916541</c:v>
                </c:pt>
                <c:pt idx="213">
                  <c:v>1380.3842646028863</c:v>
                </c:pt>
                <c:pt idx="214">
                  <c:v>1412.5375446227545</c:v>
                </c:pt>
                <c:pt idx="215">
                  <c:v>1445.4397707459289</c:v>
                </c:pt>
                <c:pt idx="216">
                  <c:v>1479.1083881682086</c:v>
                </c:pt>
                <c:pt idx="217">
                  <c:v>1513.5612484362093</c:v>
                </c:pt>
                <c:pt idx="218">
                  <c:v>1548.8166189124822</c:v>
                </c:pt>
                <c:pt idx="219">
                  <c:v>1584.8931924611156</c:v>
                </c:pt>
                <c:pt idx="220">
                  <c:v>1621.8100973589308</c:v>
                </c:pt>
                <c:pt idx="221">
                  <c:v>1659.5869074375626</c:v>
                </c:pt>
                <c:pt idx="222">
                  <c:v>1698.2436524617447</c:v>
                </c:pt>
                <c:pt idx="223">
                  <c:v>1737.8008287493772</c:v>
                </c:pt>
                <c:pt idx="224">
                  <c:v>1778.2794100389244</c:v>
                </c:pt>
                <c:pt idx="225">
                  <c:v>1819.7008586099832</c:v>
                </c:pt>
                <c:pt idx="226">
                  <c:v>1862.0871366628687</c:v>
                </c:pt>
                <c:pt idx="227">
                  <c:v>1905.4607179632501</c:v>
                </c:pt>
                <c:pt idx="228">
                  <c:v>1949.8445997580463</c:v>
                </c:pt>
                <c:pt idx="229">
                  <c:v>1995.2623149688804</c:v>
                </c:pt>
                <c:pt idx="230">
                  <c:v>2041.7379446695318</c:v>
                </c:pt>
                <c:pt idx="231">
                  <c:v>2089.2961308540398</c:v>
                </c:pt>
                <c:pt idx="232">
                  <c:v>2137.9620895022344</c:v>
                </c:pt>
                <c:pt idx="233">
                  <c:v>2187.7616239495528</c:v>
                </c:pt>
                <c:pt idx="234">
                  <c:v>2238.7211385683418</c:v>
                </c:pt>
                <c:pt idx="235">
                  <c:v>2290.8676527677749</c:v>
                </c:pt>
                <c:pt idx="236">
                  <c:v>2344.2288153199238</c:v>
                </c:pt>
                <c:pt idx="237">
                  <c:v>2398.8329190194918</c:v>
                </c:pt>
                <c:pt idx="238">
                  <c:v>2454.7089156850338</c:v>
                </c:pt>
                <c:pt idx="239">
                  <c:v>2511.8864315095811</c:v>
                </c:pt>
                <c:pt idx="240">
                  <c:v>2570.3957827688669</c:v>
                </c:pt>
                <c:pt idx="241">
                  <c:v>2630.2679918953822</c:v>
                </c:pt>
                <c:pt idx="242">
                  <c:v>2691.5348039269184</c:v>
                </c:pt>
                <c:pt idx="243">
                  <c:v>2754.228703338169</c:v>
                </c:pt>
                <c:pt idx="244">
                  <c:v>2818.3829312644561</c:v>
                </c:pt>
                <c:pt idx="245">
                  <c:v>2884.0315031266077</c:v>
                </c:pt>
                <c:pt idx="246">
                  <c:v>2951.2092266663876</c:v>
                </c:pt>
                <c:pt idx="247">
                  <c:v>3019.9517204020176</c:v>
                </c:pt>
                <c:pt idx="248">
                  <c:v>3090.295432513592</c:v>
                </c:pt>
                <c:pt idx="249">
                  <c:v>3162.2776601683804</c:v>
                </c:pt>
                <c:pt idx="250">
                  <c:v>3235.9365692962833</c:v>
                </c:pt>
                <c:pt idx="251">
                  <c:v>3311.3112148259115</c:v>
                </c:pt>
                <c:pt idx="252">
                  <c:v>3388.4415613920314</c:v>
                </c:pt>
                <c:pt idx="253">
                  <c:v>3467.3685045253224</c:v>
                </c:pt>
                <c:pt idx="254">
                  <c:v>3548.1338923357539</c:v>
                </c:pt>
                <c:pt idx="255">
                  <c:v>3630.7805477010188</c:v>
                </c:pt>
                <c:pt idx="256">
                  <c:v>3715.352290971724</c:v>
                </c:pt>
                <c:pt idx="257">
                  <c:v>3801.8939632056172</c:v>
                </c:pt>
                <c:pt idx="258">
                  <c:v>3890.451449942811</c:v>
                </c:pt>
                <c:pt idx="259">
                  <c:v>3981.0717055349769</c:v>
                </c:pt>
                <c:pt idx="260">
                  <c:v>4073.8027780411317</c:v>
                </c:pt>
                <c:pt idx="261">
                  <c:v>4168.6938347033583</c:v>
                </c:pt>
                <c:pt idx="262">
                  <c:v>4265.7951880159299</c:v>
                </c:pt>
                <c:pt idx="263">
                  <c:v>4365.1583224016631</c:v>
                </c:pt>
                <c:pt idx="264">
                  <c:v>4466.8359215096343</c:v>
                </c:pt>
                <c:pt idx="265">
                  <c:v>4570.8818961487532</c:v>
                </c:pt>
                <c:pt idx="266">
                  <c:v>4677.3514128719844</c:v>
                </c:pt>
                <c:pt idx="267">
                  <c:v>4786.3009232263848</c:v>
                </c:pt>
                <c:pt idx="268">
                  <c:v>4897.7881936844633</c:v>
                </c:pt>
                <c:pt idx="269">
                  <c:v>5011.8723362727324</c:v>
                </c:pt>
                <c:pt idx="270">
                  <c:v>5128.6138399136489</c:v>
                </c:pt>
                <c:pt idx="271">
                  <c:v>5248.0746024977261</c:v>
                </c:pt>
                <c:pt idx="272">
                  <c:v>5370.3179637025269</c:v>
                </c:pt>
                <c:pt idx="273">
                  <c:v>5495.4087385762541</c:v>
                </c:pt>
                <c:pt idx="274">
                  <c:v>5623.4132519034993</c:v>
                </c:pt>
                <c:pt idx="275">
                  <c:v>5754.399373371567</c:v>
                </c:pt>
                <c:pt idx="276">
                  <c:v>5888.4365535558973</c:v>
                </c:pt>
                <c:pt idx="277">
                  <c:v>6025.595860743585</c:v>
                </c:pt>
                <c:pt idx="278">
                  <c:v>6165.9500186148289</c:v>
                </c:pt>
                <c:pt idx="279">
                  <c:v>6309.5734448019384</c:v>
                </c:pt>
                <c:pt idx="280">
                  <c:v>6456.5422903465615</c:v>
                </c:pt>
                <c:pt idx="281">
                  <c:v>6606.9344800759654</c:v>
                </c:pt>
                <c:pt idx="282">
                  <c:v>6760.8297539198229</c:v>
                </c:pt>
                <c:pt idx="283">
                  <c:v>6918.3097091893687</c:v>
                </c:pt>
                <c:pt idx="284">
                  <c:v>7079.4578438413828</c:v>
                </c:pt>
                <c:pt idx="285">
                  <c:v>7244.3596007499036</c:v>
                </c:pt>
                <c:pt idx="286">
                  <c:v>7413.1024130091773</c:v>
                </c:pt>
                <c:pt idx="287">
                  <c:v>7585.7757502918394</c:v>
                </c:pt>
                <c:pt idx="288">
                  <c:v>7762.4711662869322</c:v>
                </c:pt>
                <c:pt idx="289">
                  <c:v>7943.2823472428154</c:v>
                </c:pt>
                <c:pt idx="290">
                  <c:v>8128.3051616410066</c:v>
                </c:pt>
                <c:pt idx="291">
                  <c:v>8317.6377110267094</c:v>
                </c:pt>
                <c:pt idx="292">
                  <c:v>8511.3803820237772</c:v>
                </c:pt>
                <c:pt idx="293">
                  <c:v>8709.6358995608189</c:v>
                </c:pt>
                <c:pt idx="294">
                  <c:v>8912.5093813374679</c:v>
                </c:pt>
                <c:pt idx="295">
                  <c:v>9120.1083935591087</c:v>
                </c:pt>
                <c:pt idx="296">
                  <c:v>9332.5430079699217</c:v>
                </c:pt>
                <c:pt idx="297">
                  <c:v>9549.9258602143691</c:v>
                </c:pt>
                <c:pt idx="298">
                  <c:v>9772.3722095581161</c:v>
                </c:pt>
                <c:pt idx="299">
                  <c:v>10000</c:v>
                </c:pt>
                <c:pt idx="300">
                  <c:v>10232.929922807549</c:v>
                </c:pt>
                <c:pt idx="301">
                  <c:v>10471.285480509003</c:v>
                </c:pt>
                <c:pt idx="302">
                  <c:v>10715.193052376071</c:v>
                </c:pt>
                <c:pt idx="303">
                  <c:v>10964.781961431856</c:v>
                </c:pt>
                <c:pt idx="304">
                  <c:v>11220.184543019639</c:v>
                </c:pt>
                <c:pt idx="305">
                  <c:v>11481.536214968832</c:v>
                </c:pt>
                <c:pt idx="306">
                  <c:v>11748.975549395318</c:v>
                </c:pt>
                <c:pt idx="307">
                  <c:v>12022.644346174151</c:v>
                </c:pt>
                <c:pt idx="308">
                  <c:v>12302.687708123816</c:v>
                </c:pt>
                <c:pt idx="309">
                  <c:v>12589.254117941671</c:v>
                </c:pt>
                <c:pt idx="310">
                  <c:v>12882.49551693136</c:v>
                </c:pt>
                <c:pt idx="311">
                  <c:v>13182.567385564091</c:v>
                </c:pt>
                <c:pt idx="312">
                  <c:v>13489.628825916556</c:v>
                </c:pt>
                <c:pt idx="313">
                  <c:v>13803.842646028841</c:v>
                </c:pt>
                <c:pt idx="314">
                  <c:v>14125.375446227561</c:v>
                </c:pt>
                <c:pt idx="315">
                  <c:v>14454.397707459291</c:v>
                </c:pt>
                <c:pt idx="316">
                  <c:v>14791.083881682089</c:v>
                </c:pt>
                <c:pt idx="317">
                  <c:v>15135.612484362096</c:v>
                </c:pt>
                <c:pt idx="318">
                  <c:v>15488.166189124853</c:v>
                </c:pt>
                <c:pt idx="319">
                  <c:v>15848.931924611146</c:v>
                </c:pt>
                <c:pt idx="320">
                  <c:v>16218.100973589309</c:v>
                </c:pt>
                <c:pt idx="321">
                  <c:v>16595.869074375616</c:v>
                </c:pt>
                <c:pt idx="322">
                  <c:v>16982.436524617482</c:v>
                </c:pt>
                <c:pt idx="323">
                  <c:v>17378.008287493791</c:v>
                </c:pt>
                <c:pt idx="324">
                  <c:v>17782.794100389234</c:v>
                </c:pt>
                <c:pt idx="325">
                  <c:v>18197.008586099837</c:v>
                </c:pt>
                <c:pt idx="326">
                  <c:v>18620.871366628675</c:v>
                </c:pt>
                <c:pt idx="327">
                  <c:v>19054.607179632505</c:v>
                </c:pt>
                <c:pt idx="328">
                  <c:v>19498.445997580486</c:v>
                </c:pt>
                <c:pt idx="329">
                  <c:v>19952.623149688792</c:v>
                </c:pt>
                <c:pt idx="330">
                  <c:v>20417.379446695286</c:v>
                </c:pt>
                <c:pt idx="331">
                  <c:v>20892.961308540423</c:v>
                </c:pt>
                <c:pt idx="332">
                  <c:v>21379.620895022348</c:v>
                </c:pt>
                <c:pt idx="333">
                  <c:v>21877.61623949555</c:v>
                </c:pt>
                <c:pt idx="334">
                  <c:v>22387.211385683382</c:v>
                </c:pt>
                <c:pt idx="335">
                  <c:v>22908.676527677751</c:v>
                </c:pt>
                <c:pt idx="336">
                  <c:v>23442.288153199243</c:v>
                </c:pt>
                <c:pt idx="337">
                  <c:v>23988.329190194923</c:v>
                </c:pt>
                <c:pt idx="338">
                  <c:v>24547.089156850321</c:v>
                </c:pt>
                <c:pt idx="339">
                  <c:v>25118.86431509586</c:v>
                </c:pt>
                <c:pt idx="340">
                  <c:v>25703.95782768865</c:v>
                </c:pt>
                <c:pt idx="341">
                  <c:v>26302.679918953829</c:v>
                </c:pt>
                <c:pt idx="342">
                  <c:v>26915.348039269167</c:v>
                </c:pt>
                <c:pt idx="343">
                  <c:v>27542.287033381719</c:v>
                </c:pt>
                <c:pt idx="344">
                  <c:v>28183.829312644593</c:v>
                </c:pt>
                <c:pt idx="345">
                  <c:v>28840.315031266062</c:v>
                </c:pt>
                <c:pt idx="346">
                  <c:v>29512.092266663854</c:v>
                </c:pt>
                <c:pt idx="347">
                  <c:v>30199.517204020212</c:v>
                </c:pt>
                <c:pt idx="348">
                  <c:v>30902.954325135954</c:v>
                </c:pt>
                <c:pt idx="349">
                  <c:v>31622.77660168384</c:v>
                </c:pt>
                <c:pt idx="350">
                  <c:v>32359.365692962871</c:v>
                </c:pt>
                <c:pt idx="351">
                  <c:v>33113.11214825909</c:v>
                </c:pt>
                <c:pt idx="352">
                  <c:v>33884.41561392029</c:v>
                </c:pt>
                <c:pt idx="353">
                  <c:v>34673.685045253202</c:v>
                </c:pt>
                <c:pt idx="354">
                  <c:v>35481.33892335758</c:v>
                </c:pt>
                <c:pt idx="355">
                  <c:v>36307.805477010232</c:v>
                </c:pt>
                <c:pt idx="356">
                  <c:v>37153.522909717351</c:v>
                </c:pt>
                <c:pt idx="357">
                  <c:v>38018.939632056143</c:v>
                </c:pt>
                <c:pt idx="358">
                  <c:v>38904.514499428085</c:v>
                </c:pt>
                <c:pt idx="359">
                  <c:v>39810.717055349742</c:v>
                </c:pt>
                <c:pt idx="360">
                  <c:v>40738.027780411358</c:v>
                </c:pt>
                <c:pt idx="361">
                  <c:v>41686.938347033625</c:v>
                </c:pt>
                <c:pt idx="362">
                  <c:v>42657.951880159271</c:v>
                </c:pt>
                <c:pt idx="363">
                  <c:v>43651.583224016598</c:v>
                </c:pt>
                <c:pt idx="364">
                  <c:v>44668.359215096389</c:v>
                </c:pt>
                <c:pt idx="365">
                  <c:v>45708.818961487581</c:v>
                </c:pt>
                <c:pt idx="366">
                  <c:v>46773.514128719893</c:v>
                </c:pt>
                <c:pt idx="367">
                  <c:v>47863.009232263823</c:v>
                </c:pt>
                <c:pt idx="368">
                  <c:v>48977.881936844598</c:v>
                </c:pt>
                <c:pt idx="369">
                  <c:v>50118.723362727294</c:v>
                </c:pt>
                <c:pt idx="370">
                  <c:v>51286.138399136544</c:v>
                </c:pt>
                <c:pt idx="371">
                  <c:v>52480.746024977314</c:v>
                </c:pt>
                <c:pt idx="372">
                  <c:v>53703.179637025423</c:v>
                </c:pt>
                <c:pt idx="373">
                  <c:v>54954.087385762505</c:v>
                </c:pt>
                <c:pt idx="374">
                  <c:v>56234.132519034953</c:v>
                </c:pt>
                <c:pt idx="375">
                  <c:v>57543.993733715732</c:v>
                </c:pt>
                <c:pt idx="376">
                  <c:v>58884.365535558936</c:v>
                </c:pt>
                <c:pt idx="377">
                  <c:v>60255.95860743591</c:v>
                </c:pt>
                <c:pt idx="378">
                  <c:v>61659.500186148245</c:v>
                </c:pt>
                <c:pt idx="379">
                  <c:v>63095.734448019342</c:v>
                </c:pt>
                <c:pt idx="380">
                  <c:v>64565.422903465682</c:v>
                </c:pt>
                <c:pt idx="381">
                  <c:v>66069.344800759733</c:v>
                </c:pt>
                <c:pt idx="382">
                  <c:v>67608.297539198305</c:v>
                </c:pt>
                <c:pt idx="383">
                  <c:v>69183.097091893651</c:v>
                </c:pt>
                <c:pt idx="384">
                  <c:v>70794.578438413781</c:v>
                </c:pt>
                <c:pt idx="385">
                  <c:v>72443.596007499116</c:v>
                </c:pt>
                <c:pt idx="386">
                  <c:v>74131.024130091857</c:v>
                </c:pt>
                <c:pt idx="387">
                  <c:v>75857.757502918481</c:v>
                </c:pt>
                <c:pt idx="388">
                  <c:v>77624.711662869129</c:v>
                </c:pt>
                <c:pt idx="389">
                  <c:v>79432.823472428237</c:v>
                </c:pt>
                <c:pt idx="390">
                  <c:v>81283.051616410012</c:v>
                </c:pt>
                <c:pt idx="391">
                  <c:v>83176.377110267174</c:v>
                </c:pt>
                <c:pt idx="392">
                  <c:v>85113.803820237721</c:v>
                </c:pt>
                <c:pt idx="393">
                  <c:v>87096.358995608127</c:v>
                </c:pt>
                <c:pt idx="394">
                  <c:v>89125.093813374609</c:v>
                </c:pt>
                <c:pt idx="395">
                  <c:v>91201.083935591028</c:v>
                </c:pt>
                <c:pt idx="396">
                  <c:v>93325.430079699145</c:v>
                </c:pt>
                <c:pt idx="397">
                  <c:v>95499.258602143804</c:v>
                </c:pt>
                <c:pt idx="398">
                  <c:v>97723.722095581266</c:v>
                </c:pt>
                <c:pt idx="399">
                  <c:v>100000</c:v>
                </c:pt>
                <c:pt idx="400">
                  <c:v>102329.29922807543</c:v>
                </c:pt>
                <c:pt idx="401">
                  <c:v>104712.85480508996</c:v>
                </c:pt>
                <c:pt idx="402">
                  <c:v>107151.93052376082</c:v>
                </c:pt>
                <c:pt idx="403">
                  <c:v>109647.81961431868</c:v>
                </c:pt>
                <c:pt idx="404">
                  <c:v>112201.84543019651</c:v>
                </c:pt>
                <c:pt idx="405">
                  <c:v>114815.36214968823</c:v>
                </c:pt>
                <c:pt idx="406">
                  <c:v>117489.75549395311</c:v>
                </c:pt>
                <c:pt idx="407">
                  <c:v>120226.44346174144</c:v>
                </c:pt>
                <c:pt idx="408">
                  <c:v>123026.87708123829</c:v>
                </c:pt>
                <c:pt idx="409">
                  <c:v>125892.54117941685</c:v>
                </c:pt>
                <c:pt idx="410">
                  <c:v>128824.95516931375</c:v>
                </c:pt>
                <c:pt idx="411">
                  <c:v>131825.67385564081</c:v>
                </c:pt>
                <c:pt idx="412">
                  <c:v>134896.28825916545</c:v>
                </c:pt>
                <c:pt idx="413">
                  <c:v>138038.42646028858</c:v>
                </c:pt>
                <c:pt idx="414">
                  <c:v>141253.75446227577</c:v>
                </c:pt>
                <c:pt idx="415">
                  <c:v>144543.97707459307</c:v>
                </c:pt>
                <c:pt idx="416">
                  <c:v>147910.83881682079</c:v>
                </c:pt>
                <c:pt idx="417">
                  <c:v>151356.12484362084</c:v>
                </c:pt>
                <c:pt idx="418">
                  <c:v>154881.66189124843</c:v>
                </c:pt>
                <c:pt idx="419">
                  <c:v>158489.31924611164</c:v>
                </c:pt>
                <c:pt idx="420">
                  <c:v>162181.00973589328</c:v>
                </c:pt>
                <c:pt idx="421">
                  <c:v>165958.69074375604</c:v>
                </c:pt>
                <c:pt idx="422">
                  <c:v>169824.36524617471</c:v>
                </c:pt>
                <c:pt idx="423">
                  <c:v>173780.0828749378</c:v>
                </c:pt>
                <c:pt idx="424">
                  <c:v>177827.94100389251</c:v>
                </c:pt>
                <c:pt idx="425">
                  <c:v>181970.08586099857</c:v>
                </c:pt>
                <c:pt idx="426">
                  <c:v>186208.71366628664</c:v>
                </c:pt>
                <c:pt idx="427">
                  <c:v>190546.07179632492</c:v>
                </c:pt>
                <c:pt idx="428">
                  <c:v>194984.45997580473</c:v>
                </c:pt>
                <c:pt idx="429">
                  <c:v>199526.23149688813</c:v>
                </c:pt>
                <c:pt idx="430">
                  <c:v>204173.79446695308</c:v>
                </c:pt>
                <c:pt idx="431">
                  <c:v>208929.61308540447</c:v>
                </c:pt>
                <c:pt idx="432">
                  <c:v>213796.20895022334</c:v>
                </c:pt>
                <c:pt idx="433">
                  <c:v>218776.16239495538</c:v>
                </c:pt>
                <c:pt idx="434">
                  <c:v>223872.11385683404</c:v>
                </c:pt>
                <c:pt idx="435">
                  <c:v>229086.76527677779</c:v>
                </c:pt>
                <c:pt idx="436">
                  <c:v>234422.88153199267</c:v>
                </c:pt>
                <c:pt idx="437">
                  <c:v>239883.29190194907</c:v>
                </c:pt>
                <c:pt idx="438">
                  <c:v>245470.89156850305</c:v>
                </c:pt>
                <c:pt idx="439">
                  <c:v>251188.64315095844</c:v>
                </c:pt>
                <c:pt idx="440">
                  <c:v>257039.57827688678</c:v>
                </c:pt>
                <c:pt idx="441">
                  <c:v>263026.79918953858</c:v>
                </c:pt>
                <c:pt idx="442">
                  <c:v>269153.48039269145</c:v>
                </c:pt>
                <c:pt idx="443">
                  <c:v>275422.87033381703</c:v>
                </c:pt>
                <c:pt idx="444">
                  <c:v>281838.29312644573</c:v>
                </c:pt>
                <c:pt idx="445">
                  <c:v>288403.1503126609</c:v>
                </c:pt>
                <c:pt idx="446">
                  <c:v>295120.92266663886</c:v>
                </c:pt>
                <c:pt idx="447">
                  <c:v>301995.17204020242</c:v>
                </c:pt>
                <c:pt idx="448">
                  <c:v>309029.54325135931</c:v>
                </c:pt>
                <c:pt idx="449">
                  <c:v>316227.7660168382</c:v>
                </c:pt>
                <c:pt idx="450">
                  <c:v>323593.65692962846</c:v>
                </c:pt>
                <c:pt idx="451">
                  <c:v>331131.12148259126</c:v>
                </c:pt>
                <c:pt idx="452">
                  <c:v>338844.15613920329</c:v>
                </c:pt>
                <c:pt idx="453">
                  <c:v>346736.85045253241</c:v>
                </c:pt>
                <c:pt idx="454">
                  <c:v>354813.38923357555</c:v>
                </c:pt>
                <c:pt idx="455">
                  <c:v>363078.05477010203</c:v>
                </c:pt>
                <c:pt idx="456">
                  <c:v>371535.2290971732</c:v>
                </c:pt>
                <c:pt idx="457">
                  <c:v>380189.39632056188</c:v>
                </c:pt>
                <c:pt idx="458">
                  <c:v>389045.14499428123</c:v>
                </c:pt>
                <c:pt idx="459">
                  <c:v>398107.17055349716</c:v>
                </c:pt>
                <c:pt idx="460">
                  <c:v>407380.27780411334</c:v>
                </c:pt>
                <c:pt idx="461">
                  <c:v>416869.38347033598</c:v>
                </c:pt>
                <c:pt idx="462">
                  <c:v>426579.51880159322</c:v>
                </c:pt>
                <c:pt idx="463">
                  <c:v>436515.83224016649</c:v>
                </c:pt>
                <c:pt idx="464">
                  <c:v>446683.59215096442</c:v>
                </c:pt>
                <c:pt idx="465">
                  <c:v>457088.18961487547</c:v>
                </c:pt>
                <c:pt idx="466">
                  <c:v>467735.14128719864</c:v>
                </c:pt>
                <c:pt idx="467">
                  <c:v>478630.09232263872</c:v>
                </c:pt>
                <c:pt idx="468">
                  <c:v>489778.81936844654</c:v>
                </c:pt>
                <c:pt idx="469">
                  <c:v>501187.23362727347</c:v>
                </c:pt>
                <c:pt idx="470">
                  <c:v>512861.38399136515</c:v>
                </c:pt>
                <c:pt idx="471">
                  <c:v>524807.46024977288</c:v>
                </c:pt>
                <c:pt idx="472">
                  <c:v>537031.7963702539</c:v>
                </c:pt>
                <c:pt idx="473">
                  <c:v>549540.87385762564</c:v>
                </c:pt>
                <c:pt idx="474">
                  <c:v>562341.32519035018</c:v>
                </c:pt>
                <c:pt idx="475">
                  <c:v>575439.93733715697</c:v>
                </c:pt>
                <c:pt idx="476">
                  <c:v>588843.65535558888</c:v>
                </c:pt>
                <c:pt idx="477">
                  <c:v>602559.58607435878</c:v>
                </c:pt>
                <c:pt idx="478">
                  <c:v>616595.00186148309</c:v>
                </c:pt>
                <c:pt idx="479">
                  <c:v>630957.34448019415</c:v>
                </c:pt>
                <c:pt idx="480">
                  <c:v>645654.22903465747</c:v>
                </c:pt>
                <c:pt idx="481">
                  <c:v>660693.44800759677</c:v>
                </c:pt>
                <c:pt idx="482">
                  <c:v>676082.97539198259</c:v>
                </c:pt>
                <c:pt idx="483">
                  <c:v>691830.97091893724</c:v>
                </c:pt>
                <c:pt idx="484">
                  <c:v>707945.78438413853</c:v>
                </c:pt>
                <c:pt idx="485">
                  <c:v>724435.96007499192</c:v>
                </c:pt>
                <c:pt idx="486">
                  <c:v>741310.24130091805</c:v>
                </c:pt>
                <c:pt idx="487">
                  <c:v>758577.57502918423</c:v>
                </c:pt>
                <c:pt idx="488">
                  <c:v>776247.11662869214</c:v>
                </c:pt>
                <c:pt idx="489">
                  <c:v>794328.23472428333</c:v>
                </c:pt>
                <c:pt idx="490">
                  <c:v>812830.51616410096</c:v>
                </c:pt>
                <c:pt idx="491">
                  <c:v>831763.77110267128</c:v>
                </c:pt>
                <c:pt idx="492">
                  <c:v>851138.03820237669</c:v>
                </c:pt>
                <c:pt idx="493">
                  <c:v>870963.58995608077</c:v>
                </c:pt>
                <c:pt idx="494">
                  <c:v>891250.93813374708</c:v>
                </c:pt>
                <c:pt idx="495">
                  <c:v>912010.83935591124</c:v>
                </c:pt>
                <c:pt idx="496">
                  <c:v>933254.30079699249</c:v>
                </c:pt>
                <c:pt idx="497">
                  <c:v>954992.58602143743</c:v>
                </c:pt>
                <c:pt idx="498">
                  <c:v>977237.22095581202</c:v>
                </c:pt>
                <c:pt idx="499">
                  <c:v>1000000</c:v>
                </c:pt>
                <c:pt idx="500">
                  <c:v>1023292.9922807553</c:v>
                </c:pt>
                <c:pt idx="501">
                  <c:v>1047128.5480509007</c:v>
                </c:pt>
                <c:pt idx="502">
                  <c:v>1071519.3052376076</c:v>
                </c:pt>
                <c:pt idx="503">
                  <c:v>1096478.196143186</c:v>
                </c:pt>
                <c:pt idx="504">
                  <c:v>1122018.4543019643</c:v>
                </c:pt>
                <c:pt idx="505">
                  <c:v>1148153.6214968837</c:v>
                </c:pt>
                <c:pt idx="506">
                  <c:v>1174897.5549395324</c:v>
                </c:pt>
                <c:pt idx="507">
                  <c:v>1202264.4346174158</c:v>
                </c:pt>
                <c:pt idx="508">
                  <c:v>1230268.770812382</c:v>
                </c:pt>
                <c:pt idx="509">
                  <c:v>1258925.4117941677</c:v>
                </c:pt>
                <c:pt idx="510">
                  <c:v>1288249.5516931366</c:v>
                </c:pt>
                <c:pt idx="511">
                  <c:v>1318256.7385564097</c:v>
                </c:pt>
                <c:pt idx="512">
                  <c:v>1348962.8825916562</c:v>
                </c:pt>
                <c:pt idx="513">
                  <c:v>1380384.2646028849</c:v>
                </c:pt>
                <c:pt idx="514">
                  <c:v>1412537.5446227565</c:v>
                </c:pt>
                <c:pt idx="515">
                  <c:v>1445439.7707459298</c:v>
                </c:pt>
                <c:pt idx="516">
                  <c:v>1479108.3881682095</c:v>
                </c:pt>
                <c:pt idx="517">
                  <c:v>1513561.2484362102</c:v>
                </c:pt>
                <c:pt idx="518">
                  <c:v>1548816.6189124861</c:v>
                </c:pt>
                <c:pt idx="519">
                  <c:v>1584893.1924611153</c:v>
                </c:pt>
                <c:pt idx="520">
                  <c:v>1621810.0973589318</c:v>
                </c:pt>
                <c:pt idx="521">
                  <c:v>1659586.9074375622</c:v>
                </c:pt>
                <c:pt idx="522">
                  <c:v>1698243.6524617488</c:v>
                </c:pt>
                <c:pt idx="523">
                  <c:v>1737800.8287493798</c:v>
                </c:pt>
                <c:pt idx="524">
                  <c:v>1778279.4100389241</c:v>
                </c:pt>
                <c:pt idx="525">
                  <c:v>1819700.8586099846</c:v>
                </c:pt>
                <c:pt idx="526">
                  <c:v>1862087.1366628683</c:v>
                </c:pt>
                <c:pt idx="527">
                  <c:v>1905460.7179632513</c:v>
                </c:pt>
                <c:pt idx="528">
                  <c:v>1949844.5997580495</c:v>
                </c:pt>
                <c:pt idx="529">
                  <c:v>1995262.31496888</c:v>
                </c:pt>
                <c:pt idx="530">
                  <c:v>2041737.9446695296</c:v>
                </c:pt>
                <c:pt idx="531">
                  <c:v>2089296.1308540432</c:v>
                </c:pt>
                <c:pt idx="532">
                  <c:v>2137962.0895022359</c:v>
                </c:pt>
                <c:pt idx="533">
                  <c:v>2187761.6239495561</c:v>
                </c:pt>
                <c:pt idx="534">
                  <c:v>2238721.1385683389</c:v>
                </c:pt>
                <c:pt idx="535">
                  <c:v>2290867.6527677765</c:v>
                </c:pt>
                <c:pt idx="536">
                  <c:v>2344228.8153199251</c:v>
                </c:pt>
                <c:pt idx="537">
                  <c:v>2398832.9190194933</c:v>
                </c:pt>
                <c:pt idx="538">
                  <c:v>2454708.915685033</c:v>
                </c:pt>
                <c:pt idx="539">
                  <c:v>2511886.431509587</c:v>
                </c:pt>
                <c:pt idx="540">
                  <c:v>2570395.782768866</c:v>
                </c:pt>
                <c:pt idx="541">
                  <c:v>2630267.9918953842</c:v>
                </c:pt>
              </c:numCache>
            </c:numRef>
          </c:xVal>
          <c:yVal>
            <c:numRef>
              <c:f>Loop_Modeling!$BE$19:$BE$560</c:f>
              <c:numCache>
                <c:formatCode>General</c:formatCode>
                <c:ptCount val="542"/>
                <c:pt idx="0">
                  <c:v>90.420042226781135</c:v>
                </c:pt>
                <c:pt idx="1">
                  <c:v>90.429825870232378</c:v>
                </c:pt>
                <c:pt idx="2">
                  <c:v>90.439837375630759</c:v>
                </c:pt>
                <c:pt idx="3">
                  <c:v>90.450082048533034</c:v>
                </c:pt>
                <c:pt idx="4">
                  <c:v>90.46056531793306</c:v>
                </c:pt>
                <c:pt idx="5">
                  <c:v>90.471292739126667</c:v>
                </c:pt>
                <c:pt idx="6">
                  <c:v>90.482269996642529</c:v>
                </c:pt>
                <c:pt idx="7">
                  <c:v>90.493502907240426</c:v>
                </c:pt>
                <c:pt idx="8">
                  <c:v>90.504997422978533</c:v>
                </c:pt>
                <c:pt idx="9">
                  <c:v>90.516759634351246</c:v>
                </c:pt>
                <c:pt idx="10">
                  <c:v>90.528795773499141</c:v>
                </c:pt>
                <c:pt idx="11">
                  <c:v>90.541112217492639</c:v>
                </c:pt>
                <c:pt idx="12">
                  <c:v>90.55371549169098</c:v>
                </c:pt>
                <c:pt idx="13">
                  <c:v>90.566612273178293</c:v>
                </c:pt>
                <c:pt idx="14">
                  <c:v>90.57980939427847</c:v>
                </c:pt>
                <c:pt idx="15">
                  <c:v>90.593313846150323</c:v>
                </c:pt>
                <c:pt idx="16">
                  <c:v>90.607132782465357</c:v>
                </c:pt>
                <c:pt idx="17">
                  <c:v>90.621273523169151</c:v>
                </c:pt>
                <c:pt idx="18">
                  <c:v>90.635743558329182</c:v>
                </c:pt>
                <c:pt idx="19">
                  <c:v>90.650550552069959</c:v>
                </c:pt>
                <c:pt idx="20">
                  <c:v>90.665702346598209</c:v>
                </c:pt>
                <c:pt idx="21">
                  <c:v>90.681206966319664</c:v>
                </c:pt>
                <c:pt idx="22">
                  <c:v>90.697072622049362</c:v>
                </c:pt>
                <c:pt idx="23">
                  <c:v>90.713307715317782</c:v>
                </c:pt>
                <c:pt idx="24">
                  <c:v>90.72992084277459</c:v>
                </c:pt>
                <c:pt idx="25">
                  <c:v>90.746920800692351</c:v>
                </c:pt>
                <c:pt idx="26">
                  <c:v>90.764316589572076</c:v>
                </c:pt>
                <c:pt idx="27">
                  <c:v>90.782117418852863</c:v>
                </c:pt>
                <c:pt idx="28">
                  <c:v>90.800332711728018</c:v>
                </c:pt>
                <c:pt idx="29">
                  <c:v>90.818972110069538</c:v>
                </c:pt>
                <c:pt idx="30">
                  <c:v>90.838045479463588</c:v>
                </c:pt>
                <c:pt idx="31">
                  <c:v>90.857562914358937</c:v>
                </c:pt>
                <c:pt idx="32">
                  <c:v>90.877534743330997</c:v>
                </c:pt>
                <c:pt idx="33">
                  <c:v>90.897971534463622</c:v>
                </c:pt>
                <c:pt idx="34">
                  <c:v>90.918884100851187</c:v>
                </c:pt>
                <c:pt idx="35">
                  <c:v>90.940283506223267</c:v>
                </c:pt>
                <c:pt idx="36">
                  <c:v>90.962181070694584</c:v>
                </c:pt>
                <c:pt idx="37">
                  <c:v>90.984588376642449</c:v>
                </c:pt>
                <c:pt idx="38">
                  <c:v>91.007517274714502</c:v>
                </c:pt>
                <c:pt idx="39">
                  <c:v>91.030979889969046</c:v>
                </c:pt>
                <c:pt idx="40">
                  <c:v>91.054988628150724</c:v>
                </c:pt>
                <c:pt idx="41">
                  <c:v>91.079556182104099</c:v>
                </c:pt>
                <c:pt idx="42">
                  <c:v>91.104695538327704</c:v>
                </c:pt>
                <c:pt idx="43">
                  <c:v>91.130419983671302</c:v>
                </c:pt>
                <c:pt idx="44">
                  <c:v>91.156743112178845</c:v>
                </c:pt>
                <c:pt idx="45">
                  <c:v>91.183678832080034</c:v>
                </c:pt>
                <c:pt idx="46">
                  <c:v>91.211241372932918</c:v>
                </c:pt>
                <c:pt idx="47">
                  <c:v>91.23944529292045</c:v>
                </c:pt>
                <c:pt idx="48">
                  <c:v>91.268305486303504</c:v>
                </c:pt>
                <c:pt idx="49">
                  <c:v>91.297837191033125</c:v>
                </c:pt>
                <c:pt idx="50">
                  <c:v>91.328055996524753</c:v>
                </c:pt>
                <c:pt idx="51">
                  <c:v>91.358977851596933</c:v>
                </c:pt>
                <c:pt idx="52">
                  <c:v>91.390619072577351</c:v>
                </c:pt>
                <c:pt idx="53">
                  <c:v>91.422996351578817</c:v>
                </c:pt>
                <c:pt idx="54">
                  <c:v>91.456126764947584</c:v>
                </c:pt>
                <c:pt idx="55">
                  <c:v>91.490027781886894</c:v>
                </c:pt>
                <c:pt idx="56">
                  <c:v>91.524717273258062</c:v>
                </c:pt>
                <c:pt idx="57">
                  <c:v>91.560213520561717</c:v>
                </c:pt>
                <c:pt idx="58">
                  <c:v>91.596535225101576</c:v>
                </c:pt>
                <c:pt idx="59">
                  <c:v>91.633701517332995</c:v>
                </c:pt>
                <c:pt idx="60">
                  <c:v>91.671731966398866</c:v>
                </c:pt>
                <c:pt idx="61">
                  <c:v>91.710646589854747</c:v>
                </c:pt>
                <c:pt idx="62">
                  <c:v>91.750465863585518</c:v>
                </c:pt>
                <c:pt idx="63">
                  <c:v>91.791210731915371</c:v>
                </c:pt>
                <c:pt idx="64">
                  <c:v>91.832902617913163</c:v>
                </c:pt>
                <c:pt idx="65">
                  <c:v>91.875563433894825</c:v>
                </c:pt>
                <c:pt idx="66">
                  <c:v>91.919215592123962</c:v>
                </c:pt>
                <c:pt idx="67">
                  <c:v>91.963882015712727</c:v>
                </c:pt>
                <c:pt idx="68">
                  <c:v>92.009586149723489</c:v>
                </c:pt>
                <c:pt idx="69">
                  <c:v>92.056351972472527</c:v>
                </c:pt>
                <c:pt idx="70">
                  <c:v>92.104204007036586</c:v>
                </c:pt>
                <c:pt idx="71">
                  <c:v>92.153167332962354</c:v>
                </c:pt>
                <c:pt idx="72">
                  <c:v>92.203267598179409</c:v>
                </c:pt>
                <c:pt idx="73">
                  <c:v>92.254531031116315</c:v>
                </c:pt>
                <c:pt idx="74">
                  <c:v>92.306984453019226</c:v>
                </c:pt>
                <c:pt idx="75">
                  <c:v>92.360655290472593</c:v>
                </c:pt>
                <c:pt idx="76">
                  <c:v>92.415571588119903</c:v>
                </c:pt>
                <c:pt idx="77">
                  <c:v>92.471762021583572</c:v>
                </c:pt>
                <c:pt idx="78">
                  <c:v>92.529255910581284</c:v>
                </c:pt>
                <c:pt idx="79">
                  <c:v>92.588083232236002</c:v>
                </c:pt>
                <c:pt idx="80">
                  <c:v>92.648274634576637</c:v>
                </c:pt>
                <c:pt idx="81">
                  <c:v>92.709861450225176</c:v>
                </c:pt>
                <c:pt idx="82">
                  <c:v>92.772875710265993</c:v>
                </c:pt>
                <c:pt idx="83">
                  <c:v>92.837350158291457</c:v>
                </c:pt>
                <c:pt idx="84">
                  <c:v>92.903318264618619</c:v>
                </c:pt>
                <c:pt idx="85">
                  <c:v>92.970814240669014</c:v>
                </c:pt>
                <c:pt idx="86">
                  <c:v>93.039873053504678</c:v>
                </c:pt>
                <c:pt idx="87">
                  <c:v>93.110530440510985</c:v>
                </c:pt>
                <c:pt idx="88">
                  <c:v>93.182822924216538</c:v>
                </c:pt>
                <c:pt idx="89">
                  <c:v>93.256787827239322</c:v>
                </c:pt>
                <c:pt idx="90">
                  <c:v>93.332463287346755</c:v>
                </c:pt>
                <c:pt idx="91">
                  <c:v>93.409888272616016</c:v>
                </c:pt>
                <c:pt idx="92">
                  <c:v>93.489102596680013</c:v>
                </c:pt>
                <c:pt idx="93">
                  <c:v>93.570146934042214</c:v>
                </c:pt>
                <c:pt idx="94">
                  <c:v>93.653062835442697</c:v>
                </c:pt>
                <c:pt idx="95">
                  <c:v>93.737892743255358</c:v>
                </c:pt>
                <c:pt idx="96">
                  <c:v>93.82468000689461</c:v>
                </c:pt>
                <c:pt idx="97">
                  <c:v>93.913468898208507</c:v>
                </c:pt>
                <c:pt idx="98">
                  <c:v>94.004304626831725</c:v>
                </c:pt>
                <c:pt idx="99">
                  <c:v>94.097233355471445</c:v>
                </c:pt>
                <c:pt idx="100">
                  <c:v>94.192302215094642</c:v>
                </c:pt>
                <c:pt idx="101">
                  <c:v>94.289559319984889</c:v>
                </c:pt>
                <c:pt idx="102">
                  <c:v>94.389053782632246</c:v>
                </c:pt>
                <c:pt idx="103">
                  <c:v>94.490835728417764</c:v>
                </c:pt>
                <c:pt idx="104">
                  <c:v>94.594956310051117</c:v>
                </c:pt>
                <c:pt idx="105">
                  <c:v>94.701467721715844</c:v>
                </c:pt>
                <c:pt idx="106">
                  <c:v>94.810423212873928</c:v>
                </c:pt>
                <c:pt idx="107">
                  <c:v>94.921877101677282</c:v>
                </c:pt>
                <c:pt idx="108">
                  <c:v>95.03588478792966</c:v>
                </c:pt>
                <c:pt idx="109">
                  <c:v>95.152502765538642</c:v>
                </c:pt>
                <c:pt idx="110">
                  <c:v>95.271788634392323</c:v>
                </c:pt>
                <c:pt idx="111">
                  <c:v>95.393801111591557</c:v>
                </c:pt>
                <c:pt idx="112">
                  <c:v>95.518600041962017</c:v>
                </c:pt>
                <c:pt idx="113">
                  <c:v>95.646246407766867</c:v>
                </c:pt>
                <c:pt idx="114">
                  <c:v>95.776802337533908</c:v>
                </c:pt>
                <c:pt idx="115">
                  <c:v>95.9103311139054</c:v>
                </c:pt>
                <c:pt idx="116">
                  <c:v>96.046897180413396</c:v>
                </c:pt>
                <c:pt idx="117">
                  <c:v>96.18656614707551</c:v>
                </c:pt>
                <c:pt idx="118">
                  <c:v>96.329404794700181</c:v>
                </c:pt>
                <c:pt idx="119">
                  <c:v>96.475481077783314</c:v>
                </c:pt>
                <c:pt idx="120">
                  <c:v>96.624864125869138</c:v>
                </c:pt>
                <c:pt idx="121">
                  <c:v>96.777624243243395</c:v>
                </c:pt>
                <c:pt idx="122">
                  <c:v>96.933832906813905</c:v>
                </c:pt>
                <c:pt idx="123">
                  <c:v>97.093562762030203</c:v>
                </c:pt>
                <c:pt idx="124">
                  <c:v>97.256887616680743</c:v>
                </c:pt>
                <c:pt idx="125">
                  <c:v>97.423882432399665</c:v>
                </c:pt>
                <c:pt idx="126">
                  <c:v>97.594623313703693</c:v>
                </c:pt>
                <c:pt idx="127">
                  <c:v>97.769187494370087</c:v>
                </c:pt>
                <c:pt idx="128">
                  <c:v>97.947653320957599</c:v>
                </c:pt>
                <c:pt idx="129">
                  <c:v>98.130100233260109</c:v>
                </c:pt>
                <c:pt idx="130">
                  <c:v>98.316608741472294</c:v>
                </c:pt>
                <c:pt idx="131">
                  <c:v>98.507260399836682</c:v>
                </c:pt>
                <c:pt idx="132">
                  <c:v>98.702137776527152</c:v>
                </c:pt>
                <c:pt idx="133">
                  <c:v>98.901324419517891</c:v>
                </c:pt>
                <c:pt idx="134">
                  <c:v>99.104904818168905</c:v>
                </c:pt>
                <c:pt idx="135">
                  <c:v>99.312964360252408</c:v>
                </c:pt>
                <c:pt idx="136">
                  <c:v>99.525589284131271</c:v>
                </c:pt>
                <c:pt idx="137">
                  <c:v>99.74286662578919</c:v>
                </c:pt>
                <c:pt idx="138">
                  <c:v>99.964884160400928</c:v>
                </c:pt>
                <c:pt idx="139">
                  <c:v>100.19173033812218</c:v>
                </c:pt>
                <c:pt idx="140">
                  <c:v>100.42349421376476</c:v>
                </c:pt>
                <c:pt idx="141">
                  <c:v>100.6602653700178</c:v>
                </c:pt>
                <c:pt idx="142">
                  <c:v>100.90213383386194</c:v>
                </c:pt>
                <c:pt idx="143">
                  <c:v>101.14918998581925</c:v>
                </c:pt>
                <c:pt idx="144">
                  <c:v>101.40152446167357</c:v>
                </c:pt>
                <c:pt idx="145">
                  <c:v>101.65922804629</c:v>
                </c:pt>
                <c:pt idx="146">
                  <c:v>101.92239155915874</c:v>
                </c:pt>
                <c:pt idx="147">
                  <c:v>102.19110573128832</c:v>
                </c:pt>
                <c:pt idx="148">
                  <c:v>102.46546107306948</c:v>
                </c:pt>
                <c:pt idx="149">
                  <c:v>102.7455477327385</c:v>
                </c:pt>
                <c:pt idx="150">
                  <c:v>103.03145534507006</c:v>
                </c:pt>
                <c:pt idx="151">
                  <c:v>103.32327286993925</c:v>
                </c:pt>
                <c:pt idx="152">
                  <c:v>103.62108842040777</c:v>
                </c:pt>
                <c:pt idx="153">
                  <c:v>103.92498907999729</c:v>
                </c:pt>
                <c:pt idx="154">
                  <c:v>104.23506070884247</c:v>
                </c:pt>
                <c:pt idx="155">
                  <c:v>104.55138773843203</c:v>
                </c:pt>
                <c:pt idx="156">
                  <c:v>104.8740529546827</c:v>
                </c:pt>
                <c:pt idx="157">
                  <c:v>105.20313726912087</c:v>
                </c:pt>
                <c:pt idx="158">
                  <c:v>105.53871947799232</c:v>
                </c:pt>
                <c:pt idx="159">
                  <c:v>105.88087600916303</c:v>
                </c:pt>
                <c:pt idx="160">
                  <c:v>106.22968065673498</c:v>
                </c:pt>
                <c:pt idx="161">
                  <c:v>106.5852043033528</c:v>
                </c:pt>
                <c:pt idx="162">
                  <c:v>106.94751463025761</c:v>
                </c:pt>
                <c:pt idx="163">
                  <c:v>107.31667581521006</c:v>
                </c:pt>
                <c:pt idx="164">
                  <c:v>107.69274821849964</c:v>
                </c:pt>
                <c:pt idx="165">
                  <c:v>108.07578805734259</c:v>
                </c:pt>
                <c:pt idx="166">
                  <c:v>108.46584706907761</c:v>
                </c:pt>
                <c:pt idx="167">
                  <c:v>108.86297216368011</c:v>
                </c:pt>
                <c:pt idx="168">
                  <c:v>109.26720506622995</c:v>
                </c:pt>
                <c:pt idx="169">
                  <c:v>109.67858195010068</c:v>
                </c:pt>
                <c:pt idx="170">
                  <c:v>110.09713306177163</c:v>
                </c:pt>
                <c:pt idx="171">
                  <c:v>110.52288233830795</c:v>
                </c:pt>
                <c:pt idx="172">
                  <c:v>110.9558470187026</c:v>
                </c:pt>
                <c:pt idx="173">
                  <c:v>111.39603725043597</c:v>
                </c:pt>
                <c:pt idx="174">
                  <c:v>111.84345569276179</c:v>
                </c:pt>
                <c:pt idx="175">
                  <c:v>112.29809711840302</c:v>
                </c:pt>
                <c:pt idx="176">
                  <c:v>112.75994801550006</c:v>
                </c:pt>
                <c:pt idx="177">
                  <c:v>113.22898619182888</c:v>
                </c:pt>
                <c:pt idx="178">
                  <c:v>113.70518038346771</c:v>
                </c:pt>
                <c:pt idx="179">
                  <c:v>114.18848987025697</c:v>
                </c:pt>
                <c:pt idx="180">
                  <c:v>114.67886410055283</c:v>
                </c:pt>
                <c:pt idx="181">
                  <c:v>115.1762423279213</c:v>
                </c:pt>
                <c:pt idx="182">
                  <c:v>115.68055326255606</c:v>
                </c:pt>
                <c:pt idx="183">
                  <c:v>116.191714740325</c:v>
                </c:pt>
                <c:pt idx="184">
                  <c:v>116.70963341244979</c:v>
                </c:pt>
                <c:pt idx="185">
                  <c:v>117.23420445890734</c:v>
                </c:pt>
                <c:pt idx="186">
                  <c:v>117.76531132869654</c:v>
                </c:pt>
                <c:pt idx="187">
                  <c:v>118.30282551014031</c:v>
                </c:pt>
                <c:pt idx="188">
                  <c:v>118.84660633439047</c:v>
                </c:pt>
                <c:pt idx="189">
                  <c:v>119.39650081527083</c:v>
                </c:pt>
                <c:pt idx="190">
                  <c:v>119.95234352850579</c:v>
                </c:pt>
                <c:pt idx="191">
                  <c:v>120.51395653328478</c:v>
                </c:pt>
                <c:pt idx="192">
                  <c:v>121.08114933894259</c:v>
                </c:pt>
                <c:pt idx="193">
                  <c:v>121.65371891934713</c:v>
                </c:pt>
                <c:pt idx="194">
                  <c:v>122.23144977734189</c:v>
                </c:pt>
                <c:pt idx="195">
                  <c:v>122.814114061303</c:v>
                </c:pt>
                <c:pt idx="196">
                  <c:v>123.40147173554963</c:v>
                </c:pt>
                <c:pt idx="197">
                  <c:v>123.99327080597276</c:v>
                </c:pt>
                <c:pt idx="198">
                  <c:v>124.58924760184408</c:v>
                </c:pt>
                <c:pt idx="199">
                  <c:v>125.18912711432517</c:v>
                </c:pt>
                <c:pt idx="200">
                  <c:v>125.79262339172539</c:v>
                </c:pt>
                <c:pt idx="201">
                  <c:v>126.39943999105873</c:v>
                </c:pt>
                <c:pt idx="202">
                  <c:v>127.00927048493554</c:v>
                </c:pt>
                <c:pt idx="203">
                  <c:v>127.62179902229629</c:v>
                </c:pt>
                <c:pt idx="204">
                  <c:v>128.2367009409582</c:v>
                </c:pt>
                <c:pt idx="205">
                  <c:v>128.8536434294202</c:v>
                </c:pt>
                <c:pt idx="206">
                  <c:v>129.47228623484489</c:v>
                </c:pt>
                <c:pt idx="207">
                  <c:v>130.09228241364463</c:v>
                </c:pt>
                <c:pt idx="208">
                  <c:v>130.71327912061884</c:v>
                </c:pt>
                <c:pt idx="209">
                  <c:v>131.33491843216115</c:v>
                </c:pt>
                <c:pt idx="210">
                  <c:v>131.95683819865607</c:v>
                </c:pt>
                <c:pt idx="211">
                  <c:v>132.57867292084993</c:v>
                </c:pt>
                <c:pt idx="212">
                  <c:v>133.20005464469406</c:v>
                </c:pt>
                <c:pt idx="213">
                  <c:v>133.82061386893662</c:v>
                </c:pt>
                <c:pt idx="214">
                  <c:v>134.43998045958793</c:v>
                </c:pt>
                <c:pt idx="215">
                  <c:v>135.05778456529595</c:v>
                </c:pt>
                <c:pt idx="216">
                  <c:v>135.67365752765957</c:v>
                </c:pt>
                <c:pt idx="217">
                  <c:v>136.28723278056194</c:v>
                </c:pt>
                <c:pt idx="218">
                  <c:v>136.89814673273582</c:v>
                </c:pt>
                <c:pt idx="219">
                  <c:v>137.50603962797447</c:v>
                </c:pt>
                <c:pt idx="220">
                  <c:v>138.11055637765267</c:v>
                </c:pt>
                <c:pt idx="221">
                  <c:v>138.71134736055768</c:v>
                </c:pt>
                <c:pt idx="222">
                  <c:v>139.30806918538482</c:v>
                </c:pt>
                <c:pt idx="223">
                  <c:v>139.90038541169758</c:v>
                </c:pt>
                <c:pt idx="224">
                  <c:v>140.4879672255835</c:v>
                </c:pt>
                <c:pt idx="225">
                  <c:v>141.07049406675532</c:v>
                </c:pt>
                <c:pt idx="226">
                  <c:v>141.64765420434034</c:v>
                </c:pt>
                <c:pt idx="227">
                  <c:v>142.21914525913678</c:v>
                </c:pt>
                <c:pt idx="228">
                  <c:v>142.78467467065295</c:v>
                </c:pt>
                <c:pt idx="229">
                  <c:v>143.34396010776851</c:v>
                </c:pt>
                <c:pt idx="230">
                  <c:v>143.8967298223877</c:v>
                </c:pt>
                <c:pt idx="231">
                  <c:v>144.44272294595217</c:v>
                </c:pt>
                <c:pt idx="232">
                  <c:v>144.98168972916676</c:v>
                </c:pt>
                <c:pt idx="233">
                  <c:v>145.5133917257514</c:v>
                </c:pt>
                <c:pt idx="234">
                  <c:v>146.03760192143591</c:v>
                </c:pt>
                <c:pt idx="235">
                  <c:v>146.55410480981683</c:v>
                </c:pt>
                <c:pt idx="236">
                  <c:v>147.06269641702639</c:v>
                </c:pt>
                <c:pt idx="237">
                  <c:v>147.56318427746777</c:v>
                </c:pt>
                <c:pt idx="238">
                  <c:v>148.05538736313258</c:v>
                </c:pt>
                <c:pt idx="239">
                  <c:v>148.53913596922533</c:v>
                </c:pt>
                <c:pt idx="240">
                  <c:v>149.0142715589962</c:v>
                </c:pt>
                <c:pt idx="241">
                  <c:v>149.4806465708142</c:v>
                </c:pt>
                <c:pt idx="242">
                  <c:v>149.93812419059756</c:v>
                </c:pt>
                <c:pt idx="243">
                  <c:v>150.38657809277501</c:v>
                </c:pt>
                <c:pt idx="244">
                  <c:v>150.82589215296949</c:v>
                </c:pt>
                <c:pt idx="245">
                  <c:v>151.25596013557484</c:v>
                </c:pt>
                <c:pt idx="246">
                  <c:v>151.67668535935758</c:v>
                </c:pt>
                <c:pt idx="247">
                  <c:v>152.08798034414093</c:v>
                </c:pt>
                <c:pt idx="248">
                  <c:v>152.48976644153873</c:v>
                </c:pt>
                <c:pt idx="249">
                  <c:v>152.88197345258934</c:v>
                </c:pt>
                <c:pt idx="250">
                  <c:v>153.2645392350172</c:v>
                </c:pt>
                <c:pt idx="251">
                  <c:v>153.63740930270433</c:v>
                </c:pt>
                <c:pt idx="252">
                  <c:v>154.00053641980298</c:v>
                </c:pt>
                <c:pt idx="253">
                  <c:v>154.35388019176423</c:v>
                </c:pt>
                <c:pt idx="254">
                  <c:v>154.69740665539348</c:v>
                </c:pt>
                <c:pt idx="255">
                  <c:v>155.03108786987639</c:v>
                </c:pt>
                <c:pt idx="256">
                  <c:v>155.35490151056001</c:v>
                </c:pt>
                <c:pt idx="257">
                  <c:v>155.66883046710282</c:v>
                </c:pt>
                <c:pt idx="258">
                  <c:v>155.972862447452</c:v>
                </c:pt>
                <c:pt idx="259">
                  <c:v>156.26698958895304</c:v>
                </c:pt>
                <c:pt idx="260">
                  <c:v>156.55120807774179</c:v>
                </c:pt>
                <c:pt idx="261">
                  <c:v>156.82551777743117</c:v>
                </c:pt>
                <c:pt idx="262">
                  <c:v>157.08992186797124</c:v>
                </c:pt>
                <c:pt idx="263">
                  <c:v>157.3444264954295</c:v>
                </c:pt>
                <c:pt idx="264">
                  <c:v>157.58904043332655</c:v>
                </c:pt>
                <c:pt idx="265">
                  <c:v>157.8237747560494</c:v>
                </c:pt>
                <c:pt idx="266">
                  <c:v>158.048642524766</c:v>
                </c:pt>
                <c:pt idx="267">
                  <c:v>158.26365848617237</c:v>
                </c:pt>
                <c:pt idx="268">
                  <c:v>158.46883878432436</c:v>
                </c:pt>
                <c:pt idx="269">
                  <c:v>158.66420068572663</c:v>
                </c:pt>
                <c:pt idx="270">
                  <c:v>158.84976231779174</c:v>
                </c:pt>
                <c:pt idx="271">
                  <c:v>159.02554242072208</c:v>
                </c:pt>
                <c:pt idx="272">
                  <c:v>159.19156011281675</c:v>
                </c:pt>
                <c:pt idx="273">
                  <c:v>159.34783466916511</c:v>
                </c:pt>
                <c:pt idx="274">
                  <c:v>159.494385313652</c:v>
                </c:pt>
                <c:pt idx="275">
                  <c:v>159.63123102417131</c:v>
                </c:pt>
                <c:pt idx="276">
                  <c:v>159.75839035091875</c:v>
                </c:pt>
                <c:pt idx="277">
                  <c:v>159.87588124762189</c:v>
                </c:pt>
                <c:pt idx="278">
                  <c:v>159.98372091554947</c:v>
                </c:pt>
                <c:pt idx="279">
                  <c:v>160.08192566013278</c:v>
                </c:pt>
                <c:pt idx="280">
                  <c:v>160.17051076003585</c:v>
                </c:pt>
                <c:pt idx="281">
                  <c:v>160.24949034850292</c:v>
                </c:pt>
                <c:pt idx="282">
                  <c:v>160.31887730682001</c:v>
                </c:pt>
                <c:pt idx="283">
                  <c:v>160.37868316973774</c:v>
                </c:pt>
                <c:pt idx="284">
                  <c:v>160.42891804270326</c:v>
                </c:pt>
                <c:pt idx="285">
                  <c:v>160.46959053077344</c:v>
                </c:pt>
                <c:pt idx="286">
                  <c:v>160.50070767908394</c:v>
                </c:pt>
                <c:pt idx="287">
                  <c:v>160.52227492477624</c:v>
                </c:pt>
                <c:pt idx="288">
                  <c:v>160.53429606029295</c:v>
                </c:pt>
                <c:pt idx="289">
                  <c:v>160.53677320797703</c:v>
                </c:pt>
                <c:pt idx="290">
                  <c:v>160.52970680592892</c:v>
                </c:pt>
                <c:pt idx="291">
                  <c:v>160.51309560509191</c:v>
                </c:pt>
                <c:pt idx="292">
                  <c:v>160.48693667756467</c:v>
                </c:pt>
                <c:pt idx="293">
                  <c:v>160.45122543615366</c:v>
                </c:pt>
                <c:pt idx="294">
                  <c:v>160.40595566520193</c:v>
                </c:pt>
                <c:pt idx="295">
                  <c:v>160.35111956275117</c:v>
                </c:pt>
                <c:pt idx="296">
                  <c:v>160.2867077941126</c:v>
                </c:pt>
                <c:pt idx="297">
                  <c:v>160.21270955694135</c:v>
                </c:pt>
                <c:pt idx="298">
                  <c:v>160.12911265792326</c:v>
                </c:pt>
                <c:pt idx="299">
                  <c:v>160.03590360120577</c:v>
                </c:pt>
                <c:pt idx="300">
                  <c:v>159.93306768870676</c:v>
                </c:pt>
                <c:pt idx="301">
                  <c:v>159.82058913245851</c:v>
                </c:pt>
                <c:pt idx="302">
                  <c:v>159.69845117914352</c:v>
                </c:pt>
                <c:pt idx="303">
                  <c:v>159.56663624698948</c:v>
                </c:pt>
                <c:pt idx="304">
                  <c:v>159.4251260751914</c:v>
                </c:pt>
                <c:pt idx="305">
                  <c:v>159.27390188602763</c:v>
                </c:pt>
                <c:pt idx="306">
                  <c:v>159.11294455983221</c:v>
                </c:pt>
                <c:pt idx="307">
                  <c:v>158.94223482297349</c:v>
                </c:pt>
                <c:pt idx="308">
                  <c:v>158.76175344897848</c:v>
                </c:pt>
                <c:pt idx="309">
                  <c:v>158.57148147291727</c:v>
                </c:pt>
                <c:pt idx="310">
                  <c:v>158.37140041913912</c:v>
                </c:pt>
                <c:pt idx="311">
                  <c:v>158.16149254241856</c:v>
                </c:pt>
                <c:pt idx="312">
                  <c:v>157.94174108253216</c:v>
                </c:pt>
                <c:pt idx="313">
                  <c:v>157.71213053223806</c:v>
                </c:pt>
                <c:pt idx="314">
                  <c:v>157.4726469185801</c:v>
                </c:pt>
                <c:pt idx="315">
                  <c:v>157.22327809737362</c:v>
                </c:pt>
                <c:pt idx="316">
                  <c:v>156.96401406066622</c:v>
                </c:pt>
                <c:pt idx="317">
                  <c:v>156.69484725688045</c:v>
                </c:pt>
                <c:pt idx="318">
                  <c:v>156.41577292326809</c:v>
                </c:pt>
                <c:pt idx="319">
                  <c:v>156.12678943020228</c:v>
                </c:pt>
                <c:pt idx="320">
                  <c:v>155.82789863673398</c:v>
                </c:pt>
                <c:pt idx="321">
                  <c:v>155.51910625672735</c:v>
                </c:pt>
                <c:pt idx="322">
                  <c:v>155.20042223475704</c:v>
                </c:pt>
                <c:pt idx="323">
                  <c:v>154.87186113083604</c:v>
                </c:pt>
                <c:pt idx="324">
                  <c:v>154.53344251288763</c:v>
                </c:pt>
                <c:pt idx="325">
                  <c:v>154.18519135574323</c:v>
                </c:pt>
                <c:pt idx="326">
                  <c:v>153.82713844528328</c:v>
                </c:pt>
                <c:pt idx="327">
                  <c:v>153.45932078619472</c:v>
                </c:pt>
                <c:pt idx="328">
                  <c:v>153.08178201164341</c:v>
                </c:pt>
                <c:pt idx="329">
                  <c:v>152.69457279300306</c:v>
                </c:pt>
                <c:pt idx="330">
                  <c:v>152.29775124761824</c:v>
                </c:pt>
                <c:pt idx="331">
                  <c:v>151.89138334240727</c:v>
                </c:pt>
                <c:pt idx="332">
                  <c:v>151.47554329096013</c:v>
                </c:pt>
                <c:pt idx="333">
                  <c:v>151.0503139416175</c:v>
                </c:pt>
                <c:pt idx="334">
                  <c:v>150.61578715388816</c:v>
                </c:pt>
                <c:pt idx="335">
                  <c:v>150.17206416040688</c:v>
                </c:pt>
                <c:pt idx="336">
                  <c:v>149.7192559115322</c:v>
                </c:pt>
                <c:pt idx="337">
                  <c:v>149.25748339956141</c:v>
                </c:pt>
                <c:pt idx="338">
                  <c:v>148.78687795947695</c:v>
                </c:pt>
                <c:pt idx="339">
                  <c:v>148.30758154306139</c:v>
                </c:pt>
                <c:pt idx="340">
                  <c:v>147.81974696320211</c:v>
                </c:pt>
                <c:pt idx="341">
                  <c:v>147.32353810519552</c:v>
                </c:pt>
                <c:pt idx="342">
                  <c:v>146.81913010190169</c:v>
                </c:pt>
                <c:pt idx="343">
                  <c:v>146.30670946966663</c:v>
                </c:pt>
                <c:pt idx="344">
                  <c:v>145.78647420204013</c:v>
                </c:pt>
                <c:pt idx="345">
                  <c:v>145.25863381846571</c:v>
                </c:pt>
                <c:pt idx="346">
                  <c:v>144.7234093653118</c:v>
                </c:pt>
                <c:pt idx="347">
                  <c:v>144.18103336685527</c:v>
                </c:pt>
                <c:pt idx="348">
                  <c:v>143.63174972409243</c:v>
                </c:pt>
                <c:pt idx="349">
                  <c:v>143.07581355959314</c:v>
                </c:pt>
                <c:pt idx="350">
                  <c:v>142.51349100696126</c:v>
                </c:pt>
                <c:pt idx="351">
                  <c:v>141.94505894387416</c:v>
                </c:pt>
                <c:pt idx="352">
                  <c:v>141.37080466810792</c:v>
                </c:pt>
                <c:pt idx="353">
                  <c:v>140.79102551642555</c:v>
                </c:pt>
                <c:pt idx="354">
                  <c:v>140.20602842669123</c:v>
                </c:pt>
                <c:pt idx="355">
                  <c:v>139.61612944410578</c:v>
                </c:pt>
                <c:pt idx="356">
                  <c:v>139.02165317296055</c:v>
                </c:pt>
                <c:pt idx="357">
                  <c:v>138.42293217586621</c:v>
                </c:pt>
                <c:pt idx="358">
                  <c:v>137.82030632292674</c:v>
                </c:pt>
                <c:pt idx="359">
                  <c:v>137.21412209386054</c:v>
                </c:pt>
                <c:pt idx="360">
                  <c:v>136.60473183656867</c:v>
                </c:pt>
                <c:pt idx="361">
                  <c:v>135.99249298613401</c:v>
                </c:pt>
                <c:pt idx="362">
                  <c:v>135.37776724866711</c:v>
                </c:pt>
                <c:pt idx="363">
                  <c:v>134.7609197548237</c:v>
                </c:pt>
                <c:pt idx="364">
                  <c:v>134.14231818816256</c:v>
                </c:pt>
                <c:pt idx="365">
                  <c:v>133.52233189380425</c:v>
                </c:pt>
                <c:pt idx="366">
                  <c:v>132.90133097308654</c:v>
                </c:pt>
                <c:pt idx="367">
                  <c:v>132.27968537007322</c:v>
                </c:pt>
                <c:pt idx="368">
                  <c:v>131.65776395586926</c:v>
                </c:pt>
                <c:pt idx="369">
                  <c:v>131.03593361672094</c:v>
                </c:pt>
                <c:pt idx="370">
                  <c:v>130.41455835182765</c:v>
                </c:pt>
                <c:pt idx="371">
                  <c:v>129.79399838668104</c:v>
                </c:pt>
                <c:pt idx="372">
                  <c:v>129.17460930755013</c:v>
                </c:pt>
                <c:pt idx="373">
                  <c:v>128.55674122249079</c:v>
                </c:pt>
                <c:pt idx="374">
                  <c:v>127.94073795393435</c:v>
                </c:pt>
                <c:pt idx="375">
                  <c:v>127.32693626755797</c:v>
                </c:pt>
                <c:pt idx="376">
                  <c:v>126.71566514170404</c:v>
                </c:pt>
                <c:pt idx="377">
                  <c:v>126.10724508119054</c:v>
                </c:pt>
                <c:pt idx="378">
                  <c:v>125.50198747883866</c:v>
                </c:pt>
                <c:pt idx="379">
                  <c:v>124.90019402755597</c:v>
                </c:pt>
                <c:pt idx="380">
                  <c:v>124.30215618527161</c:v>
                </c:pt>
                <c:pt idx="381">
                  <c:v>123.70815469450213</c:v>
                </c:pt>
                <c:pt idx="382">
                  <c:v>123.11845915777725</c:v>
                </c:pt>
                <c:pt idx="383">
                  <c:v>122.53332766964621</c:v>
                </c:pt>
                <c:pt idx="384">
                  <c:v>121.9530065054695</c:v>
                </c:pt>
                <c:pt idx="385">
                  <c:v>121.37772986671958</c:v>
                </c:pt>
                <c:pt idx="386">
                  <c:v>120.8077196820483</c:v>
                </c:pt>
                <c:pt idx="387">
                  <c:v>120.24318546297019</c:v>
                </c:pt>
                <c:pt idx="388">
                  <c:v>119.68432421259976</c:v>
                </c:pt>
                <c:pt idx="389">
                  <c:v>119.13132038555841</c:v>
                </c:pt>
                <c:pt idx="390">
                  <c:v>118.5843458968349</c:v>
                </c:pt>
                <c:pt idx="391">
                  <c:v>118.04356017713556</c:v>
                </c:pt>
                <c:pt idx="392">
                  <c:v>117.50911027203794</c:v>
                </c:pt>
                <c:pt idx="393">
                  <c:v>116.98113098207475</c:v>
                </c:pt>
                <c:pt idx="394">
                  <c:v>116.45974504075289</c:v>
                </c:pt>
                <c:pt idx="395">
                  <c:v>115.94506332740916</c:v>
                </c:pt>
                <c:pt idx="396">
                  <c:v>115.43718511174504</c:v>
                </c:pt>
                <c:pt idx="397">
                  <c:v>114.93619832687673</c:v>
                </c:pt>
                <c:pt idx="398">
                  <c:v>114.44217986772837</c:v>
                </c:pt>
                <c:pt idx="399">
                  <c:v>113.95519591165562</c:v>
                </c:pt>
                <c:pt idx="400">
                  <c:v>113.47530225824575</c:v>
                </c:pt>
                <c:pt idx="401">
                  <c:v>113.00254468533538</c:v>
                </c:pt>
                <c:pt idx="402">
                  <c:v>112.53695931839673</c:v>
                </c:pt>
                <c:pt idx="403">
                  <c:v>112.07857301057682</c:v>
                </c:pt>
                <c:pt idx="404">
                  <c:v>111.62740373080432</c:v>
                </c:pt>
                <c:pt idx="405">
                  <c:v>111.18346095754615</c:v>
                </c:pt>
                <c:pt idx="406">
                  <c:v>110.74674607594291</c:v>
                </c:pt>
                <c:pt idx="407">
                  <c:v>110.31725277622188</c:v>
                </c:pt>
                <c:pt idx="408">
                  <c:v>109.89496745145843</c:v>
                </c:pt>
                <c:pt idx="409">
                  <c:v>109.47986959291345</c:v>
                </c:pt>
                <c:pt idx="410">
                  <c:v>109.07193218135444</c:v>
                </c:pt>
                <c:pt idx="411">
                  <c:v>108.67112207291909</c:v>
                </c:pt>
                <c:pt idx="412">
                  <c:v>108.27740037825144</c:v>
                </c:pt>
                <c:pt idx="413">
                  <c:v>107.89072283378106</c:v>
                </c:pt>
                <c:pt idx="414">
                  <c:v>107.51104016417715</c:v>
                </c:pt>
                <c:pt idx="415">
                  <c:v>107.13829843513666</c:v>
                </c:pt>
                <c:pt idx="416">
                  <c:v>106.77243939580667</c:v>
                </c:pt>
                <c:pt idx="417">
                  <c:v>106.41340081025787</c:v>
                </c:pt>
                <c:pt idx="418">
                  <c:v>106.06111677754937</c:v>
                </c:pt>
                <c:pt idx="419">
                  <c:v>105.71551804002189</c:v>
                </c:pt>
                <c:pt idx="420">
                  <c:v>105.37653227956243</c:v>
                </c:pt>
                <c:pt idx="421">
                  <c:v>105.04408440166883</c:v>
                </c:pt>
                <c:pt idx="422">
                  <c:v>104.71809680722765</c:v>
                </c:pt>
                <c:pt idx="423">
                  <c:v>104.3984896519824</c:v>
                </c:pt>
                <c:pt idx="424">
                  <c:v>104.08518109374977</c:v>
                </c:pt>
                <c:pt idx="425">
                  <c:v>103.77808752748496</c:v>
                </c:pt>
                <c:pt idx="426">
                  <c:v>103.47712380835507</c:v>
                </c:pt>
                <c:pt idx="427">
                  <c:v>103.18220346302553</c:v>
                </c:pt>
                <c:pt idx="428">
                  <c:v>102.8932388893974</c:v>
                </c:pt>
                <c:pt idx="429">
                  <c:v>102.61014154506844</c:v>
                </c:pt>
                <c:pt idx="430">
                  <c:v>102.3328221248203</c:v>
                </c:pt>
                <c:pt idx="431">
                  <c:v>102.06119072745274</c:v>
                </c:pt>
                <c:pt idx="432">
                  <c:v>101.7951570123054</c:v>
                </c:pt>
                <c:pt idx="433">
                  <c:v>101.53463034582066</c:v>
                </c:pt>
                <c:pt idx="434">
                  <c:v>101.27951993851417</c:v>
                </c:pt>
                <c:pt idx="435">
                  <c:v>101.02973497272197</c:v>
                </c:pt>
                <c:pt idx="436">
                  <c:v>100.78518472150009</c:v>
                </c:pt>
                <c:pt idx="437">
                  <c:v>100.5457786590546</c:v>
                </c:pt>
                <c:pt idx="438">
                  <c:v>100.31142656307658</c:v>
                </c:pt>
                <c:pt idx="439">
                  <c:v>100.08203860935402</c:v>
                </c:pt>
                <c:pt idx="440">
                  <c:v>99.857525459033013</c:v>
                </c:pt>
                <c:pt idx="441">
                  <c:v>99.637798338884735</c:v>
                </c:pt>
                <c:pt idx="442">
                  <c:v>99.422769114938063</c:v>
                </c:pt>
                <c:pt idx="443">
                  <c:v>99.212350359822125</c:v>
                </c:pt>
                <c:pt idx="444">
                  <c:v>99.006455414155567</c:v>
                </c:pt>
                <c:pt idx="445">
                  <c:v>98.804998442311458</c:v>
                </c:pt>
                <c:pt idx="446">
                  <c:v>98.607894482873277</c:v>
                </c:pt>
                <c:pt idx="447">
                  <c:v>98.41505949408851</c:v>
                </c:pt>
                <c:pt idx="448">
                  <c:v>98.226410394614476</c:v>
                </c:pt>
                <c:pt idx="449">
                  <c:v>98.041865099839313</c:v>
                </c:pt>
                <c:pt idx="450">
                  <c:v>97.861342554050026</c:v>
                </c:pt>
                <c:pt idx="451">
                  <c:v>97.684762758708032</c:v>
                </c:pt>
                <c:pt idx="452">
                  <c:v>97.512046797080814</c:v>
                </c:pt>
                <c:pt idx="453">
                  <c:v>97.343116855466405</c:v>
                </c:pt>
                <c:pt idx="454">
                  <c:v>97.177896241238685</c:v>
                </c:pt>
                <c:pt idx="455">
                  <c:v>97.016309397926406</c:v>
                </c:pt>
                <c:pt idx="456">
                  <c:v>96.858281917532722</c:v>
                </c:pt>
                <c:pt idx="457">
                  <c:v>96.703740550287691</c:v>
                </c:pt>
                <c:pt idx="458">
                  <c:v>96.552613212018201</c:v>
                </c:pt>
                <c:pt idx="459">
                  <c:v>96.404828989309934</c:v>
                </c:pt>
                <c:pt idx="460">
                  <c:v>96.260318142625096</c:v>
                </c:pt>
                <c:pt idx="461">
                  <c:v>96.119012107532015</c:v>
                </c:pt>
                <c:pt idx="462">
                  <c:v>95.980843494192939</c:v>
                </c:pt>
                <c:pt idx="463">
                  <c:v>95.845746085248209</c:v>
                </c:pt>
                <c:pt idx="464">
                  <c:v>95.713654832227192</c:v>
                </c:pt>
                <c:pt idx="465">
                  <c:v>95.584505850608053</c:v>
                </c:pt>
                <c:pt idx="466">
                  <c:v>95.458236413641146</c:v>
                </c:pt>
                <c:pt idx="467">
                  <c:v>95.334784945044802</c:v>
                </c:pt>
                <c:pt idx="468">
                  <c:v>95.214091010673087</c:v>
                </c:pt>
                <c:pt idx="469">
                  <c:v>95.096095309252533</c:v>
                </c:pt>
                <c:pt idx="470">
                  <c:v>94.980739662274175</c:v>
                </c:pt>
                <c:pt idx="471">
                  <c:v>94.867967003125386</c:v>
                </c:pt>
                <c:pt idx="472">
                  <c:v>94.757721365539382</c:v>
                </c:pt>
                <c:pt idx="473">
                  <c:v>94.649947871432943</c:v>
                </c:pt>
                <c:pt idx="474">
                  <c:v>94.544592718201429</c:v>
                </c:pt>
                <c:pt idx="475">
                  <c:v>94.441603165533706</c:v>
                </c:pt>
                <c:pt idx="476">
                  <c:v>94.340927521804403</c:v>
                </c:pt>
                <c:pt idx="477">
                  <c:v>94.242515130099648</c:v>
                </c:pt>
                <c:pt idx="478">
                  <c:v>94.14631635392503</c:v>
                </c:pt>
                <c:pt idx="479">
                  <c:v>94.052282562644152</c:v>
                </c:pt>
                <c:pt idx="480">
                  <c:v>93.960366116689983</c:v>
                </c:pt>
                <c:pt idx="481">
                  <c:v>93.870520352590404</c:v>
                </c:pt>
                <c:pt idx="482">
                  <c:v>93.782699567844276</c:v>
                </c:pt>
                <c:pt idx="483">
                  <c:v>93.696859005682683</c:v>
                </c:pt>
                <c:pt idx="484">
                  <c:v>93.612954839747132</c:v>
                </c:pt>
                <c:pt idx="485">
                  <c:v>93.530944158714178</c:v>
                </c:pt>
                <c:pt idx="486">
                  <c:v>93.450784950892469</c:v>
                </c:pt>
                <c:pt idx="487">
                  <c:v>93.372436088817693</c:v>
                </c:pt>
                <c:pt idx="488">
                  <c:v>93.295857313868169</c:v>
                </c:pt>
                <c:pt idx="489">
                  <c:v>93.221009220920607</c:v>
                </c:pt>
                <c:pt idx="490">
                  <c:v>93.147853243066592</c:v>
                </c:pt>
                <c:pt idx="491">
                  <c:v>93.076351636405676</c:v>
                </c:pt>
                <c:pt idx="492">
                  <c:v>93.006467464931418</c:v>
                </c:pt>
                <c:pt idx="493">
                  <c:v>92.938164585524802</c:v>
                </c:pt>
                <c:pt idx="494">
                  <c:v>92.871407633067022</c:v>
                </c:pt>
                <c:pt idx="495">
                  <c:v>92.806162005684399</c:v>
                </c:pt>
                <c:pt idx="496">
                  <c:v>92.742393850134818</c:v>
                </c:pt>
                <c:pt idx="497">
                  <c:v>92.680070047346007</c:v>
                </c:pt>
                <c:pt idx="498">
                  <c:v>92.619158198113112</c:v>
                </c:pt>
                <c:pt idx="499">
                  <c:v>92.559626608963384</c:v>
                </c:pt>
                <c:pt idx="500">
                  <c:v>92.501444278194839</c:v>
                </c:pt>
                <c:pt idx="501">
                  <c:v>92.444580882093788</c:v>
                </c:pt>
                <c:pt idx="502">
                  <c:v>92.389006761336915</c:v>
                </c:pt>
                <c:pt idx="503">
                  <c:v>92.334692907581754</c:v>
                </c:pt>
                <c:pt idx="504">
                  <c:v>92.281610950249529</c:v>
                </c:pt>
                <c:pt idx="505">
                  <c:v>92.229733143502941</c:v>
                </c:pt>
                <c:pt idx="506">
                  <c:v>92.179032353421761</c:v>
                </c:pt>
                <c:pt idx="507">
                  <c:v>92.129482045378083</c:v>
                </c:pt>
                <c:pt idx="508">
                  <c:v>92.081056271612781</c:v>
                </c:pt>
                <c:pt idx="509">
                  <c:v>92.033729659014043</c:v>
                </c:pt>
                <c:pt idx="510">
                  <c:v>91.987477397099042</c:v>
                </c:pt>
                <c:pt idx="511">
                  <c:v>91.942275226198802</c:v>
                </c:pt>
                <c:pt idx="512">
                  <c:v>91.898099425846283</c:v>
                </c:pt>
                <c:pt idx="513">
                  <c:v>91.854926803367505</c:v>
                </c:pt>
                <c:pt idx="514">
                  <c:v>91.812734682675085</c:v>
                </c:pt>
                <c:pt idx="515">
                  <c:v>91.771500893263266</c:v>
                </c:pt>
                <c:pt idx="516">
                  <c:v>91.731203759403584</c:v>
                </c:pt>
                <c:pt idx="517">
                  <c:v>91.6918220895395</c:v>
                </c:pt>
                <c:pt idx="518">
                  <c:v>91.65333516587927</c:v>
                </c:pt>
                <c:pt idx="519">
                  <c:v>91.615722734184587</c:v>
                </c:pt>
                <c:pt idx="520">
                  <c:v>91.578964993753772</c:v>
                </c:pt>
                <c:pt idx="521">
                  <c:v>91.54304258759754</c:v>
                </c:pt>
                <c:pt idx="522">
                  <c:v>91.507936592805166</c:v>
                </c:pt>
                <c:pt idx="523">
                  <c:v>91.473628511098894</c:v>
                </c:pt>
                <c:pt idx="524">
                  <c:v>91.440100259574464</c:v>
                </c:pt>
                <c:pt idx="525">
                  <c:v>91.407334161625599</c:v>
                </c:pt>
                <c:pt idx="526">
                  <c:v>91.37531293804949</c:v>
                </c:pt>
                <c:pt idx="527">
                  <c:v>91.344019698331593</c:v>
                </c:pt>
                <c:pt idx="528">
                  <c:v>91.313437932106538</c:v>
                </c:pt>
                <c:pt idx="529">
                  <c:v>91.283551500792996</c:v>
                </c:pt>
                <c:pt idx="530">
                  <c:v>91.254344629399853</c:v>
                </c:pt>
                <c:pt idx="531">
                  <c:v>91.225801898500876</c:v>
                </c:pt>
                <c:pt idx="532">
                  <c:v>91.197908236375483</c:v>
                </c:pt>
                <c:pt idx="533">
                  <c:v>91.170648911312682</c:v>
                </c:pt>
                <c:pt idx="534">
                  <c:v>91.144009524075813</c:v>
                </c:pt>
                <c:pt idx="535">
                  <c:v>91.117976000524948</c:v>
                </c:pt>
                <c:pt idx="536">
                  <c:v>91.092534584394983</c:v>
                </c:pt>
                <c:pt idx="537">
                  <c:v>91.067671830225692</c:v>
                </c:pt>
                <c:pt idx="538">
                  <c:v>91.043374596442192</c:v>
                </c:pt>
                <c:pt idx="539">
                  <c:v>91.019630038582179</c:v>
                </c:pt>
                <c:pt idx="540">
                  <c:v>90.996425602668097</c:v>
                </c:pt>
                <c:pt idx="541">
                  <c:v>90.97374901872071</c:v>
                </c:pt>
              </c:numCache>
            </c:numRef>
          </c:yVal>
          <c:smooth val="1"/>
          <c:extLst>
            <c:ext xmlns:c16="http://schemas.microsoft.com/office/drawing/2014/chart" uri="{C3380CC4-5D6E-409C-BE32-E72D297353CC}">
              <c16:uniqueId val="{00000001-0B5D-4E78-BD48-CC54C4E43363}"/>
            </c:ext>
          </c:extLst>
        </c:ser>
        <c:dLbls>
          <c:showLegendKey val="0"/>
          <c:showVal val="0"/>
          <c:showCatName val="0"/>
          <c:showSerName val="0"/>
          <c:showPercent val="0"/>
          <c:showBubbleSize val="0"/>
        </c:dLbls>
        <c:axId val="365441024"/>
        <c:axId val="365439232"/>
      </c:scatterChart>
      <c:valAx>
        <c:axId val="555280640"/>
        <c:scaling>
          <c:logBase val="10"/>
          <c:orientation val="minMax"/>
          <c:max val="2200000"/>
          <c:min val="10"/>
        </c:scaling>
        <c:delete val="0"/>
        <c:axPos val="b"/>
        <c:minorGridlines/>
        <c:title>
          <c:tx>
            <c:rich>
              <a:bodyPr/>
              <a:lstStyle/>
              <a:p>
                <a:pPr>
                  <a:defRPr/>
                </a:pPr>
                <a:r>
                  <a:rPr lang="en-US"/>
                  <a:t>Frequency</a:t>
                </a:r>
                <a:r>
                  <a:rPr lang="en-US" baseline="0"/>
                  <a:t> (Hz)</a:t>
                </a:r>
                <a:endParaRPr lang="en-US"/>
              </a:p>
            </c:rich>
          </c:tx>
          <c:overlay val="0"/>
        </c:title>
        <c:numFmt formatCode="0" sourceLinked="0"/>
        <c:majorTickMark val="out"/>
        <c:minorTickMark val="none"/>
        <c:tickLblPos val="low"/>
        <c:crossAx val="365437312"/>
        <c:crosses val="autoZero"/>
        <c:crossBetween val="midCat"/>
      </c:valAx>
      <c:valAx>
        <c:axId val="365437312"/>
        <c:scaling>
          <c:orientation val="minMax"/>
          <c:max val="40"/>
          <c:min val="-40"/>
        </c:scaling>
        <c:delete val="0"/>
        <c:axPos val="l"/>
        <c:majorGridlines/>
        <c:minorGridlines/>
        <c:title>
          <c:tx>
            <c:rich>
              <a:bodyPr rot="-5400000" vert="horz"/>
              <a:lstStyle/>
              <a:p>
                <a:pPr>
                  <a:defRPr/>
                </a:pPr>
                <a:r>
                  <a:rPr lang="en-US"/>
                  <a:t>Gain</a:t>
                </a:r>
                <a:r>
                  <a:rPr lang="en-US" baseline="0"/>
                  <a:t> (dB)</a:t>
                </a:r>
                <a:endParaRPr lang="en-US"/>
              </a:p>
            </c:rich>
          </c:tx>
          <c:overlay val="0"/>
        </c:title>
        <c:numFmt formatCode="General" sourceLinked="0"/>
        <c:majorTickMark val="out"/>
        <c:minorTickMark val="none"/>
        <c:tickLblPos val="nextTo"/>
        <c:crossAx val="555280640"/>
        <c:crosses val="autoZero"/>
        <c:crossBetween val="midCat"/>
        <c:majorUnit val="20"/>
        <c:minorUnit val="10"/>
      </c:valAx>
      <c:valAx>
        <c:axId val="365439232"/>
        <c:scaling>
          <c:orientation val="minMax"/>
          <c:max val="180"/>
          <c:min val="-180"/>
        </c:scaling>
        <c:delete val="0"/>
        <c:axPos val="r"/>
        <c:numFmt formatCode="General" sourceLinked="1"/>
        <c:majorTickMark val="out"/>
        <c:minorTickMark val="none"/>
        <c:tickLblPos val="nextTo"/>
        <c:crossAx val="365441024"/>
        <c:crosses val="max"/>
        <c:crossBetween val="midCat"/>
        <c:majorUnit val="90"/>
        <c:minorUnit val="45"/>
      </c:valAx>
      <c:valAx>
        <c:axId val="365441024"/>
        <c:scaling>
          <c:logBase val="10"/>
          <c:orientation val="minMax"/>
        </c:scaling>
        <c:delete val="1"/>
        <c:axPos val="b"/>
        <c:numFmt formatCode="0.00" sourceLinked="1"/>
        <c:majorTickMark val="out"/>
        <c:minorTickMark val="none"/>
        <c:tickLblPos val="nextTo"/>
        <c:crossAx val="365439232"/>
        <c:crosses val="autoZero"/>
        <c:crossBetween val="midCat"/>
      </c:valAx>
    </c:plotArea>
    <c:legend>
      <c:legendPos val="r"/>
      <c:layout>
        <c:manualLayout>
          <c:xMode val="edge"/>
          <c:yMode val="edge"/>
          <c:x val="0.79880558209512509"/>
          <c:y val="0.14321997959862004"/>
          <c:w val="0.13485048155591431"/>
          <c:h val="0.10528624969913696"/>
        </c:manualLayout>
      </c:layout>
      <c:overlay val="1"/>
      <c:spPr>
        <a:solidFill>
          <a:schemeClr val="bg1"/>
        </a:solidFill>
      </c:spPr>
    </c:legend>
    <c:plotVisOnly val="1"/>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baseline="0"/>
              <a:t>CCM Control Loop Transfer Function</a:t>
            </a:r>
          </a:p>
        </c:rich>
      </c:tx>
      <c:overlay val="0"/>
    </c:title>
    <c:autoTitleDeleted val="0"/>
    <c:plotArea>
      <c:layout/>
      <c:scatterChart>
        <c:scatterStyle val="smoothMarker"/>
        <c:varyColors val="0"/>
        <c:ser>
          <c:idx val="0"/>
          <c:order val="0"/>
          <c:tx>
            <c:v>Gain (dB)</c:v>
          </c:tx>
          <c:spPr>
            <a:ln w="38100">
              <a:solidFill>
                <a:srgbClr val="FF0000"/>
              </a:solidFill>
            </a:ln>
          </c:spPr>
          <c:marker>
            <c:symbol val="none"/>
          </c:marker>
          <c:xVal>
            <c:numRef>
              <c:f>Loop_Modeling!$O$19:$O$560</c:f>
              <c:numCache>
                <c:formatCode>0.00</c:formatCode>
                <c:ptCount val="542"/>
                <c:pt idx="0">
                  <c:v>10.232929922807543</c:v>
                </c:pt>
                <c:pt idx="1">
                  <c:v>10.471285480509</c:v>
                </c:pt>
                <c:pt idx="2">
                  <c:v>10.715193052376069</c:v>
                </c:pt>
                <c:pt idx="3">
                  <c:v>10.964781961431854</c:v>
                </c:pt>
                <c:pt idx="4">
                  <c:v>11.220184543019636</c:v>
                </c:pt>
                <c:pt idx="5">
                  <c:v>11.481536214968834</c:v>
                </c:pt>
                <c:pt idx="6">
                  <c:v>11.748975549395301</c:v>
                </c:pt>
                <c:pt idx="7">
                  <c:v>12.022644346174133</c:v>
                </c:pt>
                <c:pt idx="8">
                  <c:v>12.302687708123818</c:v>
                </c:pt>
                <c:pt idx="9">
                  <c:v>12.58925411794168</c:v>
                </c:pt>
                <c:pt idx="10">
                  <c:v>12.882495516931346</c:v>
                </c:pt>
                <c:pt idx="11">
                  <c:v>13.182567385564075</c:v>
                </c:pt>
                <c:pt idx="12">
                  <c:v>13.489628825916535</c:v>
                </c:pt>
                <c:pt idx="13">
                  <c:v>13.803842646028857</c:v>
                </c:pt>
                <c:pt idx="14">
                  <c:v>14.125375446227544</c:v>
                </c:pt>
                <c:pt idx="15">
                  <c:v>14.454397707459275</c:v>
                </c:pt>
                <c:pt idx="16">
                  <c:v>14.791083881682074</c:v>
                </c:pt>
                <c:pt idx="17">
                  <c:v>15.135612484362087</c:v>
                </c:pt>
                <c:pt idx="18">
                  <c:v>15.488166189124817</c:v>
                </c:pt>
                <c:pt idx="19">
                  <c:v>15.848931924611136</c:v>
                </c:pt>
                <c:pt idx="20">
                  <c:v>16.218100973589298</c:v>
                </c:pt>
                <c:pt idx="21">
                  <c:v>16.595869074375614</c:v>
                </c:pt>
                <c:pt idx="22">
                  <c:v>16.982436524617448</c:v>
                </c:pt>
                <c:pt idx="23">
                  <c:v>17.378008287493756</c:v>
                </c:pt>
                <c:pt idx="24">
                  <c:v>17.782794100389236</c:v>
                </c:pt>
                <c:pt idx="25">
                  <c:v>18.197008586099841</c:v>
                </c:pt>
                <c:pt idx="26">
                  <c:v>18.62087136662868</c:v>
                </c:pt>
                <c:pt idx="27">
                  <c:v>19.054607179632477</c:v>
                </c:pt>
                <c:pt idx="28">
                  <c:v>19.498445997580465</c:v>
                </c:pt>
                <c:pt idx="29">
                  <c:v>19.952623149688804</c:v>
                </c:pt>
                <c:pt idx="30">
                  <c:v>20.4173794466953</c:v>
                </c:pt>
                <c:pt idx="31">
                  <c:v>20.8929613085404</c:v>
                </c:pt>
                <c:pt idx="32">
                  <c:v>21.379620895022335</c:v>
                </c:pt>
                <c:pt idx="33">
                  <c:v>21.877616239495538</c:v>
                </c:pt>
                <c:pt idx="34">
                  <c:v>22.387211385683404</c:v>
                </c:pt>
                <c:pt idx="35">
                  <c:v>22.908676527677727</c:v>
                </c:pt>
                <c:pt idx="36">
                  <c:v>23.442288153199236</c:v>
                </c:pt>
                <c:pt idx="37">
                  <c:v>23.988329190194907</c:v>
                </c:pt>
                <c:pt idx="38">
                  <c:v>24.547089156850316</c:v>
                </c:pt>
                <c:pt idx="39">
                  <c:v>25.118864315095799</c:v>
                </c:pt>
                <c:pt idx="40">
                  <c:v>25.703957827688647</c:v>
                </c:pt>
                <c:pt idx="41">
                  <c:v>26.302679918953825</c:v>
                </c:pt>
                <c:pt idx="42">
                  <c:v>26.915348039269158</c:v>
                </c:pt>
                <c:pt idx="43">
                  <c:v>27.542287033381665</c:v>
                </c:pt>
                <c:pt idx="44">
                  <c:v>28.183829312644548</c:v>
                </c:pt>
                <c:pt idx="45">
                  <c:v>28.840315031266066</c:v>
                </c:pt>
                <c:pt idx="46">
                  <c:v>29.512092266663863</c:v>
                </c:pt>
                <c:pt idx="47">
                  <c:v>30.199517204020164</c:v>
                </c:pt>
                <c:pt idx="48">
                  <c:v>30.902954325135919</c:v>
                </c:pt>
                <c:pt idx="49">
                  <c:v>31.622776601683803</c:v>
                </c:pt>
                <c:pt idx="50">
                  <c:v>32.359365692962832</c:v>
                </c:pt>
                <c:pt idx="51">
                  <c:v>33.113112148259127</c:v>
                </c:pt>
                <c:pt idx="52">
                  <c:v>33.884415613920268</c:v>
                </c:pt>
                <c:pt idx="53">
                  <c:v>34.67368504525318</c:v>
                </c:pt>
                <c:pt idx="54">
                  <c:v>35.481338923357555</c:v>
                </c:pt>
                <c:pt idx="55">
                  <c:v>36.307805477010156</c:v>
                </c:pt>
                <c:pt idx="56">
                  <c:v>37.15352290971726</c:v>
                </c:pt>
                <c:pt idx="57">
                  <c:v>38.018939632056139</c:v>
                </c:pt>
                <c:pt idx="58">
                  <c:v>38.904514499428053</c:v>
                </c:pt>
                <c:pt idx="59">
                  <c:v>39.810717055349755</c:v>
                </c:pt>
                <c:pt idx="60">
                  <c:v>40.738027780411279</c:v>
                </c:pt>
                <c:pt idx="61">
                  <c:v>41.686938347033561</c:v>
                </c:pt>
                <c:pt idx="62">
                  <c:v>42.657951880159267</c:v>
                </c:pt>
                <c:pt idx="63">
                  <c:v>43.651583224016633</c:v>
                </c:pt>
                <c:pt idx="64">
                  <c:v>44.668359215096324</c:v>
                </c:pt>
                <c:pt idx="65">
                  <c:v>45.70881896148753</c:v>
                </c:pt>
                <c:pt idx="66">
                  <c:v>46.773514128719818</c:v>
                </c:pt>
                <c:pt idx="67">
                  <c:v>47.863009232263877</c:v>
                </c:pt>
                <c:pt idx="68">
                  <c:v>48.977881936844632</c:v>
                </c:pt>
                <c:pt idx="69">
                  <c:v>50.118723362727238</c:v>
                </c:pt>
                <c:pt idx="70">
                  <c:v>51.28613839913649</c:v>
                </c:pt>
                <c:pt idx="71">
                  <c:v>52.480746024977286</c:v>
                </c:pt>
                <c:pt idx="72">
                  <c:v>53.703179637025293</c:v>
                </c:pt>
                <c:pt idx="73">
                  <c:v>54.95408738576247</c:v>
                </c:pt>
                <c:pt idx="74">
                  <c:v>56.234132519034915</c:v>
                </c:pt>
                <c:pt idx="75">
                  <c:v>57.543993733715695</c:v>
                </c:pt>
                <c:pt idx="76">
                  <c:v>58.884365535558949</c:v>
                </c:pt>
                <c:pt idx="77">
                  <c:v>60.255958607435822</c:v>
                </c:pt>
                <c:pt idx="78">
                  <c:v>61.659500186148257</c:v>
                </c:pt>
                <c:pt idx="79">
                  <c:v>63.095734448019364</c:v>
                </c:pt>
                <c:pt idx="80">
                  <c:v>64.565422903465588</c:v>
                </c:pt>
                <c:pt idx="81">
                  <c:v>66.069344800759623</c:v>
                </c:pt>
                <c:pt idx="82">
                  <c:v>67.60829753919819</c:v>
                </c:pt>
                <c:pt idx="83">
                  <c:v>69.183097091893657</c:v>
                </c:pt>
                <c:pt idx="84">
                  <c:v>70.794578438413865</c:v>
                </c:pt>
                <c:pt idx="85">
                  <c:v>72.443596007499011</c:v>
                </c:pt>
                <c:pt idx="86">
                  <c:v>74.131024130091816</c:v>
                </c:pt>
                <c:pt idx="87">
                  <c:v>75.857757502918361</c:v>
                </c:pt>
                <c:pt idx="88">
                  <c:v>77.624711662869217</c:v>
                </c:pt>
                <c:pt idx="89">
                  <c:v>79.432823472428197</c:v>
                </c:pt>
                <c:pt idx="90">
                  <c:v>81.283051616409963</c:v>
                </c:pt>
                <c:pt idx="91">
                  <c:v>83.176377110267126</c:v>
                </c:pt>
                <c:pt idx="92">
                  <c:v>85.113803820237734</c:v>
                </c:pt>
                <c:pt idx="93">
                  <c:v>87.096358995608071</c:v>
                </c:pt>
                <c:pt idx="94">
                  <c:v>89.125093813374562</c:v>
                </c:pt>
                <c:pt idx="95">
                  <c:v>91.201083935590972</c:v>
                </c:pt>
                <c:pt idx="96">
                  <c:v>93.325430079699174</c:v>
                </c:pt>
                <c:pt idx="97">
                  <c:v>95.499258602143655</c:v>
                </c:pt>
                <c:pt idx="98">
                  <c:v>97.723722095581124</c:v>
                </c:pt>
                <c:pt idx="99">
                  <c:v>100</c:v>
                </c:pt>
                <c:pt idx="100">
                  <c:v>102.32929922807544</c:v>
                </c:pt>
                <c:pt idx="101">
                  <c:v>104.71285480508998</c:v>
                </c:pt>
                <c:pt idx="102">
                  <c:v>107.15193052376065</c:v>
                </c:pt>
                <c:pt idx="103">
                  <c:v>109.64781961431861</c:v>
                </c:pt>
                <c:pt idx="104">
                  <c:v>112.20184543019634</c:v>
                </c:pt>
                <c:pt idx="105">
                  <c:v>114.81536214968835</c:v>
                </c:pt>
                <c:pt idx="106">
                  <c:v>117.48975549395293</c:v>
                </c:pt>
                <c:pt idx="107">
                  <c:v>120.22644346174135</c:v>
                </c:pt>
                <c:pt idx="108">
                  <c:v>123.02687708123821</c:v>
                </c:pt>
                <c:pt idx="109">
                  <c:v>125.89254117941677</c:v>
                </c:pt>
                <c:pt idx="110">
                  <c:v>128.82495516931343</c:v>
                </c:pt>
                <c:pt idx="111">
                  <c:v>131.82567385564084</c:v>
                </c:pt>
                <c:pt idx="112">
                  <c:v>134.89628825916537</c:v>
                </c:pt>
                <c:pt idx="113">
                  <c:v>138.0384264602886</c:v>
                </c:pt>
                <c:pt idx="114">
                  <c:v>141.25375446227542</c:v>
                </c:pt>
                <c:pt idx="115">
                  <c:v>144.54397707459285</c:v>
                </c:pt>
                <c:pt idx="116">
                  <c:v>147.91083881682084</c:v>
                </c:pt>
                <c:pt idx="117">
                  <c:v>151.3561248436209</c:v>
                </c:pt>
                <c:pt idx="118">
                  <c:v>154.8816618912482</c:v>
                </c:pt>
                <c:pt idx="119">
                  <c:v>158.48931924611153</c:v>
                </c:pt>
                <c:pt idx="120">
                  <c:v>162.18100973589304</c:v>
                </c:pt>
                <c:pt idx="121">
                  <c:v>165.95869074375622</c:v>
                </c:pt>
                <c:pt idx="122">
                  <c:v>169.82436524617444</c:v>
                </c:pt>
                <c:pt idx="123">
                  <c:v>173.78008287493768</c:v>
                </c:pt>
                <c:pt idx="124">
                  <c:v>177.82794100389242</c:v>
                </c:pt>
                <c:pt idx="125">
                  <c:v>181.9700858609983</c:v>
                </c:pt>
                <c:pt idx="126">
                  <c:v>186.20871366628685</c:v>
                </c:pt>
                <c:pt idx="127">
                  <c:v>190.54607179632498</c:v>
                </c:pt>
                <c:pt idx="128">
                  <c:v>194.98445997580458</c:v>
                </c:pt>
                <c:pt idx="129">
                  <c:v>199.52623149688802</c:v>
                </c:pt>
                <c:pt idx="130">
                  <c:v>204.17379446695315</c:v>
                </c:pt>
                <c:pt idx="131">
                  <c:v>208.92961308540396</c:v>
                </c:pt>
                <c:pt idx="132">
                  <c:v>213.79620895022339</c:v>
                </c:pt>
                <c:pt idx="133">
                  <c:v>218.77616239495524</c:v>
                </c:pt>
                <c:pt idx="134">
                  <c:v>223.87211385683412</c:v>
                </c:pt>
                <c:pt idx="135">
                  <c:v>229.08676527677744</c:v>
                </c:pt>
                <c:pt idx="136">
                  <c:v>234.42288153199232</c:v>
                </c:pt>
                <c:pt idx="137">
                  <c:v>239.88329190194912</c:v>
                </c:pt>
                <c:pt idx="138">
                  <c:v>245.4708915685033</c:v>
                </c:pt>
                <c:pt idx="139">
                  <c:v>251.18864315095806</c:v>
                </c:pt>
                <c:pt idx="140">
                  <c:v>257.03957827688663</c:v>
                </c:pt>
                <c:pt idx="141">
                  <c:v>263.02679918953817</c:v>
                </c:pt>
                <c:pt idx="142">
                  <c:v>269.15348039269179</c:v>
                </c:pt>
                <c:pt idx="143">
                  <c:v>275.42287033381683</c:v>
                </c:pt>
                <c:pt idx="144">
                  <c:v>281.83829312644554</c:v>
                </c:pt>
                <c:pt idx="145">
                  <c:v>288.40315031266073</c:v>
                </c:pt>
                <c:pt idx="146">
                  <c:v>295.12092266663871</c:v>
                </c:pt>
                <c:pt idx="147">
                  <c:v>301.99517204020168</c:v>
                </c:pt>
                <c:pt idx="148">
                  <c:v>309.02954325135937</c:v>
                </c:pt>
                <c:pt idx="149">
                  <c:v>316.22776601683825</c:v>
                </c:pt>
                <c:pt idx="150">
                  <c:v>323.59365692962825</c:v>
                </c:pt>
                <c:pt idx="151">
                  <c:v>331.13112148259137</c:v>
                </c:pt>
                <c:pt idx="152">
                  <c:v>338.84415613920277</c:v>
                </c:pt>
                <c:pt idx="153">
                  <c:v>346.73685045253183</c:v>
                </c:pt>
                <c:pt idx="154">
                  <c:v>354.81338923357566</c:v>
                </c:pt>
                <c:pt idx="155">
                  <c:v>363.07805477010152</c:v>
                </c:pt>
                <c:pt idx="156">
                  <c:v>371.53522909717265</c:v>
                </c:pt>
                <c:pt idx="157">
                  <c:v>380.18939632056163</c:v>
                </c:pt>
                <c:pt idx="158">
                  <c:v>389.04514499428063</c:v>
                </c:pt>
                <c:pt idx="159">
                  <c:v>398.10717055349761</c:v>
                </c:pt>
                <c:pt idx="160">
                  <c:v>407.38027780411272</c:v>
                </c:pt>
                <c:pt idx="161">
                  <c:v>416.86938347033572</c:v>
                </c:pt>
                <c:pt idx="162">
                  <c:v>426.57951880159294</c:v>
                </c:pt>
                <c:pt idx="163">
                  <c:v>436.51583224016622</c:v>
                </c:pt>
                <c:pt idx="164">
                  <c:v>446.68359215096331</c:v>
                </c:pt>
                <c:pt idx="165">
                  <c:v>457.0881896148756</c:v>
                </c:pt>
                <c:pt idx="166">
                  <c:v>467.7351412871983</c:v>
                </c:pt>
                <c:pt idx="167">
                  <c:v>478.63009232263886</c:v>
                </c:pt>
                <c:pt idx="168">
                  <c:v>489.77881936844625</c:v>
                </c:pt>
                <c:pt idx="169">
                  <c:v>501.18723362727269</c:v>
                </c:pt>
                <c:pt idx="170">
                  <c:v>512.86138399136519</c:v>
                </c:pt>
                <c:pt idx="171">
                  <c:v>524.80746024977248</c:v>
                </c:pt>
                <c:pt idx="172">
                  <c:v>537.03179637025301</c:v>
                </c:pt>
                <c:pt idx="173">
                  <c:v>549.54087385762534</c:v>
                </c:pt>
                <c:pt idx="174">
                  <c:v>562.34132519034927</c:v>
                </c:pt>
                <c:pt idx="175">
                  <c:v>575.43993733715706</c:v>
                </c:pt>
                <c:pt idx="176">
                  <c:v>588.84365535558959</c:v>
                </c:pt>
                <c:pt idx="177">
                  <c:v>602.55958607435832</c:v>
                </c:pt>
                <c:pt idx="178">
                  <c:v>616.59500186148273</c:v>
                </c:pt>
                <c:pt idx="179">
                  <c:v>630.95734448019323</c:v>
                </c:pt>
                <c:pt idx="180">
                  <c:v>645.65422903465594</c:v>
                </c:pt>
                <c:pt idx="181">
                  <c:v>660.69344800759643</c:v>
                </c:pt>
                <c:pt idx="182">
                  <c:v>676.08297539198213</c:v>
                </c:pt>
                <c:pt idx="183">
                  <c:v>691.83097091893671</c:v>
                </c:pt>
                <c:pt idx="184">
                  <c:v>707.94578438413873</c:v>
                </c:pt>
                <c:pt idx="185">
                  <c:v>724.43596007499025</c:v>
                </c:pt>
                <c:pt idx="186">
                  <c:v>741.31024130091828</c:v>
                </c:pt>
                <c:pt idx="187">
                  <c:v>758.57757502918378</c:v>
                </c:pt>
                <c:pt idx="188">
                  <c:v>776.24711662869231</c:v>
                </c:pt>
                <c:pt idx="189">
                  <c:v>794.32823472428208</c:v>
                </c:pt>
                <c:pt idx="190">
                  <c:v>812.83051616409978</c:v>
                </c:pt>
                <c:pt idx="191">
                  <c:v>831.7637711026714</c:v>
                </c:pt>
                <c:pt idx="192">
                  <c:v>851.13803820237763</c:v>
                </c:pt>
                <c:pt idx="193">
                  <c:v>870.96358995608091</c:v>
                </c:pt>
                <c:pt idx="194">
                  <c:v>891.25093813374656</c:v>
                </c:pt>
                <c:pt idx="195">
                  <c:v>912.01083935590987</c:v>
                </c:pt>
                <c:pt idx="196">
                  <c:v>933.25430079699106</c:v>
                </c:pt>
                <c:pt idx="197">
                  <c:v>954.99258602143675</c:v>
                </c:pt>
                <c:pt idx="198">
                  <c:v>977.23722095581138</c:v>
                </c:pt>
                <c:pt idx="199">
                  <c:v>1000</c:v>
                </c:pt>
                <c:pt idx="200">
                  <c:v>1023.2929922807547</c:v>
                </c:pt>
                <c:pt idx="201">
                  <c:v>1047.1285480509</c:v>
                </c:pt>
                <c:pt idx="202">
                  <c:v>1071.5193052376069</c:v>
                </c:pt>
                <c:pt idx="203">
                  <c:v>1096.4781961431863</c:v>
                </c:pt>
                <c:pt idx="204">
                  <c:v>1122.0184543019636</c:v>
                </c:pt>
                <c:pt idx="205">
                  <c:v>1148.1536214968839</c:v>
                </c:pt>
                <c:pt idx="206">
                  <c:v>1174.8975549395295</c:v>
                </c:pt>
                <c:pt idx="207">
                  <c:v>1202.2644346174138</c:v>
                </c:pt>
                <c:pt idx="208">
                  <c:v>1230.2687708123824</c:v>
                </c:pt>
                <c:pt idx="209">
                  <c:v>1258.925411794168</c:v>
                </c:pt>
                <c:pt idx="210">
                  <c:v>1288.2495516931347</c:v>
                </c:pt>
                <c:pt idx="211">
                  <c:v>1318.2567385564089</c:v>
                </c:pt>
                <c:pt idx="212">
                  <c:v>1348.9628825916541</c:v>
                </c:pt>
                <c:pt idx="213">
                  <c:v>1380.3842646028863</c:v>
                </c:pt>
                <c:pt idx="214">
                  <c:v>1412.5375446227545</c:v>
                </c:pt>
                <c:pt idx="215">
                  <c:v>1445.4397707459289</c:v>
                </c:pt>
                <c:pt idx="216">
                  <c:v>1479.1083881682086</c:v>
                </c:pt>
                <c:pt idx="217">
                  <c:v>1513.5612484362093</c:v>
                </c:pt>
                <c:pt idx="218">
                  <c:v>1548.8166189124822</c:v>
                </c:pt>
                <c:pt idx="219">
                  <c:v>1584.8931924611156</c:v>
                </c:pt>
                <c:pt idx="220">
                  <c:v>1621.8100973589308</c:v>
                </c:pt>
                <c:pt idx="221">
                  <c:v>1659.5869074375626</c:v>
                </c:pt>
                <c:pt idx="222">
                  <c:v>1698.2436524617447</c:v>
                </c:pt>
                <c:pt idx="223">
                  <c:v>1737.8008287493772</c:v>
                </c:pt>
                <c:pt idx="224">
                  <c:v>1778.2794100389244</c:v>
                </c:pt>
                <c:pt idx="225">
                  <c:v>1819.7008586099832</c:v>
                </c:pt>
                <c:pt idx="226">
                  <c:v>1862.0871366628687</c:v>
                </c:pt>
                <c:pt idx="227">
                  <c:v>1905.4607179632501</c:v>
                </c:pt>
                <c:pt idx="228">
                  <c:v>1949.8445997580463</c:v>
                </c:pt>
                <c:pt idx="229">
                  <c:v>1995.2623149688804</c:v>
                </c:pt>
                <c:pt idx="230">
                  <c:v>2041.7379446695318</c:v>
                </c:pt>
                <c:pt idx="231">
                  <c:v>2089.2961308540398</c:v>
                </c:pt>
                <c:pt idx="232">
                  <c:v>2137.9620895022344</c:v>
                </c:pt>
                <c:pt idx="233">
                  <c:v>2187.7616239495528</c:v>
                </c:pt>
                <c:pt idx="234">
                  <c:v>2238.7211385683418</c:v>
                </c:pt>
                <c:pt idx="235">
                  <c:v>2290.8676527677749</c:v>
                </c:pt>
                <c:pt idx="236">
                  <c:v>2344.2288153199238</c:v>
                </c:pt>
                <c:pt idx="237">
                  <c:v>2398.8329190194918</c:v>
                </c:pt>
                <c:pt idx="238">
                  <c:v>2454.7089156850338</c:v>
                </c:pt>
                <c:pt idx="239">
                  <c:v>2511.8864315095811</c:v>
                </c:pt>
                <c:pt idx="240">
                  <c:v>2570.3957827688669</c:v>
                </c:pt>
                <c:pt idx="241">
                  <c:v>2630.2679918953822</c:v>
                </c:pt>
                <c:pt idx="242">
                  <c:v>2691.5348039269184</c:v>
                </c:pt>
                <c:pt idx="243">
                  <c:v>2754.228703338169</c:v>
                </c:pt>
                <c:pt idx="244">
                  <c:v>2818.3829312644561</c:v>
                </c:pt>
                <c:pt idx="245">
                  <c:v>2884.0315031266077</c:v>
                </c:pt>
                <c:pt idx="246">
                  <c:v>2951.2092266663876</c:v>
                </c:pt>
                <c:pt idx="247">
                  <c:v>3019.9517204020176</c:v>
                </c:pt>
                <c:pt idx="248">
                  <c:v>3090.295432513592</c:v>
                </c:pt>
                <c:pt idx="249">
                  <c:v>3162.2776601683804</c:v>
                </c:pt>
                <c:pt idx="250">
                  <c:v>3235.9365692962833</c:v>
                </c:pt>
                <c:pt idx="251">
                  <c:v>3311.3112148259115</c:v>
                </c:pt>
                <c:pt idx="252">
                  <c:v>3388.4415613920314</c:v>
                </c:pt>
                <c:pt idx="253">
                  <c:v>3467.3685045253224</c:v>
                </c:pt>
                <c:pt idx="254">
                  <c:v>3548.1338923357539</c:v>
                </c:pt>
                <c:pt idx="255">
                  <c:v>3630.7805477010188</c:v>
                </c:pt>
                <c:pt idx="256">
                  <c:v>3715.352290971724</c:v>
                </c:pt>
                <c:pt idx="257">
                  <c:v>3801.8939632056172</c:v>
                </c:pt>
                <c:pt idx="258">
                  <c:v>3890.451449942811</c:v>
                </c:pt>
                <c:pt idx="259">
                  <c:v>3981.0717055349769</c:v>
                </c:pt>
                <c:pt idx="260">
                  <c:v>4073.8027780411317</c:v>
                </c:pt>
                <c:pt idx="261">
                  <c:v>4168.6938347033583</c:v>
                </c:pt>
                <c:pt idx="262">
                  <c:v>4265.7951880159299</c:v>
                </c:pt>
                <c:pt idx="263">
                  <c:v>4365.1583224016631</c:v>
                </c:pt>
                <c:pt idx="264">
                  <c:v>4466.8359215096343</c:v>
                </c:pt>
                <c:pt idx="265">
                  <c:v>4570.8818961487532</c:v>
                </c:pt>
                <c:pt idx="266">
                  <c:v>4677.3514128719844</c:v>
                </c:pt>
                <c:pt idx="267">
                  <c:v>4786.3009232263848</c:v>
                </c:pt>
                <c:pt idx="268">
                  <c:v>4897.7881936844633</c:v>
                </c:pt>
                <c:pt idx="269">
                  <c:v>5011.8723362727324</c:v>
                </c:pt>
                <c:pt idx="270">
                  <c:v>5128.6138399136489</c:v>
                </c:pt>
                <c:pt idx="271">
                  <c:v>5248.0746024977261</c:v>
                </c:pt>
                <c:pt idx="272">
                  <c:v>5370.3179637025269</c:v>
                </c:pt>
                <c:pt idx="273">
                  <c:v>5495.4087385762541</c:v>
                </c:pt>
                <c:pt idx="274">
                  <c:v>5623.4132519034993</c:v>
                </c:pt>
                <c:pt idx="275">
                  <c:v>5754.399373371567</c:v>
                </c:pt>
                <c:pt idx="276">
                  <c:v>5888.4365535558973</c:v>
                </c:pt>
                <c:pt idx="277">
                  <c:v>6025.595860743585</c:v>
                </c:pt>
                <c:pt idx="278">
                  <c:v>6165.9500186148289</c:v>
                </c:pt>
                <c:pt idx="279">
                  <c:v>6309.5734448019384</c:v>
                </c:pt>
                <c:pt idx="280">
                  <c:v>6456.5422903465615</c:v>
                </c:pt>
                <c:pt idx="281">
                  <c:v>6606.9344800759654</c:v>
                </c:pt>
                <c:pt idx="282">
                  <c:v>6760.8297539198229</c:v>
                </c:pt>
                <c:pt idx="283">
                  <c:v>6918.3097091893687</c:v>
                </c:pt>
                <c:pt idx="284">
                  <c:v>7079.4578438413828</c:v>
                </c:pt>
                <c:pt idx="285">
                  <c:v>7244.3596007499036</c:v>
                </c:pt>
                <c:pt idx="286">
                  <c:v>7413.1024130091773</c:v>
                </c:pt>
                <c:pt idx="287">
                  <c:v>7585.7757502918394</c:v>
                </c:pt>
                <c:pt idx="288">
                  <c:v>7762.4711662869322</c:v>
                </c:pt>
                <c:pt idx="289">
                  <c:v>7943.2823472428154</c:v>
                </c:pt>
                <c:pt idx="290">
                  <c:v>8128.3051616410066</c:v>
                </c:pt>
                <c:pt idx="291">
                  <c:v>8317.6377110267094</c:v>
                </c:pt>
                <c:pt idx="292">
                  <c:v>8511.3803820237772</c:v>
                </c:pt>
                <c:pt idx="293">
                  <c:v>8709.6358995608189</c:v>
                </c:pt>
                <c:pt idx="294">
                  <c:v>8912.5093813374679</c:v>
                </c:pt>
                <c:pt idx="295">
                  <c:v>9120.1083935591087</c:v>
                </c:pt>
                <c:pt idx="296">
                  <c:v>9332.5430079699217</c:v>
                </c:pt>
                <c:pt idx="297">
                  <c:v>9549.9258602143691</c:v>
                </c:pt>
                <c:pt idx="298">
                  <c:v>9772.3722095581161</c:v>
                </c:pt>
                <c:pt idx="299">
                  <c:v>10000</c:v>
                </c:pt>
                <c:pt idx="300">
                  <c:v>10232.929922807549</c:v>
                </c:pt>
                <c:pt idx="301">
                  <c:v>10471.285480509003</c:v>
                </c:pt>
                <c:pt idx="302">
                  <c:v>10715.193052376071</c:v>
                </c:pt>
                <c:pt idx="303">
                  <c:v>10964.781961431856</c:v>
                </c:pt>
                <c:pt idx="304">
                  <c:v>11220.184543019639</c:v>
                </c:pt>
                <c:pt idx="305">
                  <c:v>11481.536214968832</c:v>
                </c:pt>
                <c:pt idx="306">
                  <c:v>11748.975549395318</c:v>
                </c:pt>
                <c:pt idx="307">
                  <c:v>12022.644346174151</c:v>
                </c:pt>
                <c:pt idx="308">
                  <c:v>12302.687708123816</c:v>
                </c:pt>
                <c:pt idx="309">
                  <c:v>12589.254117941671</c:v>
                </c:pt>
                <c:pt idx="310">
                  <c:v>12882.49551693136</c:v>
                </c:pt>
                <c:pt idx="311">
                  <c:v>13182.567385564091</c:v>
                </c:pt>
                <c:pt idx="312">
                  <c:v>13489.628825916556</c:v>
                </c:pt>
                <c:pt idx="313">
                  <c:v>13803.842646028841</c:v>
                </c:pt>
                <c:pt idx="314">
                  <c:v>14125.375446227561</c:v>
                </c:pt>
                <c:pt idx="315">
                  <c:v>14454.397707459291</c:v>
                </c:pt>
                <c:pt idx="316">
                  <c:v>14791.083881682089</c:v>
                </c:pt>
                <c:pt idx="317">
                  <c:v>15135.612484362096</c:v>
                </c:pt>
                <c:pt idx="318">
                  <c:v>15488.166189124853</c:v>
                </c:pt>
                <c:pt idx="319">
                  <c:v>15848.931924611146</c:v>
                </c:pt>
                <c:pt idx="320">
                  <c:v>16218.100973589309</c:v>
                </c:pt>
                <c:pt idx="321">
                  <c:v>16595.869074375616</c:v>
                </c:pt>
                <c:pt idx="322">
                  <c:v>16982.436524617482</c:v>
                </c:pt>
                <c:pt idx="323">
                  <c:v>17378.008287493791</c:v>
                </c:pt>
                <c:pt idx="324">
                  <c:v>17782.794100389234</c:v>
                </c:pt>
                <c:pt idx="325">
                  <c:v>18197.008586099837</c:v>
                </c:pt>
                <c:pt idx="326">
                  <c:v>18620.871366628675</c:v>
                </c:pt>
                <c:pt idx="327">
                  <c:v>19054.607179632505</c:v>
                </c:pt>
                <c:pt idx="328">
                  <c:v>19498.445997580486</c:v>
                </c:pt>
                <c:pt idx="329">
                  <c:v>19952.623149688792</c:v>
                </c:pt>
                <c:pt idx="330">
                  <c:v>20417.379446695286</c:v>
                </c:pt>
                <c:pt idx="331">
                  <c:v>20892.961308540423</c:v>
                </c:pt>
                <c:pt idx="332">
                  <c:v>21379.620895022348</c:v>
                </c:pt>
                <c:pt idx="333">
                  <c:v>21877.61623949555</c:v>
                </c:pt>
                <c:pt idx="334">
                  <c:v>22387.211385683382</c:v>
                </c:pt>
                <c:pt idx="335">
                  <c:v>22908.676527677751</c:v>
                </c:pt>
                <c:pt idx="336">
                  <c:v>23442.288153199243</c:v>
                </c:pt>
                <c:pt idx="337">
                  <c:v>23988.329190194923</c:v>
                </c:pt>
                <c:pt idx="338">
                  <c:v>24547.089156850321</c:v>
                </c:pt>
                <c:pt idx="339">
                  <c:v>25118.86431509586</c:v>
                </c:pt>
                <c:pt idx="340">
                  <c:v>25703.95782768865</c:v>
                </c:pt>
                <c:pt idx="341">
                  <c:v>26302.679918953829</c:v>
                </c:pt>
                <c:pt idx="342">
                  <c:v>26915.348039269167</c:v>
                </c:pt>
                <c:pt idx="343">
                  <c:v>27542.287033381719</c:v>
                </c:pt>
                <c:pt idx="344">
                  <c:v>28183.829312644593</c:v>
                </c:pt>
                <c:pt idx="345">
                  <c:v>28840.315031266062</c:v>
                </c:pt>
                <c:pt idx="346">
                  <c:v>29512.092266663854</c:v>
                </c:pt>
                <c:pt idx="347">
                  <c:v>30199.517204020212</c:v>
                </c:pt>
                <c:pt idx="348">
                  <c:v>30902.954325135954</c:v>
                </c:pt>
                <c:pt idx="349">
                  <c:v>31622.77660168384</c:v>
                </c:pt>
                <c:pt idx="350">
                  <c:v>32359.365692962871</c:v>
                </c:pt>
                <c:pt idx="351">
                  <c:v>33113.11214825909</c:v>
                </c:pt>
                <c:pt idx="352">
                  <c:v>33884.41561392029</c:v>
                </c:pt>
                <c:pt idx="353">
                  <c:v>34673.685045253202</c:v>
                </c:pt>
                <c:pt idx="354">
                  <c:v>35481.33892335758</c:v>
                </c:pt>
                <c:pt idx="355">
                  <c:v>36307.805477010232</c:v>
                </c:pt>
                <c:pt idx="356">
                  <c:v>37153.522909717351</c:v>
                </c:pt>
                <c:pt idx="357">
                  <c:v>38018.939632056143</c:v>
                </c:pt>
                <c:pt idx="358">
                  <c:v>38904.514499428085</c:v>
                </c:pt>
                <c:pt idx="359">
                  <c:v>39810.717055349742</c:v>
                </c:pt>
                <c:pt idx="360">
                  <c:v>40738.027780411358</c:v>
                </c:pt>
                <c:pt idx="361">
                  <c:v>41686.938347033625</c:v>
                </c:pt>
                <c:pt idx="362">
                  <c:v>42657.951880159271</c:v>
                </c:pt>
                <c:pt idx="363">
                  <c:v>43651.583224016598</c:v>
                </c:pt>
                <c:pt idx="364">
                  <c:v>44668.359215096389</c:v>
                </c:pt>
                <c:pt idx="365">
                  <c:v>45708.818961487581</c:v>
                </c:pt>
                <c:pt idx="366">
                  <c:v>46773.514128719893</c:v>
                </c:pt>
                <c:pt idx="367">
                  <c:v>47863.009232263823</c:v>
                </c:pt>
                <c:pt idx="368">
                  <c:v>48977.881936844598</c:v>
                </c:pt>
                <c:pt idx="369">
                  <c:v>50118.723362727294</c:v>
                </c:pt>
                <c:pt idx="370">
                  <c:v>51286.138399136544</c:v>
                </c:pt>
                <c:pt idx="371">
                  <c:v>52480.746024977314</c:v>
                </c:pt>
                <c:pt idx="372">
                  <c:v>53703.179637025423</c:v>
                </c:pt>
                <c:pt idx="373">
                  <c:v>54954.087385762505</c:v>
                </c:pt>
                <c:pt idx="374">
                  <c:v>56234.132519034953</c:v>
                </c:pt>
                <c:pt idx="375">
                  <c:v>57543.993733715732</c:v>
                </c:pt>
                <c:pt idx="376">
                  <c:v>58884.365535558936</c:v>
                </c:pt>
                <c:pt idx="377">
                  <c:v>60255.95860743591</c:v>
                </c:pt>
                <c:pt idx="378">
                  <c:v>61659.500186148245</c:v>
                </c:pt>
                <c:pt idx="379">
                  <c:v>63095.734448019342</c:v>
                </c:pt>
                <c:pt idx="380">
                  <c:v>64565.422903465682</c:v>
                </c:pt>
                <c:pt idx="381">
                  <c:v>66069.344800759733</c:v>
                </c:pt>
                <c:pt idx="382">
                  <c:v>67608.297539198305</c:v>
                </c:pt>
                <c:pt idx="383">
                  <c:v>69183.097091893651</c:v>
                </c:pt>
                <c:pt idx="384">
                  <c:v>70794.578438413781</c:v>
                </c:pt>
                <c:pt idx="385">
                  <c:v>72443.596007499116</c:v>
                </c:pt>
                <c:pt idx="386">
                  <c:v>74131.024130091857</c:v>
                </c:pt>
                <c:pt idx="387">
                  <c:v>75857.757502918481</c:v>
                </c:pt>
                <c:pt idx="388">
                  <c:v>77624.711662869129</c:v>
                </c:pt>
                <c:pt idx="389">
                  <c:v>79432.823472428237</c:v>
                </c:pt>
                <c:pt idx="390">
                  <c:v>81283.051616410012</c:v>
                </c:pt>
                <c:pt idx="391">
                  <c:v>83176.377110267174</c:v>
                </c:pt>
                <c:pt idx="392">
                  <c:v>85113.803820237721</c:v>
                </c:pt>
                <c:pt idx="393">
                  <c:v>87096.358995608127</c:v>
                </c:pt>
                <c:pt idx="394">
                  <c:v>89125.093813374609</c:v>
                </c:pt>
                <c:pt idx="395">
                  <c:v>91201.083935591028</c:v>
                </c:pt>
                <c:pt idx="396">
                  <c:v>93325.430079699145</c:v>
                </c:pt>
                <c:pt idx="397">
                  <c:v>95499.258602143804</c:v>
                </c:pt>
                <c:pt idx="398">
                  <c:v>97723.722095581266</c:v>
                </c:pt>
                <c:pt idx="399">
                  <c:v>100000</c:v>
                </c:pt>
                <c:pt idx="400">
                  <c:v>102329.29922807543</c:v>
                </c:pt>
                <c:pt idx="401">
                  <c:v>104712.85480508996</c:v>
                </c:pt>
                <c:pt idx="402">
                  <c:v>107151.93052376082</c:v>
                </c:pt>
                <c:pt idx="403">
                  <c:v>109647.81961431868</c:v>
                </c:pt>
                <c:pt idx="404">
                  <c:v>112201.84543019651</c:v>
                </c:pt>
                <c:pt idx="405">
                  <c:v>114815.36214968823</c:v>
                </c:pt>
                <c:pt idx="406">
                  <c:v>117489.75549395311</c:v>
                </c:pt>
                <c:pt idx="407">
                  <c:v>120226.44346174144</c:v>
                </c:pt>
                <c:pt idx="408">
                  <c:v>123026.87708123829</c:v>
                </c:pt>
                <c:pt idx="409">
                  <c:v>125892.54117941685</c:v>
                </c:pt>
                <c:pt idx="410">
                  <c:v>128824.95516931375</c:v>
                </c:pt>
                <c:pt idx="411">
                  <c:v>131825.67385564081</c:v>
                </c:pt>
                <c:pt idx="412">
                  <c:v>134896.28825916545</c:v>
                </c:pt>
                <c:pt idx="413">
                  <c:v>138038.42646028858</c:v>
                </c:pt>
                <c:pt idx="414">
                  <c:v>141253.75446227577</c:v>
                </c:pt>
                <c:pt idx="415">
                  <c:v>144543.97707459307</c:v>
                </c:pt>
                <c:pt idx="416">
                  <c:v>147910.83881682079</c:v>
                </c:pt>
                <c:pt idx="417">
                  <c:v>151356.12484362084</c:v>
                </c:pt>
                <c:pt idx="418">
                  <c:v>154881.66189124843</c:v>
                </c:pt>
                <c:pt idx="419">
                  <c:v>158489.31924611164</c:v>
                </c:pt>
                <c:pt idx="420">
                  <c:v>162181.00973589328</c:v>
                </c:pt>
                <c:pt idx="421">
                  <c:v>165958.69074375604</c:v>
                </c:pt>
                <c:pt idx="422">
                  <c:v>169824.36524617471</c:v>
                </c:pt>
                <c:pt idx="423">
                  <c:v>173780.0828749378</c:v>
                </c:pt>
                <c:pt idx="424">
                  <c:v>177827.94100389251</c:v>
                </c:pt>
                <c:pt idx="425">
                  <c:v>181970.08586099857</c:v>
                </c:pt>
                <c:pt idx="426">
                  <c:v>186208.71366628664</c:v>
                </c:pt>
                <c:pt idx="427">
                  <c:v>190546.07179632492</c:v>
                </c:pt>
                <c:pt idx="428">
                  <c:v>194984.45997580473</c:v>
                </c:pt>
                <c:pt idx="429">
                  <c:v>199526.23149688813</c:v>
                </c:pt>
                <c:pt idx="430">
                  <c:v>204173.79446695308</c:v>
                </c:pt>
                <c:pt idx="431">
                  <c:v>208929.61308540447</c:v>
                </c:pt>
                <c:pt idx="432">
                  <c:v>213796.20895022334</c:v>
                </c:pt>
                <c:pt idx="433">
                  <c:v>218776.16239495538</c:v>
                </c:pt>
                <c:pt idx="434">
                  <c:v>223872.11385683404</c:v>
                </c:pt>
                <c:pt idx="435">
                  <c:v>229086.76527677779</c:v>
                </c:pt>
                <c:pt idx="436">
                  <c:v>234422.88153199267</c:v>
                </c:pt>
                <c:pt idx="437">
                  <c:v>239883.29190194907</c:v>
                </c:pt>
                <c:pt idx="438">
                  <c:v>245470.89156850305</c:v>
                </c:pt>
                <c:pt idx="439">
                  <c:v>251188.64315095844</c:v>
                </c:pt>
                <c:pt idx="440">
                  <c:v>257039.57827688678</c:v>
                </c:pt>
                <c:pt idx="441">
                  <c:v>263026.79918953858</c:v>
                </c:pt>
                <c:pt idx="442">
                  <c:v>269153.48039269145</c:v>
                </c:pt>
                <c:pt idx="443">
                  <c:v>275422.87033381703</c:v>
                </c:pt>
                <c:pt idx="444">
                  <c:v>281838.29312644573</c:v>
                </c:pt>
                <c:pt idx="445">
                  <c:v>288403.1503126609</c:v>
                </c:pt>
                <c:pt idx="446">
                  <c:v>295120.92266663886</c:v>
                </c:pt>
                <c:pt idx="447">
                  <c:v>301995.17204020242</c:v>
                </c:pt>
                <c:pt idx="448">
                  <c:v>309029.54325135931</c:v>
                </c:pt>
                <c:pt idx="449">
                  <c:v>316227.7660168382</c:v>
                </c:pt>
                <c:pt idx="450">
                  <c:v>323593.65692962846</c:v>
                </c:pt>
                <c:pt idx="451">
                  <c:v>331131.12148259126</c:v>
                </c:pt>
                <c:pt idx="452">
                  <c:v>338844.15613920329</c:v>
                </c:pt>
                <c:pt idx="453">
                  <c:v>346736.85045253241</c:v>
                </c:pt>
                <c:pt idx="454">
                  <c:v>354813.38923357555</c:v>
                </c:pt>
                <c:pt idx="455">
                  <c:v>363078.05477010203</c:v>
                </c:pt>
                <c:pt idx="456">
                  <c:v>371535.2290971732</c:v>
                </c:pt>
                <c:pt idx="457">
                  <c:v>380189.39632056188</c:v>
                </c:pt>
                <c:pt idx="458">
                  <c:v>389045.14499428123</c:v>
                </c:pt>
                <c:pt idx="459">
                  <c:v>398107.17055349716</c:v>
                </c:pt>
                <c:pt idx="460">
                  <c:v>407380.27780411334</c:v>
                </c:pt>
                <c:pt idx="461">
                  <c:v>416869.38347033598</c:v>
                </c:pt>
                <c:pt idx="462">
                  <c:v>426579.51880159322</c:v>
                </c:pt>
                <c:pt idx="463">
                  <c:v>436515.83224016649</c:v>
                </c:pt>
                <c:pt idx="464">
                  <c:v>446683.59215096442</c:v>
                </c:pt>
                <c:pt idx="465">
                  <c:v>457088.18961487547</c:v>
                </c:pt>
                <c:pt idx="466">
                  <c:v>467735.14128719864</c:v>
                </c:pt>
                <c:pt idx="467">
                  <c:v>478630.09232263872</c:v>
                </c:pt>
                <c:pt idx="468">
                  <c:v>489778.81936844654</c:v>
                </c:pt>
                <c:pt idx="469">
                  <c:v>501187.23362727347</c:v>
                </c:pt>
                <c:pt idx="470">
                  <c:v>512861.38399136515</c:v>
                </c:pt>
                <c:pt idx="471">
                  <c:v>524807.46024977288</c:v>
                </c:pt>
                <c:pt idx="472">
                  <c:v>537031.7963702539</c:v>
                </c:pt>
                <c:pt idx="473">
                  <c:v>549540.87385762564</c:v>
                </c:pt>
                <c:pt idx="474">
                  <c:v>562341.32519035018</c:v>
                </c:pt>
                <c:pt idx="475">
                  <c:v>575439.93733715697</c:v>
                </c:pt>
                <c:pt idx="476">
                  <c:v>588843.65535558888</c:v>
                </c:pt>
                <c:pt idx="477">
                  <c:v>602559.58607435878</c:v>
                </c:pt>
                <c:pt idx="478">
                  <c:v>616595.00186148309</c:v>
                </c:pt>
                <c:pt idx="479">
                  <c:v>630957.34448019415</c:v>
                </c:pt>
                <c:pt idx="480">
                  <c:v>645654.22903465747</c:v>
                </c:pt>
                <c:pt idx="481">
                  <c:v>660693.44800759677</c:v>
                </c:pt>
                <c:pt idx="482">
                  <c:v>676082.97539198259</c:v>
                </c:pt>
                <c:pt idx="483">
                  <c:v>691830.97091893724</c:v>
                </c:pt>
                <c:pt idx="484">
                  <c:v>707945.78438413853</c:v>
                </c:pt>
                <c:pt idx="485">
                  <c:v>724435.96007499192</c:v>
                </c:pt>
                <c:pt idx="486">
                  <c:v>741310.24130091805</c:v>
                </c:pt>
                <c:pt idx="487">
                  <c:v>758577.57502918423</c:v>
                </c:pt>
                <c:pt idx="488">
                  <c:v>776247.11662869214</c:v>
                </c:pt>
                <c:pt idx="489">
                  <c:v>794328.23472428333</c:v>
                </c:pt>
                <c:pt idx="490">
                  <c:v>812830.51616410096</c:v>
                </c:pt>
                <c:pt idx="491">
                  <c:v>831763.77110267128</c:v>
                </c:pt>
                <c:pt idx="492">
                  <c:v>851138.03820237669</c:v>
                </c:pt>
                <c:pt idx="493">
                  <c:v>870963.58995608077</c:v>
                </c:pt>
                <c:pt idx="494">
                  <c:v>891250.93813374708</c:v>
                </c:pt>
                <c:pt idx="495">
                  <c:v>912010.83935591124</c:v>
                </c:pt>
                <c:pt idx="496">
                  <c:v>933254.30079699249</c:v>
                </c:pt>
                <c:pt idx="497">
                  <c:v>954992.58602143743</c:v>
                </c:pt>
                <c:pt idx="498">
                  <c:v>977237.22095581202</c:v>
                </c:pt>
                <c:pt idx="499">
                  <c:v>1000000</c:v>
                </c:pt>
                <c:pt idx="500">
                  <c:v>1023292.9922807553</c:v>
                </c:pt>
                <c:pt idx="501">
                  <c:v>1047128.5480509007</c:v>
                </c:pt>
                <c:pt idx="502">
                  <c:v>1071519.3052376076</c:v>
                </c:pt>
                <c:pt idx="503">
                  <c:v>1096478.196143186</c:v>
                </c:pt>
                <c:pt idx="504">
                  <c:v>1122018.4543019643</c:v>
                </c:pt>
                <c:pt idx="505">
                  <c:v>1148153.6214968837</c:v>
                </c:pt>
                <c:pt idx="506">
                  <c:v>1174897.5549395324</c:v>
                </c:pt>
                <c:pt idx="507">
                  <c:v>1202264.4346174158</c:v>
                </c:pt>
                <c:pt idx="508">
                  <c:v>1230268.770812382</c:v>
                </c:pt>
                <c:pt idx="509">
                  <c:v>1258925.4117941677</c:v>
                </c:pt>
                <c:pt idx="510">
                  <c:v>1288249.5516931366</c:v>
                </c:pt>
                <c:pt idx="511">
                  <c:v>1318256.7385564097</c:v>
                </c:pt>
                <c:pt idx="512">
                  <c:v>1348962.8825916562</c:v>
                </c:pt>
                <c:pt idx="513">
                  <c:v>1380384.2646028849</c:v>
                </c:pt>
                <c:pt idx="514">
                  <c:v>1412537.5446227565</c:v>
                </c:pt>
                <c:pt idx="515">
                  <c:v>1445439.7707459298</c:v>
                </c:pt>
                <c:pt idx="516">
                  <c:v>1479108.3881682095</c:v>
                </c:pt>
                <c:pt idx="517">
                  <c:v>1513561.2484362102</c:v>
                </c:pt>
                <c:pt idx="518">
                  <c:v>1548816.6189124861</c:v>
                </c:pt>
                <c:pt idx="519">
                  <c:v>1584893.1924611153</c:v>
                </c:pt>
                <c:pt idx="520">
                  <c:v>1621810.0973589318</c:v>
                </c:pt>
                <c:pt idx="521">
                  <c:v>1659586.9074375622</c:v>
                </c:pt>
                <c:pt idx="522">
                  <c:v>1698243.6524617488</c:v>
                </c:pt>
                <c:pt idx="523">
                  <c:v>1737800.8287493798</c:v>
                </c:pt>
                <c:pt idx="524">
                  <c:v>1778279.4100389241</c:v>
                </c:pt>
                <c:pt idx="525">
                  <c:v>1819700.8586099846</c:v>
                </c:pt>
                <c:pt idx="526">
                  <c:v>1862087.1366628683</c:v>
                </c:pt>
                <c:pt idx="527">
                  <c:v>1905460.7179632513</c:v>
                </c:pt>
                <c:pt idx="528">
                  <c:v>1949844.5997580495</c:v>
                </c:pt>
                <c:pt idx="529">
                  <c:v>1995262.31496888</c:v>
                </c:pt>
                <c:pt idx="530">
                  <c:v>2041737.9446695296</c:v>
                </c:pt>
                <c:pt idx="531">
                  <c:v>2089296.1308540432</c:v>
                </c:pt>
                <c:pt idx="532">
                  <c:v>2137962.0895022359</c:v>
                </c:pt>
                <c:pt idx="533">
                  <c:v>2187761.6239495561</c:v>
                </c:pt>
                <c:pt idx="534">
                  <c:v>2238721.1385683389</c:v>
                </c:pt>
                <c:pt idx="535">
                  <c:v>2290867.6527677765</c:v>
                </c:pt>
                <c:pt idx="536">
                  <c:v>2344228.8153199251</c:v>
                </c:pt>
                <c:pt idx="537">
                  <c:v>2398832.9190194933</c:v>
                </c:pt>
                <c:pt idx="538">
                  <c:v>2454708.915685033</c:v>
                </c:pt>
                <c:pt idx="539">
                  <c:v>2511886.431509587</c:v>
                </c:pt>
                <c:pt idx="540">
                  <c:v>2570395.782768866</c:v>
                </c:pt>
                <c:pt idx="541">
                  <c:v>2630267.9918953842</c:v>
                </c:pt>
              </c:numCache>
            </c:numRef>
          </c:xVal>
          <c:yVal>
            <c:numRef>
              <c:f>Loop_Modeling!$BG$19:$BG$560</c:f>
              <c:numCache>
                <c:formatCode>0.000</c:formatCode>
                <c:ptCount val="542"/>
                <c:pt idx="0">
                  <c:v>63.264809055684424</c:v>
                </c:pt>
                <c:pt idx="1">
                  <c:v>63.064778119697287</c:v>
                </c:pt>
                <c:pt idx="2">
                  <c:v>62.864745726156606</c:v>
                </c:pt>
                <c:pt idx="3">
                  <c:v>62.664711806409855</c:v>
                </c:pt>
                <c:pt idx="4">
                  <c:v>62.464676288573145</c:v>
                </c:pt>
                <c:pt idx="5">
                  <c:v>62.264639097378748</c:v>
                </c:pt>
                <c:pt idx="6">
                  <c:v>62.064600154016595</c:v>
                </c:pt>
                <c:pt idx="7">
                  <c:v>61.864559375967225</c:v>
                </c:pt>
                <c:pt idx="8">
                  <c:v>61.664516676827901</c:v>
                </c:pt>
                <c:pt idx="9">
                  <c:v>61.464471966129949</c:v>
                </c:pt>
                <c:pt idx="10">
                  <c:v>61.264425149147719</c:v>
                </c:pt>
                <c:pt idx="11">
                  <c:v>61.064376126698633</c:v>
                </c:pt>
                <c:pt idx="12">
                  <c:v>60.86432479493358</c:v>
                </c:pt>
                <c:pt idx="13">
                  <c:v>60.66427104511849</c:v>
                </c:pt>
                <c:pt idx="14">
                  <c:v>60.464214763404172</c:v>
                </c:pt>
                <c:pt idx="15">
                  <c:v>60.264155830586631</c:v>
                </c:pt>
                <c:pt idx="16">
                  <c:v>60.064094121855476</c:v>
                </c:pt>
                <c:pt idx="17">
                  <c:v>59.864029506531089</c:v>
                </c:pt>
                <c:pt idx="18">
                  <c:v>59.663961847788968</c:v>
                </c:pt>
                <c:pt idx="19">
                  <c:v>59.463891002371689</c:v>
                </c:pt>
                <c:pt idx="20">
                  <c:v>59.263816820287154</c:v>
                </c:pt>
                <c:pt idx="21">
                  <c:v>59.063739144492587</c:v>
                </c:pt>
                <c:pt idx="22">
                  <c:v>58.863657810564547</c:v>
                </c:pt>
                <c:pt idx="23">
                  <c:v>58.663572646352485</c:v>
                </c:pt>
                <c:pt idx="24">
                  <c:v>58.463483471616925</c:v>
                </c:pt>
                <c:pt idx="25">
                  <c:v>58.263390097650706</c:v>
                </c:pt>
                <c:pt idx="26">
                  <c:v>58.063292326882404</c:v>
                </c:pt>
                <c:pt idx="27">
                  <c:v>57.863189952461184</c:v>
                </c:pt>
                <c:pt idx="28">
                  <c:v>57.663082757822828</c:v>
                </c:pt>
                <c:pt idx="29">
                  <c:v>57.462970516235224</c:v>
                </c:pt>
                <c:pt idx="30">
                  <c:v>57.262852990322912</c:v>
                </c:pt>
                <c:pt idx="31">
                  <c:v>57.062729931569493</c:v>
                </c:pt>
                <c:pt idx="32">
                  <c:v>56.862601079796974</c:v>
                </c:pt>
                <c:pt idx="33">
                  <c:v>56.662466162621257</c:v>
                </c:pt>
                <c:pt idx="34">
                  <c:v>56.462324894881874</c:v>
                </c:pt>
                <c:pt idx="35">
                  <c:v>56.262176978046156</c:v>
                </c:pt>
                <c:pt idx="36">
                  <c:v>56.062022099585171</c:v>
                </c:pt>
                <c:pt idx="37">
                  <c:v>55.861859932321281</c:v>
                </c:pt>
                <c:pt idx="38">
                  <c:v>55.661690133745225</c:v>
                </c:pt>
                <c:pt idx="39">
                  <c:v>55.46151234530231</c:v>
                </c:pt>
                <c:pt idx="40">
                  <c:v>55.261326191645566</c:v>
                </c:pt>
                <c:pt idx="41">
                  <c:v>55.061131279854074</c:v>
                </c:pt>
                <c:pt idx="42">
                  <c:v>54.86092719861648</c:v>
                </c:pt>
                <c:pt idx="43">
                  <c:v>54.66071351737579</c:v>
                </c:pt>
                <c:pt idx="44">
                  <c:v>54.460489785436451</c:v>
                </c:pt>
                <c:pt idx="45">
                  <c:v>54.260255531029429</c:v>
                </c:pt>
                <c:pt idx="46">
                  <c:v>54.060010260335368</c:v>
                </c:pt>
                <c:pt idx="47">
                  <c:v>53.859753456462876</c:v>
                </c:pt>
                <c:pt idx="48">
                  <c:v>53.659484578380528</c:v>
                </c:pt>
                <c:pt idx="49">
                  <c:v>53.45920305980048</c:v>
                </c:pt>
                <c:pt idx="50">
                  <c:v>53.258908308011073</c:v>
                </c:pt>
                <c:pt idx="51">
                  <c:v>53.058599702657133</c:v>
                </c:pt>
                <c:pt idx="52">
                  <c:v>52.85827659446511</c:v>
                </c:pt>
                <c:pt idx="53">
                  <c:v>52.657938303910441</c:v>
                </c:pt>
                <c:pt idx="54">
                  <c:v>52.457584119825526</c:v>
                </c:pt>
                <c:pt idx="55">
                  <c:v>52.257213297944929</c:v>
                </c:pt>
                <c:pt idx="56">
                  <c:v>52.056825059385396</c:v>
                </c:pt>
                <c:pt idx="57">
                  <c:v>51.856418589059331</c:v>
                </c:pt>
                <c:pt idx="58">
                  <c:v>51.655993034015339</c:v>
                </c:pt>
                <c:pt idx="59">
                  <c:v>51.455547501707386</c:v>
                </c:pt>
                <c:pt idx="60">
                  <c:v>51.255081058186548</c:v>
                </c:pt>
                <c:pt idx="61">
                  <c:v>51.054592726212668</c:v>
                </c:pt>
                <c:pt idx="62">
                  <c:v>50.854081483283622</c:v>
                </c:pt>
                <c:pt idx="63">
                  <c:v>50.653546259578562</c:v>
                </c:pt>
                <c:pt idx="64">
                  <c:v>50.45298593581024</c:v>
                </c:pt>
                <c:pt idx="65">
                  <c:v>50.252399340985406</c:v>
                </c:pt>
                <c:pt idx="66">
                  <c:v>50.051785250067752</c:v>
                </c:pt>
                <c:pt idx="67">
                  <c:v>49.851142381539937</c:v>
                </c:pt>
                <c:pt idx="68">
                  <c:v>49.650469394861375</c:v>
                </c:pt>
                <c:pt idx="69">
                  <c:v>49.449764887817921</c:v>
                </c:pt>
                <c:pt idx="70">
                  <c:v>49.249027393758098</c:v>
                </c:pt>
                <c:pt idx="71">
                  <c:v>49.048255378713748</c:v>
                </c:pt>
                <c:pt idx="72">
                  <c:v>48.847447238399269</c:v>
                </c:pt>
                <c:pt idx="73">
                  <c:v>48.64660129508546</c:v>
                </c:pt>
                <c:pt idx="74">
                  <c:v>48.445715794344501</c:v>
                </c:pt>
                <c:pt idx="75">
                  <c:v>48.244788901660456</c:v>
                </c:pt>
                <c:pt idx="76">
                  <c:v>48.043818698901276</c:v>
                </c:pt>
                <c:pt idx="77">
                  <c:v>47.842803180648218</c:v>
                </c:pt>
                <c:pt idx="78">
                  <c:v>47.64174025037687</c:v>
                </c:pt>
                <c:pt idx="79">
                  <c:v>47.440627716486965</c:v>
                </c:pt>
                <c:pt idx="80">
                  <c:v>47.239463288174591</c:v>
                </c:pt>
                <c:pt idx="81">
                  <c:v>47.03824457114321</c:v>
                </c:pt>
                <c:pt idx="82">
                  <c:v>46.836969063148779</c:v>
                </c:pt>
                <c:pt idx="83">
                  <c:v>46.635634149374432</c:v>
                </c:pt>
                <c:pt idx="84">
                  <c:v>46.434237097630302</c:v>
                </c:pt>
                <c:pt idx="85">
                  <c:v>46.232775053374084</c:v>
                </c:pt>
                <c:pt idx="86">
                  <c:v>46.031245034548512</c:v>
                </c:pt>
                <c:pt idx="87">
                  <c:v>45.829643926231213</c:v>
                </c:pt>
                <c:pt idx="88">
                  <c:v>45.627968475094548</c:v>
                </c:pt>
                <c:pt idx="89">
                  <c:v>45.426215283669073</c:v>
                </c:pt>
                <c:pt idx="90">
                  <c:v>45.224380804412178</c:v>
                </c:pt>
                <c:pt idx="91">
                  <c:v>45.022461333573844</c:v>
                </c:pt>
                <c:pt idx="92">
                  <c:v>44.820453004861413</c:v>
                </c:pt>
                <c:pt idx="93">
                  <c:v>44.618351782898827</c:v>
                </c:pt>
                <c:pt idx="94">
                  <c:v>44.416153456481375</c:v>
                </c:pt>
                <c:pt idx="95">
                  <c:v>44.213853631622456</c:v>
                </c:pt>
                <c:pt idx="96">
                  <c:v>44.011447724395794</c:v>
                </c:pt>
                <c:pt idx="97">
                  <c:v>43.808930953571441</c:v>
                </c:pt>
                <c:pt idx="98">
                  <c:v>43.60629833304845</c:v>
                </c:pt>
                <c:pt idx="99">
                  <c:v>43.40354466408818</c:v>
                </c:pt>
                <c:pt idx="100">
                  <c:v>43.200664527349701</c:v>
                </c:pt>
                <c:pt idx="101">
                  <c:v>42.997652274736197</c:v>
                </c:pt>
                <c:pt idx="102">
                  <c:v>42.794502021055443</c:v>
                </c:pt>
                <c:pt idx="103">
                  <c:v>42.591207635506116</c:v>
                </c:pt>
                <c:pt idx="104">
                  <c:v>42.3877627329977</c:v>
                </c:pt>
                <c:pt idx="105">
                  <c:v>42.184160665317066</c:v>
                </c:pt>
                <c:pt idx="106">
                  <c:v>41.980394512155797</c:v>
                </c:pt>
                <c:pt idx="107">
                  <c:v>41.776457072014011</c:v>
                </c:pt>
                <c:pt idx="108">
                  <c:v>41.572340853000647</c:v>
                </c:pt>
                <c:pt idx="109">
                  <c:v>41.368038063550117</c:v>
                </c:pt>
                <c:pt idx="110">
                  <c:v>41.163540603081906</c:v>
                </c:pt>
                <c:pt idx="111">
                  <c:v>40.958840052628204</c:v>
                </c:pt>
                <c:pt idx="112">
                  <c:v>40.753927665462982</c:v>
                </c:pt>
                <c:pt idx="113">
                  <c:v>40.548794357765829</c:v>
                </c:pt>
                <c:pt idx="114">
                  <c:v>40.343430699358713</c:v>
                </c:pt>
                <c:pt idx="115">
                  <c:v>40.137826904559802</c:v>
                </c:pt>
                <c:pt idx="116">
                  <c:v>39.931972823201029</c:v>
                </c:pt>
                <c:pt idx="117">
                  <c:v>39.725857931860261</c:v>
                </c:pt>
                <c:pt idx="118">
                  <c:v>39.519471325367363</c:v>
                </c:pt>
                <c:pt idx="119">
                  <c:v>39.312801708644287</c:v>
                </c:pt>
                <c:pt idx="120">
                  <c:v>39.105837388948935</c:v>
                </c:pt>
                <c:pt idx="121">
                  <c:v>38.898566268595488</c:v>
                </c:pt>
                <c:pt idx="122">
                  <c:v>38.690975838232362</c:v>
                </c:pt>
                <c:pt idx="123">
                  <c:v>38.483053170762958</c:v>
                </c:pt>
                <c:pt idx="124">
                  <c:v>38.274784916004087</c:v>
                </c:pt>
                <c:pt idx="125">
                  <c:v>38.066157296179995</c:v>
                </c:pt>
                <c:pt idx="126">
                  <c:v>37.857156102361053</c:v>
                </c:pt>
                <c:pt idx="127">
                  <c:v>37.647766691959802</c:v>
                </c:pt>
                <c:pt idx="128">
                  <c:v>37.437973987406458</c:v>
                </c:pt>
                <c:pt idx="129">
                  <c:v>37.227762476132028</c:v>
                </c:pt>
                <c:pt idx="130">
                  <c:v>37.017116211995905</c:v>
                </c:pt>
                <c:pt idx="131">
                  <c:v>36.806018818298952</c:v>
                </c:pt>
                <c:pt idx="132">
                  <c:v>36.594453492534043</c:v>
                </c:pt>
                <c:pt idx="133">
                  <c:v>36.382403013028494</c:v>
                </c:pt>
                <c:pt idx="134">
                  <c:v>36.169849747641869</c:v>
                </c:pt>
                <c:pt idx="135">
                  <c:v>35.956775664686404</c:v>
                </c:pt>
                <c:pt idx="136">
                  <c:v>35.743162346242954</c:v>
                </c:pt>
                <c:pt idx="137">
                  <c:v>35.528991004049018</c:v>
                </c:pt>
                <c:pt idx="138">
                  <c:v>35.314242498138206</c:v>
                </c:pt>
                <c:pt idx="139">
                  <c:v>35.098897358413346</c:v>
                </c:pt>
                <c:pt idx="140">
                  <c:v>34.88293580933238</c:v>
                </c:pt>
                <c:pt idx="141">
                  <c:v>34.666337797890449</c:v>
                </c:pt>
                <c:pt idx="142">
                  <c:v>34.449083025072021</c:v>
                </c:pt>
                <c:pt idx="143">
                  <c:v>34.231150980948087</c:v>
                </c:pt>
                <c:pt idx="144">
                  <c:v>34.012520983579783</c:v>
                </c:pt>
                <c:pt idx="145">
                  <c:v>33.793172221885563</c:v>
                </c:pt>
                <c:pt idx="146">
                  <c:v>33.57308380261226</c:v>
                </c:pt>
                <c:pt idx="147">
                  <c:v>33.35223480153693</c:v>
                </c:pt>
                <c:pt idx="148">
                  <c:v>33.130604319007972</c:v>
                </c:pt>
                <c:pt idx="149">
                  <c:v>32.908171539909226</c:v>
                </c:pt>
                <c:pt idx="150">
                  <c:v>32.684915798110325</c:v>
                </c:pt>
                <c:pt idx="151">
                  <c:v>32.460816645432303</c:v>
                </c:pt>
                <c:pt idx="152">
                  <c:v>32.235853925127891</c:v>
                </c:pt>
                <c:pt idx="153">
                  <c:v>32.010007849839816</c:v>
                </c:pt>
                <c:pt idx="154">
                  <c:v>31.783259083958029</c:v>
                </c:pt>
                <c:pt idx="155">
                  <c:v>31.55558883025504</c:v>
                </c:pt>
                <c:pt idx="156">
                  <c:v>31.326978920631081</c:v>
                </c:pt>
                <c:pt idx="157">
                  <c:v>31.097411910749315</c:v>
                </c:pt>
                <c:pt idx="158">
                  <c:v>30.866871178288836</c:v>
                </c:pt>
                <c:pt idx="159">
                  <c:v>30.63534102448779</c:v>
                </c:pt>
                <c:pt idx="160">
                  <c:v>30.402806778587582</c:v>
                </c:pt>
                <c:pt idx="161">
                  <c:v>30.169254904735109</c:v>
                </c:pt>
                <c:pt idx="162">
                  <c:v>29.934673110832723</c:v>
                </c:pt>
                <c:pt idx="163">
                  <c:v>29.699050458771037</c:v>
                </c:pt>
                <c:pt idx="164">
                  <c:v>29.462377475414506</c:v>
                </c:pt>
                <c:pt idx="165">
                  <c:v>29.224646263655604</c:v>
                </c:pt>
                <c:pt idx="166">
                  <c:v>28.985850612794366</c:v>
                </c:pt>
                <c:pt idx="167">
                  <c:v>28.745986107449912</c:v>
                </c:pt>
                <c:pt idx="168">
                  <c:v>28.505050234161736</c:v>
                </c:pt>
                <c:pt idx="169">
                  <c:v>28.263042484798376</c:v>
                </c:pt>
                <c:pt idx="170">
                  <c:v>28.019964455853973</c:v>
                </c:pt>
                <c:pt idx="171">
                  <c:v>27.775819942689154</c:v>
                </c:pt>
                <c:pt idx="172">
                  <c:v>27.530615027753633</c:v>
                </c:pt>
                <c:pt idx="173">
                  <c:v>27.284358161817657</c:v>
                </c:pt>
                <c:pt idx="174">
                  <c:v>27.037060237248141</c:v>
                </c:pt>
                <c:pt idx="175">
                  <c:v>26.788734652373204</c:v>
                </c:pt>
                <c:pt idx="176">
                  <c:v>26.539397366010014</c:v>
                </c:pt>
                <c:pt idx="177">
                  <c:v>26.289066941267304</c:v>
                </c:pt>
                <c:pt idx="178">
                  <c:v>26.037764577788195</c:v>
                </c:pt>
                <c:pt idx="179">
                  <c:v>25.785514131659259</c:v>
                </c:pt>
                <c:pt idx="180">
                  <c:v>25.532342122292874</c:v>
                </c:pt>
                <c:pt idx="181">
                  <c:v>25.278277725677111</c:v>
                </c:pt>
                <c:pt idx="182">
                  <c:v>25.023352753486545</c:v>
                </c:pt>
                <c:pt idx="183">
                  <c:v>24.767601617659842</c:v>
                </c:pt>
                <c:pt idx="184">
                  <c:v>24.511061280170161</c:v>
                </c:pt>
                <c:pt idx="185">
                  <c:v>24.253771187839341</c:v>
                </c:pt>
                <c:pt idx="186">
                  <c:v>23.995773192186405</c:v>
                </c:pt>
                <c:pt idx="187">
                  <c:v>23.737111454435361</c:v>
                </c:pt>
                <c:pt idx="188">
                  <c:v>23.477832335953501</c:v>
                </c:pt>
                <c:pt idx="189">
                  <c:v>23.217984274531617</c:v>
                </c:pt>
                <c:pt idx="190">
                  <c:v>22.957617647063636</c:v>
                </c:pt>
                <c:pt idx="191">
                  <c:v>22.696784619319928</c:v>
                </c:pt>
                <c:pt idx="192">
                  <c:v>22.435538983645106</c:v>
                </c:pt>
                <c:pt idx="193">
                  <c:v>22.17393598554056</c:v>
                </c:pt>
                <c:pt idx="194">
                  <c:v>21.912032140207675</c:v>
                </c:pt>
                <c:pt idx="195">
                  <c:v>21.649885040242825</c:v>
                </c:pt>
                <c:pt idx="196">
                  <c:v>21.387553155765936</c:v>
                </c:pt>
                <c:pt idx="197">
                  <c:v>21.125095628353868</c:v>
                </c:pt>
                <c:pt idx="198">
                  <c:v>20.862572060215136</c:v>
                </c:pt>
                <c:pt idx="199">
                  <c:v>20.60004230009698</c:v>
                </c:pt>
                <c:pt idx="200">
                  <c:v>20.337566227453998</c:v>
                </c:pt>
                <c:pt idx="201">
                  <c:v>20.075203536424439</c:v>
                </c:pt>
                <c:pt idx="202">
                  <c:v>19.813013521164578</c:v>
                </c:pt>
                <c:pt idx="203">
                  <c:v>19.551054864075471</c:v>
                </c:pt>
                <c:pt idx="204">
                  <c:v>19.289385428425124</c:v>
                </c:pt>
                <c:pt idx="205">
                  <c:v>19.028062056817266</c:v>
                </c:pt>
                <c:pt idx="206">
                  <c:v>18.767140376897487</c:v>
                </c:pt>
                <c:pt idx="207">
                  <c:v>18.506674615601458</c:v>
                </c:pt>
                <c:pt idx="208">
                  <c:v>18.246717423162231</c:v>
                </c:pt>
                <c:pt idx="209">
                  <c:v>17.987319707982266</c:v>
                </c:pt>
                <c:pt idx="210">
                  <c:v>17.728530483360924</c:v>
                </c:pt>
                <c:pt idx="211">
                  <c:v>17.470396726943903</c:v>
                </c:pt>
                <c:pt idx="212">
                  <c:v>17.212963253622505</c:v>
                </c:pt>
                <c:pt idx="213">
                  <c:v>16.956272602476673</c:v>
                </c:pt>
                <c:pt idx="214">
                  <c:v>16.700364938212289</c:v>
                </c:pt>
                <c:pt idx="215">
                  <c:v>16.445277967397228</c:v>
                </c:pt>
                <c:pt idx="216">
                  <c:v>16.191046869662177</c:v>
                </c:pt>
                <c:pt idx="217">
                  <c:v>15.937704243887714</c:v>
                </c:pt>
                <c:pt idx="218">
                  <c:v>15.685280069267067</c:v>
                </c:pt>
                <c:pt idx="219">
                  <c:v>15.433801681000109</c:v>
                </c:pt>
                <c:pt idx="220">
                  <c:v>15.18329376025606</c:v>
                </c:pt>
                <c:pt idx="221">
                  <c:v>14.933778337926737</c:v>
                </c:pt>
                <c:pt idx="222">
                  <c:v>14.685274811588187</c:v>
                </c:pt>
                <c:pt idx="223">
                  <c:v>14.437799975001155</c:v>
                </c:pt>
                <c:pt idx="224">
                  <c:v>14.191368059394909</c:v>
                </c:pt>
                <c:pt idx="225">
                  <c:v>13.945990785716294</c:v>
                </c:pt>
                <c:pt idx="226">
                  <c:v>13.70167742696837</c:v>
                </c:pt>
                <c:pt idx="227">
                  <c:v>13.45843487972135</c:v>
                </c:pt>
                <c:pt idx="228">
                  <c:v>13.216267743849459</c:v>
                </c:pt>
                <c:pt idx="229">
                  <c:v>12.975178409528246</c:v>
                </c:pt>
                <c:pt idx="230">
                  <c:v>12.735167150524326</c:v>
                </c:pt>
                <c:pt idx="231">
                  <c:v>12.496232222810992</c:v>
                </c:pt>
                <c:pt idx="232">
                  <c:v>12.25836996756035</c:v>
                </c:pt>
                <c:pt idx="233">
                  <c:v>12.021574917589156</c:v>
                </c:pt>
                <c:pt idx="234">
                  <c:v>11.78583990636392</c:v>
                </c:pt>
                <c:pt idx="235">
                  <c:v>11.551156178715482</c:v>
                </c:pt>
                <c:pt idx="236">
                  <c:v>11.317513502456208</c:v>
                </c:pt>
                <c:pt idx="237">
                  <c:v>11.084900280146297</c:v>
                </c:pt>
                <c:pt idx="238">
                  <c:v>10.853303660309203</c:v>
                </c:pt>
                <c:pt idx="239">
                  <c:v>10.622709647454208</c:v>
                </c:pt>
                <c:pt idx="240">
                  <c:v>10.393103210325357</c:v>
                </c:pt>
                <c:pt idx="241">
                  <c:v>10.164468387854921</c:v>
                </c:pt>
                <c:pt idx="242">
                  <c:v>9.9367883923612208</c:v>
                </c:pt>
                <c:pt idx="243">
                  <c:v>9.7100457095902009</c:v>
                </c:pt>
                <c:pt idx="244">
                  <c:v>9.4842221952592922</c:v>
                </c:pt>
                <c:pt idx="245">
                  <c:v>9.2592991678187122</c:v>
                </c:pt>
                <c:pt idx="246">
                  <c:v>9.0352574971985185</c:v>
                </c:pt>
                <c:pt idx="247">
                  <c:v>8.8120776893627522</c:v>
                </c:pt>
                <c:pt idx="248">
                  <c:v>8.5897399665388932</c:v>
                </c:pt>
                <c:pt idx="249">
                  <c:v>8.368224343035525</c:v>
                </c:pt>
                <c:pt idx="250">
                  <c:v>8.1475106966026498</c:v>
                </c:pt>
                <c:pt idx="251">
                  <c:v>7.9275788353270338</c:v>
                </c:pt>
                <c:pt idx="252">
                  <c:v>7.7084085600858145</c:v>
                </c:pt>
                <c:pt idx="253">
                  <c:v>7.4899797226162965</c:v>
                </c:pt>
                <c:pt idx="254">
                  <c:v>7.2722722792812231</c:v>
                </c:pt>
                <c:pt idx="255">
                  <c:v>7.0552663406348675</c:v>
                </c:pt>
                <c:pt idx="256">
                  <c:v>6.8389422169145977</c:v>
                </c:pt>
                <c:pt idx="257">
                  <c:v>6.623280459596339</c:v>
                </c:pt>
                <c:pt idx="258">
                  <c:v>6.4082618991690889</c:v>
                </c:pt>
                <c:pt idx="259">
                  <c:v>6.1938676792922367</c:v>
                </c:pt>
                <c:pt idx="260">
                  <c:v>5.980079287507964</c:v>
                </c:pt>
                <c:pt idx="261">
                  <c:v>5.7668785826858233</c:v>
                </c:pt>
                <c:pt idx="262">
                  <c:v>5.5542478193829856</c:v>
                </c:pt>
                <c:pt idx="263">
                  <c:v>5.3421696693011702</c:v>
                </c:pt>
                <c:pt idx="264">
                  <c:v>5.1306272400257456</c:v>
                </c:pt>
                <c:pt idx="265">
                  <c:v>4.9196040912270229</c:v>
                </c:pt>
                <c:pt idx="266">
                  <c:v>4.7090842485046505</c:v>
                </c:pt>
                <c:pt idx="267">
                  <c:v>4.4990522150495336</c:v>
                </c:pt>
                <c:pt idx="268">
                  <c:v>4.2894929812942539</c:v>
                </c:pt>
                <c:pt idx="269">
                  <c:v>4.0803920327179712</c:v>
                </c:pt>
                <c:pt idx="270">
                  <c:v>3.8717353559636534</c:v>
                </c:pt>
                <c:pt idx="271">
                  <c:v>3.6635094434219457</c:v>
                </c:pt>
                <c:pt idx="272">
                  <c:v>3.4557012964262142</c:v>
                </c:pt>
                <c:pt idx="273">
                  <c:v>3.2482984271969135</c:v>
                </c:pt>
                <c:pt idx="274">
                  <c:v>3.041288859667695</c:v>
                </c:pt>
                <c:pt idx="275">
                  <c:v>2.8346611293156583</c:v>
                </c:pt>
                <c:pt idx="276">
                  <c:v>2.6284042821116871</c:v>
                </c:pt>
                <c:pt idx="277">
                  <c:v>2.4225078726995313</c:v>
                </c:pt>
                <c:pt idx="278">
                  <c:v>2.2169619619049987</c:v>
                </c:pt>
                <c:pt idx="279">
                  <c:v>2.0117571136684091</c:v>
                </c:pt>
                <c:pt idx="280">
                  <c:v>1.8068843914858881</c:v>
                </c:pt>
                <c:pt idx="281">
                  <c:v>1.6023353544413372</c:v>
                </c:pt>
                <c:pt idx="282">
                  <c:v>1.3981020528989769</c:v>
                </c:pt>
                <c:pt idx="283">
                  <c:v>1.1941770239236833</c:v>
                </c:pt>
                <c:pt idx="284">
                  <c:v>0.99055328648941421</c:v>
                </c:pt>
                <c:pt idx="285">
                  <c:v>0.78722433652747159</c:v>
                </c:pt>
                <c:pt idx="286">
                  <c:v>0.58418414186250101</c:v>
                </c:pt>
                <c:pt idx="287">
                  <c:v>0.38142713707951614</c:v>
                </c:pt>
                <c:pt idx="288">
                  <c:v>0.17894821835558772</c:v>
                </c:pt>
                <c:pt idx="289">
                  <c:v>-2.3257261711922633E-2</c:v>
                </c:pt>
                <c:pt idx="290">
                  <c:v>-0.22519349925406409</c:v>
                </c:pt>
                <c:pt idx="291">
                  <c:v>-0.42686424423641739</c:v>
                </c:pt>
                <c:pt idx="292">
                  <c:v>-0.62827280550648035</c:v>
                </c:pt>
                <c:pt idx="293">
                  <c:v>-0.82942205577116734</c:v>
                </c:pt>
                <c:pt idx="294">
                  <c:v>-1.0303144364954986</c:v>
                </c:pt>
                <c:pt idx="295">
                  <c:v>-1.2309519627239047</c:v>
                </c:pt>
                <c:pt idx="296">
                  <c:v>-1.4313362278217026</c:v>
                </c:pt>
                <c:pt idx="297">
                  <c:v>-1.6314684081445652</c:v>
                </c:pt>
                <c:pt idx="298">
                  <c:v>-1.831349267645147</c:v>
                </c:pt>
                <c:pt idx="299">
                  <c:v>-2.0309791624299853</c:v>
                </c:pt>
                <c:pt idx="300">
                  <c:v>-2.2303580452840772</c:v>
                </c:pt>
                <c:pt idx="301">
                  <c:v>-2.4294854701829163</c:v>
                </c:pt>
                <c:pt idx="302">
                  <c:v>-2.628360596817982</c:v>
                </c:pt>
                <c:pt idx="303">
                  <c:v>-2.8269821951611798</c:v>
                </c:pt>
                <c:pt idx="304">
                  <c:v>-3.0253486501000748</c:v>
                </c:pt>
                <c:pt idx="305">
                  <c:v>-3.2234579661788141</c:v>
                </c:pt>
                <c:pt idx="306">
                  <c:v>-3.421307772479842</c:v>
                </c:pt>
                <c:pt idx="307">
                  <c:v>-3.6188953276876128</c:v>
                </c:pt>
                <c:pt idx="308">
                  <c:v>-3.8162175253768864</c:v>
                </c:pt>
                <c:pt idx="309">
                  <c:v>-4.0132708995710811</c:v>
                </c:pt>
                <c:pt idx="310">
                  <c:v>-4.2100516306169258</c:v>
                </c:pt>
                <c:pt idx="311">
                  <c:v>-4.4065555514267816</c:v>
                </c:pt>
                <c:pt idx="312">
                  <c:v>-4.6027781541396182</c:v>
                </c:pt>
                <c:pt idx="313">
                  <c:v>-4.7987145972530687</c:v>
                </c:pt>
                <c:pt idx="314">
                  <c:v>-4.9943597132817636</c:v>
                </c:pt>
                <c:pt idx="315">
                  <c:v>-5.1897080169974865</c:v>
                </c:pt>
                <c:pt idx="316">
                  <c:v>-5.3847537143058064</c:v>
                </c:pt>
                <c:pt idx="317">
                  <c:v>-5.5794907118161881</c:v>
                </c:pt>
                <c:pt idx="318">
                  <c:v>-5.7739126271592136</c:v>
                </c:pt>
                <c:pt idx="319">
                  <c:v>-5.9680128001078723</c:v>
                </c:pt>
                <c:pt idx="320">
                  <c:v>-6.1617843045534411</c:v>
                </c:pt>
                <c:pt idx="321">
                  <c:v>-6.3552199613868909</c:v>
                </c:pt>
                <c:pt idx="322">
                  <c:v>-6.5483123523359055</c:v>
                </c:pt>
                <c:pt idx="323">
                  <c:v>-6.7410538347991338</c:v>
                </c:pt>
                <c:pt idx="324">
                  <c:v>-6.9334365577203876</c:v>
                </c:pt>
                <c:pt idx="325">
                  <c:v>-7.1254524785374063</c:v>
                </c:pt>
                <c:pt idx="326">
                  <c:v>-7.3170933812362353</c:v>
                </c:pt>
                <c:pt idx="327">
                  <c:v>-7.5083508955347833</c:v>
                </c:pt>
                <c:pt idx="328">
                  <c:v>-7.6992165172135207</c:v>
                </c:pt>
                <c:pt idx="329">
                  <c:v>-7.8896816296045138</c:v>
                </c:pt>
                <c:pt idx="330">
                  <c:v>-8.0797375262395494</c:v>
                </c:pt>
                <c:pt idx="331">
                  <c:v>-8.2693754346529786</c:v>
                </c:pt>
                <c:pt idx="332">
                  <c:v>-8.4585865413248058</c:v>
                </c:pt>
                <c:pt idx="333">
                  <c:v>-8.6473620177404182</c:v>
                </c:pt>
                <c:pt idx="334">
                  <c:v>-8.8356930475347681</c:v>
                </c:pt>
                <c:pt idx="335">
                  <c:v>-9.0235708546812425</c:v>
                </c:pt>
                <c:pt idx="336">
                  <c:v>-9.2109867326732271</c:v>
                </c:pt>
                <c:pt idx="337">
                  <c:v>-9.3979320746420072</c:v>
                </c:pt>
                <c:pt idx="338">
                  <c:v>-9.584398404343716</c:v>
                </c:pt>
                <c:pt idx="339">
                  <c:v>-9.7703774079430374</c:v>
                </c:pt>
                <c:pt idx="340">
                  <c:v>-9.955860966512331</c:v>
                </c:pt>
                <c:pt idx="341">
                  <c:v>-10.140841189162744</c:v>
                </c:pt>
                <c:pt idx="342">
                  <c:v>-10.325310446716635</c:v>
                </c:pt>
                <c:pt idx="343">
                  <c:v>-10.509261405830122</c:v>
                </c:pt>
                <c:pt idx="344">
                  <c:v>-10.692687063470512</c:v>
                </c:pt>
                <c:pt idx="345">
                  <c:v>-10.875580781655973</c:v>
                </c:pt>
                <c:pt idx="346">
                  <c:v>-11.05793632236254</c:v>
                </c:pt>
                <c:pt idx="347">
                  <c:v>-11.239747882509956</c:v>
                </c:pt>
                <c:pt idx="348">
                  <c:v>-11.421010128936848</c:v>
                </c:pt>
                <c:pt idx="349">
                  <c:v>-11.601718233285364</c:v>
                </c:pt>
                <c:pt idx="350">
                  <c:v>-11.781867906716393</c:v>
                </c:pt>
                <c:pt idx="351">
                  <c:v>-11.961455434386014</c:v>
                </c:pt>
                <c:pt idx="352">
                  <c:v>-12.140477709617087</c:v>
                </c:pt>
                <c:pt idx="353">
                  <c:v>-12.318932267707542</c:v>
                </c:pt>
                <c:pt idx="354">
                  <c:v>-12.496817319321543</c:v>
                </c:pt>
                <c:pt idx="355">
                  <c:v>-12.674131783414124</c:v>
                </c:pt>
                <c:pt idx="356">
                  <c:v>-12.850875319640092</c:v>
                </c:pt>
                <c:pt idx="357">
                  <c:v>-13.027048360202285</c:v>
                </c:pt>
                <c:pt idx="358">
                  <c:v>-13.202652141087059</c:v>
                </c:pt>
                <c:pt idx="359">
                  <c:v>-13.377688732634173</c:v>
                </c:pt>
                <c:pt idx="360">
                  <c:v>-13.552161069376059</c:v>
                </c:pt>
                <c:pt idx="361">
                  <c:v>-13.726072979072281</c:v>
                </c:pt>
                <c:pt idx="362">
                  <c:v>-13.899429210846563</c:v>
                </c:pt>
                <c:pt idx="363">
                  <c:v>-14.072235462318286</c:v>
                </c:pt>
                <c:pt idx="364">
                  <c:v>-14.244498405593266</c:v>
                </c:pt>
                <c:pt idx="365">
                  <c:v>-14.416225711957257</c:v>
                </c:pt>
                <c:pt idx="366">
                  <c:v>-14.587426075084426</c:v>
                </c:pt>
                <c:pt idx="367">
                  <c:v>-14.758109232545477</c:v>
                </c:pt>
                <c:pt idx="368">
                  <c:v>-14.928285985365815</c:v>
                </c:pt>
                <c:pt idx="369">
                  <c:v>-15.097968215356545</c:v>
                </c:pt>
                <c:pt idx="370">
                  <c:v>-15.267168899907768</c:v>
                </c:pt>
                <c:pt idx="371">
                  <c:v>-15.435902123907718</c:v>
                </c:pt>
                <c:pt idx="372">
                  <c:v>-15.604183088424415</c:v>
                </c:pt>
                <c:pt idx="373">
                  <c:v>-15.772028115768702</c:v>
                </c:pt>
                <c:pt idx="374">
                  <c:v>-15.939454650542206</c:v>
                </c:pt>
                <c:pt idx="375">
                  <c:v>-16.106481256264203</c:v>
                </c:pt>
                <c:pt idx="376">
                  <c:v>-16.273127607178701</c:v>
                </c:pt>
                <c:pt idx="377">
                  <c:v>-16.439414474845119</c:v>
                </c:pt>
                <c:pt idx="378">
                  <c:v>-16.605363709140978</c:v>
                </c:pt>
                <c:pt idx="379">
                  <c:v>-16.770998213334074</c:v>
                </c:pt>
                <c:pt idx="380">
                  <c:v>-16.936341912920053</c:v>
                </c:pt>
                <c:pt idx="381">
                  <c:v>-17.101419717972366</c:v>
                </c:pt>
                <c:pt idx="382">
                  <c:v>-17.266257478815831</c:v>
                </c:pt>
                <c:pt idx="383">
                  <c:v>-17.430881934898004</c:v>
                </c:pt>
                <c:pt idx="384">
                  <c:v>-17.595320656818632</c:v>
                </c:pt>
                <c:pt idx="385">
                  <c:v>-17.759601981555221</c:v>
                </c:pt>
                <c:pt idx="386">
                  <c:v>-17.92375494102026</c:v>
                </c:pt>
                <c:pt idx="387">
                  <c:v>-18.087809184174038</c:v>
                </c:pt>
                <c:pt idx="388">
                  <c:v>-18.251794893018115</c:v>
                </c:pt>
                <c:pt idx="389">
                  <c:v>-18.415742692886742</c:v>
                </c:pt>
                <c:pt idx="390">
                  <c:v>-18.57968355755051</c:v>
                </c:pt>
                <c:pt idx="391">
                  <c:v>-18.743648709731239</c:v>
                </c:pt>
                <c:pt idx="392">
                  <c:v>-18.907669517715341</c:v>
                </c:pt>
                <c:pt idx="393">
                  <c:v>-19.071777388821289</c:v>
                </c:pt>
                <c:pt idx="394">
                  <c:v>-19.23600366054335</c:v>
                </c:pt>
                <c:pt idx="395">
                  <c:v>-19.400379490246081</c:v>
                </c:pt>
                <c:pt idx="396">
                  <c:v>-19.564935744320024</c:v>
                </c:pt>
                <c:pt idx="397">
                  <c:v>-19.729702887735144</c:v>
                </c:pt>
                <c:pt idx="398">
                  <c:v>-19.894710874939307</c:v>
                </c:pt>
                <c:pt idx="399">
                  <c:v>-20.059989043041178</c:v>
                </c:pt>
                <c:pt idx="400">
                  <c:v>-20.225566008198726</c:v>
                </c:pt>
                <c:pt idx="401">
                  <c:v>-20.391469566099115</c:v>
                </c:pt>
                <c:pt idx="402">
                  <c:v>-20.557726597366937</c:v>
                </c:pt>
                <c:pt idx="403">
                  <c:v>-20.724362978678744</c:v>
                </c:pt>
                <c:pt idx="404">
                  <c:v>-20.891403500285996</c:v>
                </c:pt>
                <c:pt idx="405">
                  <c:v>-21.05887179057185</c:v>
                </c:pt>
                <c:pt idx="406">
                  <c:v>-21.226790248172144</c:v>
                </c:pt>
                <c:pt idx="407">
                  <c:v>-21.395179982098725</c:v>
                </c:pt>
                <c:pt idx="408">
                  <c:v>-21.564060760204562</c:v>
                </c:pt>
                <c:pt idx="409">
                  <c:v>-21.733450966222655</c:v>
                </c:pt>
                <c:pt idx="410">
                  <c:v>-21.903367565518167</c:v>
                </c:pt>
                <c:pt idx="411">
                  <c:v>-22.073826079581771</c:v>
                </c:pt>
                <c:pt idx="412">
                  <c:v>-22.244840569207799</c:v>
                </c:pt>
                <c:pt idx="413">
                  <c:v>-22.416423626198046</c:v>
                </c:pt>
                <c:pt idx="414">
                  <c:v>-22.588586373355184</c:v>
                </c:pt>
                <c:pt idx="415">
                  <c:v>-22.761338472446155</c:v>
                </c:pt>
                <c:pt idx="416">
                  <c:v>-22.934688139751159</c:v>
                </c:pt>
                <c:pt idx="417">
                  <c:v>-23.108642168749935</c:v>
                </c:pt>
                <c:pt idx="418">
                  <c:v>-23.283205959447262</c:v>
                </c:pt>
                <c:pt idx="419">
                  <c:v>-23.458383553801717</c:v>
                </c:pt>
                <c:pt idx="420">
                  <c:v>-23.634177676684736</c:v>
                </c:pt>
                <c:pt idx="421">
                  <c:v>-23.810589781779399</c:v>
                </c:pt>
                <c:pt idx="422">
                  <c:v>-23.987620101815637</c:v>
                </c:pt>
                <c:pt idx="423">
                  <c:v>-24.165267702531533</c:v>
                </c:pt>
                <c:pt idx="424">
                  <c:v>-24.343530539758937</c:v>
                </c:pt>
                <c:pt idx="425">
                  <c:v>-24.522405519037605</c:v>
                </c:pt>
                <c:pt idx="426">
                  <c:v>-24.701888557186216</c:v>
                </c:pt>
                <c:pt idx="427">
                  <c:v>-24.881974645274969</c:v>
                </c:pt>
                <c:pt idx="428">
                  <c:v>-25.062657912479356</c:v>
                </c:pt>
                <c:pt idx="429">
                  <c:v>-25.243931690321759</c:v>
                </c:pt>
                <c:pt idx="430">
                  <c:v>-25.425788576845108</c:v>
                </c:pt>
                <c:pt idx="431">
                  <c:v>-25.608220500300391</c:v>
                </c:pt>
                <c:pt idx="432">
                  <c:v>-25.791218781965966</c:v>
                </c:pt>
                <c:pt idx="433">
                  <c:v>-25.974774197759881</c:v>
                </c:pt>
                <c:pt idx="434">
                  <c:v>-26.158877038343455</c:v>
                </c:pt>
                <c:pt idx="435">
                  <c:v>-26.34351716745428</c:v>
                </c:pt>
                <c:pt idx="436">
                  <c:v>-26.528684078244972</c:v>
                </c:pt>
                <c:pt idx="437">
                  <c:v>-26.714366947441938</c:v>
                </c:pt>
                <c:pt idx="438">
                  <c:v>-26.900554687172008</c:v>
                </c:pt>
                <c:pt idx="439">
                  <c:v>-27.087235994339402</c:v>
                </c:pt>
                <c:pt idx="440">
                  <c:v>-27.274399397465437</c:v>
                </c:pt>
                <c:pt idx="441">
                  <c:v>-27.462033300933257</c:v>
                </c:pt>
                <c:pt idx="442">
                  <c:v>-27.650126026605484</c:v>
                </c:pt>
                <c:pt idx="443">
                  <c:v>-27.83866585280586</c:v>
                </c:pt>
                <c:pt idx="444">
                  <c:v>-28.027641050679097</c:v>
                </c:pt>
                <c:pt idx="445">
                  <c:v>-28.217039917959902</c:v>
                </c:pt>
                <c:pt idx="446">
                  <c:v>-28.406850810200616</c:v>
                </c:pt>
                <c:pt idx="447">
                  <c:v>-28.597062169519507</c:v>
                </c:pt>
                <c:pt idx="448">
                  <c:v>-28.787662550945001</c:v>
                </c:pt>
                <c:pt idx="449">
                  <c:v>-28.978640646440816</c:v>
                </c:pt>
                <c:pt idx="450">
                  <c:v>-29.169985306705012</c:v>
                </c:pt>
                <c:pt idx="451">
                  <c:v>-29.361685560842243</c:v>
                </c:pt>
                <c:pt idx="452">
                  <c:v>-29.553730634013942</c:v>
                </c:pt>
                <c:pt idx="453">
                  <c:v>-29.74610996317432</c:v>
                </c:pt>
                <c:pt idx="454">
                  <c:v>-29.938813211001012</c:v>
                </c:pt>
                <c:pt idx="455">
                  <c:v>-30.131830278132977</c:v>
                </c:pt>
                <c:pt idx="456">
                  <c:v>-30.325151313824197</c:v>
                </c:pt>
                <c:pt idx="457">
                  <c:v>-30.518766725125065</c:v>
                </c:pt>
                <c:pt idx="458">
                  <c:v>-30.712667184698045</c:v>
                </c:pt>
                <c:pt idx="459">
                  <c:v>-30.906843637374322</c:v>
                </c:pt>
                <c:pt idx="460">
                  <c:v>-31.101287305554219</c:v>
                </c:pt>
                <c:pt idx="461">
                  <c:v>-31.295989693550471</c:v>
                </c:pt>
                <c:pt idx="462">
                  <c:v>-31.490942590971763</c:v>
                </c:pt>
                <c:pt idx="463">
                  <c:v>-31.686138075237665</c:v>
                </c:pt>
                <c:pt idx="464">
                  <c:v>-31.881568513313429</c:v>
                </c:pt>
                <c:pt idx="465">
                  <c:v>-32.07722656274921</c:v>
                </c:pt>
                <c:pt idx="466">
                  <c:v>-32.273105172102589</c:v>
                </c:pt>
                <c:pt idx="467">
                  <c:v>-32.469197580821373</c:v>
                </c:pt>
                <c:pt idx="468">
                  <c:v>-32.665497318656215</c:v>
                </c:pt>
                <c:pt idx="469">
                  <c:v>-32.861998204671707</c:v>
                </c:pt>
                <c:pt idx="470">
                  <c:v>-33.058694345918489</c:v>
                </c:pt>
                <c:pt idx="471">
                  <c:v>-33.25558013582561</c:v>
                </c:pt>
                <c:pt idx="472">
                  <c:v>-33.452650252367228</c:v>
                </c:pt>
                <c:pt idx="473">
                  <c:v>-33.649899656058508</c:v>
                </c:pt>
                <c:pt idx="474">
                  <c:v>-33.84732358782518</c:v>
                </c:pt>
                <c:pt idx="475">
                  <c:v>-34.044917566792535</c:v>
                </c:pt>
                <c:pt idx="476">
                  <c:v>-34.242677388038111</c:v>
                </c:pt>
                <c:pt idx="477">
                  <c:v>-34.440599120341929</c:v>
                </c:pt>
                <c:pt idx="478">
                  <c:v>-34.638679103974411</c:v>
                </c:pt>
                <c:pt idx="479">
                  <c:v>-34.836913948552109</c:v>
                </c:pt>
                <c:pt idx="480">
                  <c:v>-35.035300530993702</c:v>
                </c:pt>
                <c:pt idx="481">
                  <c:v>-35.2338359936033</c:v>
                </c:pt>
                <c:pt idx="482">
                  <c:v>-35.432517742308541</c:v>
                </c:pt>
                <c:pt idx="483">
                  <c:v>-35.631343445075771</c:v>
                </c:pt>
                <c:pt idx="484">
                  <c:v>-35.830311030527966</c:v>
                </c:pt>
                <c:pt idx="485">
                  <c:v>-36.029418686782073</c:v>
                </c:pt>
                <c:pt idx="486">
                  <c:v>-36.228664860528426</c:v>
                </c:pt>
                <c:pt idx="487">
                  <c:v>-36.428048256368292</c:v>
                </c:pt>
                <c:pt idx="488">
                  <c:v>-36.627567836426522</c:v>
                </c:pt>
                <c:pt idx="489">
                  <c:v>-36.827222820254782</c:v>
                </c:pt>
                <c:pt idx="490">
                  <c:v>-37.027012685038876</c:v>
                </c:pt>
                <c:pt idx="491">
                  <c:v>-37.22693716612617</c:v>
                </c:pt>
                <c:pt idx="492">
                  <c:v>-37.426996257881214</c:v>
                </c:pt>
                <c:pt idx="493">
                  <c:v>-37.627190214885459</c:v>
                </c:pt>
                <c:pt idx="494">
                  <c:v>-37.827519553490646</c:v>
                </c:pt>
                <c:pt idx="495">
                  <c:v>-38.027985053734177</c:v>
                </c:pt>
                <c:pt idx="496">
                  <c:v>-38.228587761630898</c:v>
                </c:pt>
                <c:pt idx="497">
                  <c:v>-38.429328991845033</c:v>
                </c:pt>
                <c:pt idx="498">
                  <c:v>-38.630210330755453</c:v>
                </c:pt>
                <c:pt idx="499">
                  <c:v>-38.831233639920526</c:v>
                </c:pt>
                <c:pt idx="500">
                  <c:v>-39.032401059950324</c:v>
                </c:pt>
                <c:pt idx="501">
                  <c:v>-39.233715014794562</c:v>
                </c:pt>
                <c:pt idx="502">
                  <c:v>-39.435178216452115</c:v>
                </c:pt>
                <c:pt idx="503">
                  <c:v>-39.63679367010927</c:v>
                </c:pt>
                <c:pt idx="504">
                  <c:v>-39.838564679713755</c:v>
                </c:pt>
                <c:pt idx="505">
                  <c:v>-40.040494853987539</c:v>
                </c:pt>
                <c:pt idx="506">
                  <c:v>-40.242588112886857</c:v>
                </c:pt>
                <c:pt idx="507">
                  <c:v>-40.444848694511649</c:v>
                </c:pt>
                <c:pt idx="508">
                  <c:v>-40.647281162469262</c:v>
                </c:pt>
                <c:pt idx="509">
                  <c:v>-40.849890413696301</c:v>
                </c:pt>
                <c:pt idx="510">
                  <c:v>-41.052681686740826</c:v>
                </c:pt>
                <c:pt idx="511">
                  <c:v>-41.255660570507153</c:v>
                </c:pt>
                <c:pt idx="512">
                  <c:v>-41.458833013463341</c:v>
                </c:pt>
                <c:pt idx="513">
                  <c:v>-41.662205333313473</c:v>
                </c:pt>
                <c:pt idx="514">
                  <c:v>-41.865784227132316</c:v>
                </c:pt>
                <c:pt idx="515">
                  <c:v>-42.069576781959071</c:v>
                </c:pt>
                <c:pt idx="516">
                  <c:v>-42.273590485850399</c:v>
                </c:pt>
                <c:pt idx="517">
                  <c:v>-42.477833239383173</c:v>
                </c:pt>
                <c:pt idx="518">
                  <c:v>-42.682313367603967</c:v>
                </c:pt>
                <c:pt idx="519">
                  <c:v>-42.887039632414115</c:v>
                </c:pt>
                <c:pt idx="520">
                  <c:v>-43.092021245382064</c:v>
                </c:pt>
                <c:pt idx="521">
                  <c:v>-43.297267880967716</c:v>
                </c:pt>
                <c:pt idx="522">
                  <c:v>-43.50278969014618</c:v>
                </c:pt>
                <c:pt idx="523">
                  <c:v>-43.708597314410682</c:v>
                </c:pt>
                <c:pt idx="524">
                  <c:v>-43.91470190013581</c:v>
                </c:pt>
                <c:pt idx="525">
                  <c:v>-44.121115113274385</c:v>
                </c:pt>
                <c:pt idx="526">
                  <c:v>-44.327849154364536</c:v>
                </c:pt>
                <c:pt idx="527">
                  <c:v>-44.534916773810536</c:v>
                </c:pt>
                <c:pt idx="528">
                  <c:v>-44.742331287406373</c:v>
                </c:pt>
                <c:pt idx="529">
                  <c:v>-44.950106592060528</c:v>
                </c:pt>
                <c:pt idx="530">
                  <c:v>-45.158257181676731</c:v>
                </c:pt>
                <c:pt idx="531">
                  <c:v>-45.366798163143081</c:v>
                </c:pt>
                <c:pt idx="532">
                  <c:v>-45.575745272373538</c:v>
                </c:pt>
                <c:pt idx="533">
                  <c:v>-45.785114890340921</c:v>
                </c:pt>
                <c:pt idx="534">
                  <c:v>-45.994924059035959</c:v>
                </c:pt>
                <c:pt idx="535">
                  <c:v>-46.205190497278664</c:v>
                </c:pt>
                <c:pt idx="536">
                  <c:v>-46.415932616302442</c:v>
                </c:pt>
                <c:pt idx="537">
                  <c:v>-46.627169535023967</c:v>
                </c:pt>
                <c:pt idx="538">
                  <c:v>-46.838921094905508</c:v>
                </c:pt>
                <c:pt idx="539">
                  <c:v>-47.051207874307138</c:v>
                </c:pt>
                <c:pt idx="540">
                  <c:v>-47.264051202220038</c:v>
                </c:pt>
                <c:pt idx="541">
                  <c:v>-47.477473171262332</c:v>
                </c:pt>
              </c:numCache>
            </c:numRef>
          </c:yVal>
          <c:smooth val="1"/>
          <c:extLst>
            <c:ext xmlns:c16="http://schemas.microsoft.com/office/drawing/2014/chart" uri="{C3380CC4-5D6E-409C-BE32-E72D297353CC}">
              <c16:uniqueId val="{00000000-7AB1-42AA-8DBD-6D7B5452EF93}"/>
            </c:ext>
          </c:extLst>
        </c:ser>
        <c:dLbls>
          <c:showLegendKey val="0"/>
          <c:showVal val="0"/>
          <c:showCatName val="0"/>
          <c:showSerName val="0"/>
          <c:showPercent val="0"/>
          <c:showBubbleSize val="0"/>
        </c:dLbls>
        <c:axId val="365455232"/>
        <c:axId val="365465600"/>
      </c:scatterChart>
      <c:scatterChart>
        <c:scatterStyle val="smoothMarker"/>
        <c:varyColors val="0"/>
        <c:ser>
          <c:idx val="1"/>
          <c:order val="1"/>
          <c:tx>
            <c:v>Phase (deg)</c:v>
          </c:tx>
          <c:spPr>
            <a:ln w="38100">
              <a:solidFill>
                <a:schemeClr val="tx1">
                  <a:lumMod val="95000"/>
                  <a:lumOff val="5000"/>
                </a:schemeClr>
              </a:solidFill>
              <a:prstDash val="sysDash"/>
            </a:ln>
          </c:spPr>
          <c:marker>
            <c:symbol val="none"/>
          </c:marker>
          <c:xVal>
            <c:numRef>
              <c:f>Loop_Modeling!$O$19:$O$560</c:f>
              <c:numCache>
                <c:formatCode>0.00</c:formatCode>
                <c:ptCount val="542"/>
                <c:pt idx="0">
                  <c:v>10.232929922807543</c:v>
                </c:pt>
                <c:pt idx="1">
                  <c:v>10.471285480509</c:v>
                </c:pt>
                <c:pt idx="2">
                  <c:v>10.715193052376069</c:v>
                </c:pt>
                <c:pt idx="3">
                  <c:v>10.964781961431854</c:v>
                </c:pt>
                <c:pt idx="4">
                  <c:v>11.220184543019636</c:v>
                </c:pt>
                <c:pt idx="5">
                  <c:v>11.481536214968834</c:v>
                </c:pt>
                <c:pt idx="6">
                  <c:v>11.748975549395301</c:v>
                </c:pt>
                <c:pt idx="7">
                  <c:v>12.022644346174133</c:v>
                </c:pt>
                <c:pt idx="8">
                  <c:v>12.302687708123818</c:v>
                </c:pt>
                <c:pt idx="9">
                  <c:v>12.58925411794168</c:v>
                </c:pt>
                <c:pt idx="10">
                  <c:v>12.882495516931346</c:v>
                </c:pt>
                <c:pt idx="11">
                  <c:v>13.182567385564075</c:v>
                </c:pt>
                <c:pt idx="12">
                  <c:v>13.489628825916535</c:v>
                </c:pt>
                <c:pt idx="13">
                  <c:v>13.803842646028857</c:v>
                </c:pt>
                <c:pt idx="14">
                  <c:v>14.125375446227544</c:v>
                </c:pt>
                <c:pt idx="15">
                  <c:v>14.454397707459275</c:v>
                </c:pt>
                <c:pt idx="16">
                  <c:v>14.791083881682074</c:v>
                </c:pt>
                <c:pt idx="17">
                  <c:v>15.135612484362087</c:v>
                </c:pt>
                <c:pt idx="18">
                  <c:v>15.488166189124817</c:v>
                </c:pt>
                <c:pt idx="19">
                  <c:v>15.848931924611136</c:v>
                </c:pt>
                <c:pt idx="20">
                  <c:v>16.218100973589298</c:v>
                </c:pt>
                <c:pt idx="21">
                  <c:v>16.595869074375614</c:v>
                </c:pt>
                <c:pt idx="22">
                  <c:v>16.982436524617448</c:v>
                </c:pt>
                <c:pt idx="23">
                  <c:v>17.378008287493756</c:v>
                </c:pt>
                <c:pt idx="24">
                  <c:v>17.782794100389236</c:v>
                </c:pt>
                <c:pt idx="25">
                  <c:v>18.197008586099841</c:v>
                </c:pt>
                <c:pt idx="26">
                  <c:v>18.62087136662868</c:v>
                </c:pt>
                <c:pt idx="27">
                  <c:v>19.054607179632477</c:v>
                </c:pt>
                <c:pt idx="28">
                  <c:v>19.498445997580465</c:v>
                </c:pt>
                <c:pt idx="29">
                  <c:v>19.952623149688804</c:v>
                </c:pt>
                <c:pt idx="30">
                  <c:v>20.4173794466953</c:v>
                </c:pt>
                <c:pt idx="31">
                  <c:v>20.8929613085404</c:v>
                </c:pt>
                <c:pt idx="32">
                  <c:v>21.379620895022335</c:v>
                </c:pt>
                <c:pt idx="33">
                  <c:v>21.877616239495538</c:v>
                </c:pt>
                <c:pt idx="34">
                  <c:v>22.387211385683404</c:v>
                </c:pt>
                <c:pt idx="35">
                  <c:v>22.908676527677727</c:v>
                </c:pt>
                <c:pt idx="36">
                  <c:v>23.442288153199236</c:v>
                </c:pt>
                <c:pt idx="37">
                  <c:v>23.988329190194907</c:v>
                </c:pt>
                <c:pt idx="38">
                  <c:v>24.547089156850316</c:v>
                </c:pt>
                <c:pt idx="39">
                  <c:v>25.118864315095799</c:v>
                </c:pt>
                <c:pt idx="40">
                  <c:v>25.703957827688647</c:v>
                </c:pt>
                <c:pt idx="41">
                  <c:v>26.302679918953825</c:v>
                </c:pt>
                <c:pt idx="42">
                  <c:v>26.915348039269158</c:v>
                </c:pt>
                <c:pt idx="43">
                  <c:v>27.542287033381665</c:v>
                </c:pt>
                <c:pt idx="44">
                  <c:v>28.183829312644548</c:v>
                </c:pt>
                <c:pt idx="45">
                  <c:v>28.840315031266066</c:v>
                </c:pt>
                <c:pt idx="46">
                  <c:v>29.512092266663863</c:v>
                </c:pt>
                <c:pt idx="47">
                  <c:v>30.199517204020164</c:v>
                </c:pt>
                <c:pt idx="48">
                  <c:v>30.902954325135919</c:v>
                </c:pt>
                <c:pt idx="49">
                  <c:v>31.622776601683803</c:v>
                </c:pt>
                <c:pt idx="50">
                  <c:v>32.359365692962832</c:v>
                </c:pt>
                <c:pt idx="51">
                  <c:v>33.113112148259127</c:v>
                </c:pt>
                <c:pt idx="52">
                  <c:v>33.884415613920268</c:v>
                </c:pt>
                <c:pt idx="53">
                  <c:v>34.67368504525318</c:v>
                </c:pt>
                <c:pt idx="54">
                  <c:v>35.481338923357555</c:v>
                </c:pt>
                <c:pt idx="55">
                  <c:v>36.307805477010156</c:v>
                </c:pt>
                <c:pt idx="56">
                  <c:v>37.15352290971726</c:v>
                </c:pt>
                <c:pt idx="57">
                  <c:v>38.018939632056139</c:v>
                </c:pt>
                <c:pt idx="58">
                  <c:v>38.904514499428053</c:v>
                </c:pt>
                <c:pt idx="59">
                  <c:v>39.810717055349755</c:v>
                </c:pt>
                <c:pt idx="60">
                  <c:v>40.738027780411279</c:v>
                </c:pt>
                <c:pt idx="61">
                  <c:v>41.686938347033561</c:v>
                </c:pt>
                <c:pt idx="62">
                  <c:v>42.657951880159267</c:v>
                </c:pt>
                <c:pt idx="63">
                  <c:v>43.651583224016633</c:v>
                </c:pt>
                <c:pt idx="64">
                  <c:v>44.668359215096324</c:v>
                </c:pt>
                <c:pt idx="65">
                  <c:v>45.70881896148753</c:v>
                </c:pt>
                <c:pt idx="66">
                  <c:v>46.773514128719818</c:v>
                </c:pt>
                <c:pt idx="67">
                  <c:v>47.863009232263877</c:v>
                </c:pt>
                <c:pt idx="68">
                  <c:v>48.977881936844632</c:v>
                </c:pt>
                <c:pt idx="69">
                  <c:v>50.118723362727238</c:v>
                </c:pt>
                <c:pt idx="70">
                  <c:v>51.28613839913649</c:v>
                </c:pt>
                <c:pt idx="71">
                  <c:v>52.480746024977286</c:v>
                </c:pt>
                <c:pt idx="72">
                  <c:v>53.703179637025293</c:v>
                </c:pt>
                <c:pt idx="73">
                  <c:v>54.95408738576247</c:v>
                </c:pt>
                <c:pt idx="74">
                  <c:v>56.234132519034915</c:v>
                </c:pt>
                <c:pt idx="75">
                  <c:v>57.543993733715695</c:v>
                </c:pt>
                <c:pt idx="76">
                  <c:v>58.884365535558949</c:v>
                </c:pt>
                <c:pt idx="77">
                  <c:v>60.255958607435822</c:v>
                </c:pt>
                <c:pt idx="78">
                  <c:v>61.659500186148257</c:v>
                </c:pt>
                <c:pt idx="79">
                  <c:v>63.095734448019364</c:v>
                </c:pt>
                <c:pt idx="80">
                  <c:v>64.565422903465588</c:v>
                </c:pt>
                <c:pt idx="81">
                  <c:v>66.069344800759623</c:v>
                </c:pt>
                <c:pt idx="82">
                  <c:v>67.60829753919819</c:v>
                </c:pt>
                <c:pt idx="83">
                  <c:v>69.183097091893657</c:v>
                </c:pt>
                <c:pt idx="84">
                  <c:v>70.794578438413865</c:v>
                </c:pt>
                <c:pt idx="85">
                  <c:v>72.443596007499011</c:v>
                </c:pt>
                <c:pt idx="86">
                  <c:v>74.131024130091816</c:v>
                </c:pt>
                <c:pt idx="87">
                  <c:v>75.857757502918361</c:v>
                </c:pt>
                <c:pt idx="88">
                  <c:v>77.624711662869217</c:v>
                </c:pt>
                <c:pt idx="89">
                  <c:v>79.432823472428197</c:v>
                </c:pt>
                <c:pt idx="90">
                  <c:v>81.283051616409963</c:v>
                </c:pt>
                <c:pt idx="91">
                  <c:v>83.176377110267126</c:v>
                </c:pt>
                <c:pt idx="92">
                  <c:v>85.113803820237734</c:v>
                </c:pt>
                <c:pt idx="93">
                  <c:v>87.096358995608071</c:v>
                </c:pt>
                <c:pt idx="94">
                  <c:v>89.125093813374562</c:v>
                </c:pt>
                <c:pt idx="95">
                  <c:v>91.201083935590972</c:v>
                </c:pt>
                <c:pt idx="96">
                  <c:v>93.325430079699174</c:v>
                </c:pt>
                <c:pt idx="97">
                  <c:v>95.499258602143655</c:v>
                </c:pt>
                <c:pt idx="98">
                  <c:v>97.723722095581124</c:v>
                </c:pt>
                <c:pt idx="99">
                  <c:v>100</c:v>
                </c:pt>
                <c:pt idx="100">
                  <c:v>102.32929922807544</c:v>
                </c:pt>
                <c:pt idx="101">
                  <c:v>104.71285480508998</c:v>
                </c:pt>
                <c:pt idx="102">
                  <c:v>107.15193052376065</c:v>
                </c:pt>
                <c:pt idx="103">
                  <c:v>109.64781961431861</c:v>
                </c:pt>
                <c:pt idx="104">
                  <c:v>112.20184543019634</c:v>
                </c:pt>
                <c:pt idx="105">
                  <c:v>114.81536214968835</c:v>
                </c:pt>
                <c:pt idx="106">
                  <c:v>117.48975549395293</c:v>
                </c:pt>
                <c:pt idx="107">
                  <c:v>120.22644346174135</c:v>
                </c:pt>
                <c:pt idx="108">
                  <c:v>123.02687708123821</c:v>
                </c:pt>
                <c:pt idx="109">
                  <c:v>125.89254117941677</c:v>
                </c:pt>
                <c:pt idx="110">
                  <c:v>128.82495516931343</c:v>
                </c:pt>
                <c:pt idx="111">
                  <c:v>131.82567385564084</c:v>
                </c:pt>
                <c:pt idx="112">
                  <c:v>134.89628825916537</c:v>
                </c:pt>
                <c:pt idx="113">
                  <c:v>138.0384264602886</c:v>
                </c:pt>
                <c:pt idx="114">
                  <c:v>141.25375446227542</c:v>
                </c:pt>
                <c:pt idx="115">
                  <c:v>144.54397707459285</c:v>
                </c:pt>
                <c:pt idx="116">
                  <c:v>147.91083881682084</c:v>
                </c:pt>
                <c:pt idx="117">
                  <c:v>151.3561248436209</c:v>
                </c:pt>
                <c:pt idx="118">
                  <c:v>154.8816618912482</c:v>
                </c:pt>
                <c:pt idx="119">
                  <c:v>158.48931924611153</c:v>
                </c:pt>
                <c:pt idx="120">
                  <c:v>162.18100973589304</c:v>
                </c:pt>
                <c:pt idx="121">
                  <c:v>165.95869074375622</c:v>
                </c:pt>
                <c:pt idx="122">
                  <c:v>169.82436524617444</c:v>
                </c:pt>
                <c:pt idx="123">
                  <c:v>173.78008287493768</c:v>
                </c:pt>
                <c:pt idx="124">
                  <c:v>177.82794100389242</c:v>
                </c:pt>
                <c:pt idx="125">
                  <c:v>181.9700858609983</c:v>
                </c:pt>
                <c:pt idx="126">
                  <c:v>186.20871366628685</c:v>
                </c:pt>
                <c:pt idx="127">
                  <c:v>190.54607179632498</c:v>
                </c:pt>
                <c:pt idx="128">
                  <c:v>194.98445997580458</c:v>
                </c:pt>
                <c:pt idx="129">
                  <c:v>199.52623149688802</c:v>
                </c:pt>
                <c:pt idx="130">
                  <c:v>204.17379446695315</c:v>
                </c:pt>
                <c:pt idx="131">
                  <c:v>208.92961308540396</c:v>
                </c:pt>
                <c:pt idx="132">
                  <c:v>213.79620895022339</c:v>
                </c:pt>
                <c:pt idx="133">
                  <c:v>218.77616239495524</c:v>
                </c:pt>
                <c:pt idx="134">
                  <c:v>223.87211385683412</c:v>
                </c:pt>
                <c:pt idx="135">
                  <c:v>229.08676527677744</c:v>
                </c:pt>
                <c:pt idx="136">
                  <c:v>234.42288153199232</c:v>
                </c:pt>
                <c:pt idx="137">
                  <c:v>239.88329190194912</c:v>
                </c:pt>
                <c:pt idx="138">
                  <c:v>245.4708915685033</c:v>
                </c:pt>
                <c:pt idx="139">
                  <c:v>251.18864315095806</c:v>
                </c:pt>
                <c:pt idx="140">
                  <c:v>257.03957827688663</c:v>
                </c:pt>
                <c:pt idx="141">
                  <c:v>263.02679918953817</c:v>
                </c:pt>
                <c:pt idx="142">
                  <c:v>269.15348039269179</c:v>
                </c:pt>
                <c:pt idx="143">
                  <c:v>275.42287033381683</c:v>
                </c:pt>
                <c:pt idx="144">
                  <c:v>281.83829312644554</c:v>
                </c:pt>
                <c:pt idx="145">
                  <c:v>288.40315031266073</c:v>
                </c:pt>
                <c:pt idx="146">
                  <c:v>295.12092266663871</c:v>
                </c:pt>
                <c:pt idx="147">
                  <c:v>301.99517204020168</c:v>
                </c:pt>
                <c:pt idx="148">
                  <c:v>309.02954325135937</c:v>
                </c:pt>
                <c:pt idx="149">
                  <c:v>316.22776601683825</c:v>
                </c:pt>
                <c:pt idx="150">
                  <c:v>323.59365692962825</c:v>
                </c:pt>
                <c:pt idx="151">
                  <c:v>331.13112148259137</c:v>
                </c:pt>
                <c:pt idx="152">
                  <c:v>338.84415613920277</c:v>
                </c:pt>
                <c:pt idx="153">
                  <c:v>346.73685045253183</c:v>
                </c:pt>
                <c:pt idx="154">
                  <c:v>354.81338923357566</c:v>
                </c:pt>
                <c:pt idx="155">
                  <c:v>363.07805477010152</c:v>
                </c:pt>
                <c:pt idx="156">
                  <c:v>371.53522909717265</c:v>
                </c:pt>
                <c:pt idx="157">
                  <c:v>380.18939632056163</c:v>
                </c:pt>
                <c:pt idx="158">
                  <c:v>389.04514499428063</c:v>
                </c:pt>
                <c:pt idx="159">
                  <c:v>398.10717055349761</c:v>
                </c:pt>
                <c:pt idx="160">
                  <c:v>407.38027780411272</c:v>
                </c:pt>
                <c:pt idx="161">
                  <c:v>416.86938347033572</c:v>
                </c:pt>
                <c:pt idx="162">
                  <c:v>426.57951880159294</c:v>
                </c:pt>
                <c:pt idx="163">
                  <c:v>436.51583224016622</c:v>
                </c:pt>
                <c:pt idx="164">
                  <c:v>446.68359215096331</c:v>
                </c:pt>
                <c:pt idx="165">
                  <c:v>457.0881896148756</c:v>
                </c:pt>
                <c:pt idx="166">
                  <c:v>467.7351412871983</c:v>
                </c:pt>
                <c:pt idx="167">
                  <c:v>478.63009232263886</c:v>
                </c:pt>
                <c:pt idx="168">
                  <c:v>489.77881936844625</c:v>
                </c:pt>
                <c:pt idx="169">
                  <c:v>501.18723362727269</c:v>
                </c:pt>
                <c:pt idx="170">
                  <c:v>512.86138399136519</c:v>
                </c:pt>
                <c:pt idx="171">
                  <c:v>524.80746024977248</c:v>
                </c:pt>
                <c:pt idx="172">
                  <c:v>537.03179637025301</c:v>
                </c:pt>
                <c:pt idx="173">
                  <c:v>549.54087385762534</c:v>
                </c:pt>
                <c:pt idx="174">
                  <c:v>562.34132519034927</c:v>
                </c:pt>
                <c:pt idx="175">
                  <c:v>575.43993733715706</c:v>
                </c:pt>
                <c:pt idx="176">
                  <c:v>588.84365535558959</c:v>
                </c:pt>
                <c:pt idx="177">
                  <c:v>602.55958607435832</c:v>
                </c:pt>
                <c:pt idx="178">
                  <c:v>616.59500186148273</c:v>
                </c:pt>
                <c:pt idx="179">
                  <c:v>630.95734448019323</c:v>
                </c:pt>
                <c:pt idx="180">
                  <c:v>645.65422903465594</c:v>
                </c:pt>
                <c:pt idx="181">
                  <c:v>660.69344800759643</c:v>
                </c:pt>
                <c:pt idx="182">
                  <c:v>676.08297539198213</c:v>
                </c:pt>
                <c:pt idx="183">
                  <c:v>691.83097091893671</c:v>
                </c:pt>
                <c:pt idx="184">
                  <c:v>707.94578438413873</c:v>
                </c:pt>
                <c:pt idx="185">
                  <c:v>724.43596007499025</c:v>
                </c:pt>
                <c:pt idx="186">
                  <c:v>741.31024130091828</c:v>
                </c:pt>
                <c:pt idx="187">
                  <c:v>758.57757502918378</c:v>
                </c:pt>
                <c:pt idx="188">
                  <c:v>776.24711662869231</c:v>
                </c:pt>
                <c:pt idx="189">
                  <c:v>794.32823472428208</c:v>
                </c:pt>
                <c:pt idx="190">
                  <c:v>812.83051616409978</c:v>
                </c:pt>
                <c:pt idx="191">
                  <c:v>831.7637711026714</c:v>
                </c:pt>
                <c:pt idx="192">
                  <c:v>851.13803820237763</c:v>
                </c:pt>
                <c:pt idx="193">
                  <c:v>870.96358995608091</c:v>
                </c:pt>
                <c:pt idx="194">
                  <c:v>891.25093813374656</c:v>
                </c:pt>
                <c:pt idx="195">
                  <c:v>912.01083935590987</c:v>
                </c:pt>
                <c:pt idx="196">
                  <c:v>933.25430079699106</c:v>
                </c:pt>
                <c:pt idx="197">
                  <c:v>954.99258602143675</c:v>
                </c:pt>
                <c:pt idx="198">
                  <c:v>977.23722095581138</c:v>
                </c:pt>
                <c:pt idx="199">
                  <c:v>1000</c:v>
                </c:pt>
                <c:pt idx="200">
                  <c:v>1023.2929922807547</c:v>
                </c:pt>
                <c:pt idx="201">
                  <c:v>1047.1285480509</c:v>
                </c:pt>
                <c:pt idx="202">
                  <c:v>1071.5193052376069</c:v>
                </c:pt>
                <c:pt idx="203">
                  <c:v>1096.4781961431863</c:v>
                </c:pt>
                <c:pt idx="204">
                  <c:v>1122.0184543019636</c:v>
                </c:pt>
                <c:pt idx="205">
                  <c:v>1148.1536214968839</c:v>
                </c:pt>
                <c:pt idx="206">
                  <c:v>1174.8975549395295</c:v>
                </c:pt>
                <c:pt idx="207">
                  <c:v>1202.2644346174138</c:v>
                </c:pt>
                <c:pt idx="208">
                  <c:v>1230.2687708123824</c:v>
                </c:pt>
                <c:pt idx="209">
                  <c:v>1258.925411794168</c:v>
                </c:pt>
                <c:pt idx="210">
                  <c:v>1288.2495516931347</c:v>
                </c:pt>
                <c:pt idx="211">
                  <c:v>1318.2567385564089</c:v>
                </c:pt>
                <c:pt idx="212">
                  <c:v>1348.9628825916541</c:v>
                </c:pt>
                <c:pt idx="213">
                  <c:v>1380.3842646028863</c:v>
                </c:pt>
                <c:pt idx="214">
                  <c:v>1412.5375446227545</c:v>
                </c:pt>
                <c:pt idx="215">
                  <c:v>1445.4397707459289</c:v>
                </c:pt>
                <c:pt idx="216">
                  <c:v>1479.1083881682086</c:v>
                </c:pt>
                <c:pt idx="217">
                  <c:v>1513.5612484362093</c:v>
                </c:pt>
                <c:pt idx="218">
                  <c:v>1548.8166189124822</c:v>
                </c:pt>
                <c:pt idx="219">
                  <c:v>1584.8931924611156</c:v>
                </c:pt>
                <c:pt idx="220">
                  <c:v>1621.8100973589308</c:v>
                </c:pt>
                <c:pt idx="221">
                  <c:v>1659.5869074375626</c:v>
                </c:pt>
                <c:pt idx="222">
                  <c:v>1698.2436524617447</c:v>
                </c:pt>
                <c:pt idx="223">
                  <c:v>1737.8008287493772</c:v>
                </c:pt>
                <c:pt idx="224">
                  <c:v>1778.2794100389244</c:v>
                </c:pt>
                <c:pt idx="225">
                  <c:v>1819.7008586099832</c:v>
                </c:pt>
                <c:pt idx="226">
                  <c:v>1862.0871366628687</c:v>
                </c:pt>
                <c:pt idx="227">
                  <c:v>1905.4607179632501</c:v>
                </c:pt>
                <c:pt idx="228">
                  <c:v>1949.8445997580463</c:v>
                </c:pt>
                <c:pt idx="229">
                  <c:v>1995.2623149688804</c:v>
                </c:pt>
                <c:pt idx="230">
                  <c:v>2041.7379446695318</c:v>
                </c:pt>
                <c:pt idx="231">
                  <c:v>2089.2961308540398</c:v>
                </c:pt>
                <c:pt idx="232">
                  <c:v>2137.9620895022344</c:v>
                </c:pt>
                <c:pt idx="233">
                  <c:v>2187.7616239495528</c:v>
                </c:pt>
                <c:pt idx="234">
                  <c:v>2238.7211385683418</c:v>
                </c:pt>
                <c:pt idx="235">
                  <c:v>2290.8676527677749</c:v>
                </c:pt>
                <c:pt idx="236">
                  <c:v>2344.2288153199238</c:v>
                </c:pt>
                <c:pt idx="237">
                  <c:v>2398.8329190194918</c:v>
                </c:pt>
                <c:pt idx="238">
                  <c:v>2454.7089156850338</c:v>
                </c:pt>
                <c:pt idx="239">
                  <c:v>2511.8864315095811</c:v>
                </c:pt>
                <c:pt idx="240">
                  <c:v>2570.3957827688669</c:v>
                </c:pt>
                <c:pt idx="241">
                  <c:v>2630.2679918953822</c:v>
                </c:pt>
                <c:pt idx="242">
                  <c:v>2691.5348039269184</c:v>
                </c:pt>
                <c:pt idx="243">
                  <c:v>2754.228703338169</c:v>
                </c:pt>
                <c:pt idx="244">
                  <c:v>2818.3829312644561</c:v>
                </c:pt>
                <c:pt idx="245">
                  <c:v>2884.0315031266077</c:v>
                </c:pt>
                <c:pt idx="246">
                  <c:v>2951.2092266663876</c:v>
                </c:pt>
                <c:pt idx="247">
                  <c:v>3019.9517204020176</c:v>
                </c:pt>
                <c:pt idx="248">
                  <c:v>3090.295432513592</c:v>
                </c:pt>
                <c:pt idx="249">
                  <c:v>3162.2776601683804</c:v>
                </c:pt>
                <c:pt idx="250">
                  <c:v>3235.9365692962833</c:v>
                </c:pt>
                <c:pt idx="251">
                  <c:v>3311.3112148259115</c:v>
                </c:pt>
                <c:pt idx="252">
                  <c:v>3388.4415613920314</c:v>
                </c:pt>
                <c:pt idx="253">
                  <c:v>3467.3685045253224</c:v>
                </c:pt>
                <c:pt idx="254">
                  <c:v>3548.1338923357539</c:v>
                </c:pt>
                <c:pt idx="255">
                  <c:v>3630.7805477010188</c:v>
                </c:pt>
                <c:pt idx="256">
                  <c:v>3715.352290971724</c:v>
                </c:pt>
                <c:pt idx="257">
                  <c:v>3801.8939632056172</c:v>
                </c:pt>
                <c:pt idx="258">
                  <c:v>3890.451449942811</c:v>
                </c:pt>
                <c:pt idx="259">
                  <c:v>3981.0717055349769</c:v>
                </c:pt>
                <c:pt idx="260">
                  <c:v>4073.8027780411317</c:v>
                </c:pt>
                <c:pt idx="261">
                  <c:v>4168.6938347033583</c:v>
                </c:pt>
                <c:pt idx="262">
                  <c:v>4265.7951880159299</c:v>
                </c:pt>
                <c:pt idx="263">
                  <c:v>4365.1583224016631</c:v>
                </c:pt>
                <c:pt idx="264">
                  <c:v>4466.8359215096343</c:v>
                </c:pt>
                <c:pt idx="265">
                  <c:v>4570.8818961487532</c:v>
                </c:pt>
                <c:pt idx="266">
                  <c:v>4677.3514128719844</c:v>
                </c:pt>
                <c:pt idx="267">
                  <c:v>4786.3009232263848</c:v>
                </c:pt>
                <c:pt idx="268">
                  <c:v>4897.7881936844633</c:v>
                </c:pt>
                <c:pt idx="269">
                  <c:v>5011.8723362727324</c:v>
                </c:pt>
                <c:pt idx="270">
                  <c:v>5128.6138399136489</c:v>
                </c:pt>
                <c:pt idx="271">
                  <c:v>5248.0746024977261</c:v>
                </c:pt>
                <c:pt idx="272">
                  <c:v>5370.3179637025269</c:v>
                </c:pt>
                <c:pt idx="273">
                  <c:v>5495.4087385762541</c:v>
                </c:pt>
                <c:pt idx="274">
                  <c:v>5623.4132519034993</c:v>
                </c:pt>
                <c:pt idx="275">
                  <c:v>5754.399373371567</c:v>
                </c:pt>
                <c:pt idx="276">
                  <c:v>5888.4365535558973</c:v>
                </c:pt>
                <c:pt idx="277">
                  <c:v>6025.595860743585</c:v>
                </c:pt>
                <c:pt idx="278">
                  <c:v>6165.9500186148289</c:v>
                </c:pt>
                <c:pt idx="279">
                  <c:v>6309.5734448019384</c:v>
                </c:pt>
                <c:pt idx="280">
                  <c:v>6456.5422903465615</c:v>
                </c:pt>
                <c:pt idx="281">
                  <c:v>6606.9344800759654</c:v>
                </c:pt>
                <c:pt idx="282">
                  <c:v>6760.8297539198229</c:v>
                </c:pt>
                <c:pt idx="283">
                  <c:v>6918.3097091893687</c:v>
                </c:pt>
                <c:pt idx="284">
                  <c:v>7079.4578438413828</c:v>
                </c:pt>
                <c:pt idx="285">
                  <c:v>7244.3596007499036</c:v>
                </c:pt>
                <c:pt idx="286">
                  <c:v>7413.1024130091773</c:v>
                </c:pt>
                <c:pt idx="287">
                  <c:v>7585.7757502918394</c:v>
                </c:pt>
                <c:pt idx="288">
                  <c:v>7762.4711662869322</c:v>
                </c:pt>
                <c:pt idx="289">
                  <c:v>7943.2823472428154</c:v>
                </c:pt>
                <c:pt idx="290">
                  <c:v>8128.3051616410066</c:v>
                </c:pt>
                <c:pt idx="291">
                  <c:v>8317.6377110267094</c:v>
                </c:pt>
                <c:pt idx="292">
                  <c:v>8511.3803820237772</c:v>
                </c:pt>
                <c:pt idx="293">
                  <c:v>8709.6358995608189</c:v>
                </c:pt>
                <c:pt idx="294">
                  <c:v>8912.5093813374679</c:v>
                </c:pt>
                <c:pt idx="295">
                  <c:v>9120.1083935591087</c:v>
                </c:pt>
                <c:pt idx="296">
                  <c:v>9332.5430079699217</c:v>
                </c:pt>
                <c:pt idx="297">
                  <c:v>9549.9258602143691</c:v>
                </c:pt>
                <c:pt idx="298">
                  <c:v>9772.3722095581161</c:v>
                </c:pt>
                <c:pt idx="299">
                  <c:v>10000</c:v>
                </c:pt>
                <c:pt idx="300">
                  <c:v>10232.929922807549</c:v>
                </c:pt>
                <c:pt idx="301">
                  <c:v>10471.285480509003</c:v>
                </c:pt>
                <c:pt idx="302">
                  <c:v>10715.193052376071</c:v>
                </c:pt>
                <c:pt idx="303">
                  <c:v>10964.781961431856</c:v>
                </c:pt>
                <c:pt idx="304">
                  <c:v>11220.184543019639</c:v>
                </c:pt>
                <c:pt idx="305">
                  <c:v>11481.536214968832</c:v>
                </c:pt>
                <c:pt idx="306">
                  <c:v>11748.975549395318</c:v>
                </c:pt>
                <c:pt idx="307">
                  <c:v>12022.644346174151</c:v>
                </c:pt>
                <c:pt idx="308">
                  <c:v>12302.687708123816</c:v>
                </c:pt>
                <c:pt idx="309">
                  <c:v>12589.254117941671</c:v>
                </c:pt>
                <c:pt idx="310">
                  <c:v>12882.49551693136</c:v>
                </c:pt>
                <c:pt idx="311">
                  <c:v>13182.567385564091</c:v>
                </c:pt>
                <c:pt idx="312">
                  <c:v>13489.628825916556</c:v>
                </c:pt>
                <c:pt idx="313">
                  <c:v>13803.842646028841</c:v>
                </c:pt>
                <c:pt idx="314">
                  <c:v>14125.375446227561</c:v>
                </c:pt>
                <c:pt idx="315">
                  <c:v>14454.397707459291</c:v>
                </c:pt>
                <c:pt idx="316">
                  <c:v>14791.083881682089</c:v>
                </c:pt>
                <c:pt idx="317">
                  <c:v>15135.612484362096</c:v>
                </c:pt>
                <c:pt idx="318">
                  <c:v>15488.166189124853</c:v>
                </c:pt>
                <c:pt idx="319">
                  <c:v>15848.931924611146</c:v>
                </c:pt>
                <c:pt idx="320">
                  <c:v>16218.100973589309</c:v>
                </c:pt>
                <c:pt idx="321">
                  <c:v>16595.869074375616</c:v>
                </c:pt>
                <c:pt idx="322">
                  <c:v>16982.436524617482</c:v>
                </c:pt>
                <c:pt idx="323">
                  <c:v>17378.008287493791</c:v>
                </c:pt>
                <c:pt idx="324">
                  <c:v>17782.794100389234</c:v>
                </c:pt>
                <c:pt idx="325">
                  <c:v>18197.008586099837</c:v>
                </c:pt>
                <c:pt idx="326">
                  <c:v>18620.871366628675</c:v>
                </c:pt>
                <c:pt idx="327">
                  <c:v>19054.607179632505</c:v>
                </c:pt>
                <c:pt idx="328">
                  <c:v>19498.445997580486</c:v>
                </c:pt>
                <c:pt idx="329">
                  <c:v>19952.623149688792</c:v>
                </c:pt>
                <c:pt idx="330">
                  <c:v>20417.379446695286</c:v>
                </c:pt>
                <c:pt idx="331">
                  <c:v>20892.961308540423</c:v>
                </c:pt>
                <c:pt idx="332">
                  <c:v>21379.620895022348</c:v>
                </c:pt>
                <c:pt idx="333">
                  <c:v>21877.61623949555</c:v>
                </c:pt>
                <c:pt idx="334">
                  <c:v>22387.211385683382</c:v>
                </c:pt>
                <c:pt idx="335">
                  <c:v>22908.676527677751</c:v>
                </c:pt>
                <c:pt idx="336">
                  <c:v>23442.288153199243</c:v>
                </c:pt>
                <c:pt idx="337">
                  <c:v>23988.329190194923</c:v>
                </c:pt>
                <c:pt idx="338">
                  <c:v>24547.089156850321</c:v>
                </c:pt>
                <c:pt idx="339">
                  <c:v>25118.86431509586</c:v>
                </c:pt>
                <c:pt idx="340">
                  <c:v>25703.95782768865</c:v>
                </c:pt>
                <c:pt idx="341">
                  <c:v>26302.679918953829</c:v>
                </c:pt>
                <c:pt idx="342">
                  <c:v>26915.348039269167</c:v>
                </c:pt>
                <c:pt idx="343">
                  <c:v>27542.287033381719</c:v>
                </c:pt>
                <c:pt idx="344">
                  <c:v>28183.829312644593</c:v>
                </c:pt>
                <c:pt idx="345">
                  <c:v>28840.315031266062</c:v>
                </c:pt>
                <c:pt idx="346">
                  <c:v>29512.092266663854</c:v>
                </c:pt>
                <c:pt idx="347">
                  <c:v>30199.517204020212</c:v>
                </c:pt>
                <c:pt idx="348">
                  <c:v>30902.954325135954</c:v>
                </c:pt>
                <c:pt idx="349">
                  <c:v>31622.77660168384</c:v>
                </c:pt>
                <c:pt idx="350">
                  <c:v>32359.365692962871</c:v>
                </c:pt>
                <c:pt idx="351">
                  <c:v>33113.11214825909</c:v>
                </c:pt>
                <c:pt idx="352">
                  <c:v>33884.41561392029</c:v>
                </c:pt>
                <c:pt idx="353">
                  <c:v>34673.685045253202</c:v>
                </c:pt>
                <c:pt idx="354">
                  <c:v>35481.33892335758</c:v>
                </c:pt>
                <c:pt idx="355">
                  <c:v>36307.805477010232</c:v>
                </c:pt>
                <c:pt idx="356">
                  <c:v>37153.522909717351</c:v>
                </c:pt>
                <c:pt idx="357">
                  <c:v>38018.939632056143</c:v>
                </c:pt>
                <c:pt idx="358">
                  <c:v>38904.514499428085</c:v>
                </c:pt>
                <c:pt idx="359">
                  <c:v>39810.717055349742</c:v>
                </c:pt>
                <c:pt idx="360">
                  <c:v>40738.027780411358</c:v>
                </c:pt>
                <c:pt idx="361">
                  <c:v>41686.938347033625</c:v>
                </c:pt>
                <c:pt idx="362">
                  <c:v>42657.951880159271</c:v>
                </c:pt>
                <c:pt idx="363">
                  <c:v>43651.583224016598</c:v>
                </c:pt>
                <c:pt idx="364">
                  <c:v>44668.359215096389</c:v>
                </c:pt>
                <c:pt idx="365">
                  <c:v>45708.818961487581</c:v>
                </c:pt>
                <c:pt idx="366">
                  <c:v>46773.514128719893</c:v>
                </c:pt>
                <c:pt idx="367">
                  <c:v>47863.009232263823</c:v>
                </c:pt>
                <c:pt idx="368">
                  <c:v>48977.881936844598</c:v>
                </c:pt>
                <c:pt idx="369">
                  <c:v>50118.723362727294</c:v>
                </c:pt>
                <c:pt idx="370">
                  <c:v>51286.138399136544</c:v>
                </c:pt>
                <c:pt idx="371">
                  <c:v>52480.746024977314</c:v>
                </c:pt>
                <c:pt idx="372">
                  <c:v>53703.179637025423</c:v>
                </c:pt>
                <c:pt idx="373">
                  <c:v>54954.087385762505</c:v>
                </c:pt>
                <c:pt idx="374">
                  <c:v>56234.132519034953</c:v>
                </c:pt>
                <c:pt idx="375">
                  <c:v>57543.993733715732</c:v>
                </c:pt>
                <c:pt idx="376">
                  <c:v>58884.365535558936</c:v>
                </c:pt>
                <c:pt idx="377">
                  <c:v>60255.95860743591</c:v>
                </c:pt>
                <c:pt idx="378">
                  <c:v>61659.500186148245</c:v>
                </c:pt>
                <c:pt idx="379">
                  <c:v>63095.734448019342</c:v>
                </c:pt>
                <c:pt idx="380">
                  <c:v>64565.422903465682</c:v>
                </c:pt>
                <c:pt idx="381">
                  <c:v>66069.344800759733</c:v>
                </c:pt>
                <c:pt idx="382">
                  <c:v>67608.297539198305</c:v>
                </c:pt>
                <c:pt idx="383">
                  <c:v>69183.097091893651</c:v>
                </c:pt>
                <c:pt idx="384">
                  <c:v>70794.578438413781</c:v>
                </c:pt>
                <c:pt idx="385">
                  <c:v>72443.596007499116</c:v>
                </c:pt>
                <c:pt idx="386">
                  <c:v>74131.024130091857</c:v>
                </c:pt>
                <c:pt idx="387">
                  <c:v>75857.757502918481</c:v>
                </c:pt>
                <c:pt idx="388">
                  <c:v>77624.711662869129</c:v>
                </c:pt>
                <c:pt idx="389">
                  <c:v>79432.823472428237</c:v>
                </c:pt>
                <c:pt idx="390">
                  <c:v>81283.051616410012</c:v>
                </c:pt>
                <c:pt idx="391">
                  <c:v>83176.377110267174</c:v>
                </c:pt>
                <c:pt idx="392">
                  <c:v>85113.803820237721</c:v>
                </c:pt>
                <c:pt idx="393">
                  <c:v>87096.358995608127</c:v>
                </c:pt>
                <c:pt idx="394">
                  <c:v>89125.093813374609</c:v>
                </c:pt>
                <c:pt idx="395">
                  <c:v>91201.083935591028</c:v>
                </c:pt>
                <c:pt idx="396">
                  <c:v>93325.430079699145</c:v>
                </c:pt>
                <c:pt idx="397">
                  <c:v>95499.258602143804</c:v>
                </c:pt>
                <c:pt idx="398">
                  <c:v>97723.722095581266</c:v>
                </c:pt>
                <c:pt idx="399">
                  <c:v>100000</c:v>
                </c:pt>
                <c:pt idx="400">
                  <c:v>102329.29922807543</c:v>
                </c:pt>
                <c:pt idx="401">
                  <c:v>104712.85480508996</c:v>
                </c:pt>
                <c:pt idx="402">
                  <c:v>107151.93052376082</c:v>
                </c:pt>
                <c:pt idx="403">
                  <c:v>109647.81961431868</c:v>
                </c:pt>
                <c:pt idx="404">
                  <c:v>112201.84543019651</c:v>
                </c:pt>
                <c:pt idx="405">
                  <c:v>114815.36214968823</c:v>
                </c:pt>
                <c:pt idx="406">
                  <c:v>117489.75549395311</c:v>
                </c:pt>
                <c:pt idx="407">
                  <c:v>120226.44346174144</c:v>
                </c:pt>
                <c:pt idx="408">
                  <c:v>123026.87708123829</c:v>
                </c:pt>
                <c:pt idx="409">
                  <c:v>125892.54117941685</c:v>
                </c:pt>
                <c:pt idx="410">
                  <c:v>128824.95516931375</c:v>
                </c:pt>
                <c:pt idx="411">
                  <c:v>131825.67385564081</c:v>
                </c:pt>
                <c:pt idx="412">
                  <c:v>134896.28825916545</c:v>
                </c:pt>
                <c:pt idx="413">
                  <c:v>138038.42646028858</c:v>
                </c:pt>
                <c:pt idx="414">
                  <c:v>141253.75446227577</c:v>
                </c:pt>
                <c:pt idx="415">
                  <c:v>144543.97707459307</c:v>
                </c:pt>
                <c:pt idx="416">
                  <c:v>147910.83881682079</c:v>
                </c:pt>
                <c:pt idx="417">
                  <c:v>151356.12484362084</c:v>
                </c:pt>
                <c:pt idx="418">
                  <c:v>154881.66189124843</c:v>
                </c:pt>
                <c:pt idx="419">
                  <c:v>158489.31924611164</c:v>
                </c:pt>
                <c:pt idx="420">
                  <c:v>162181.00973589328</c:v>
                </c:pt>
                <c:pt idx="421">
                  <c:v>165958.69074375604</c:v>
                </c:pt>
                <c:pt idx="422">
                  <c:v>169824.36524617471</c:v>
                </c:pt>
                <c:pt idx="423">
                  <c:v>173780.0828749378</c:v>
                </c:pt>
                <c:pt idx="424">
                  <c:v>177827.94100389251</c:v>
                </c:pt>
                <c:pt idx="425">
                  <c:v>181970.08586099857</c:v>
                </c:pt>
                <c:pt idx="426">
                  <c:v>186208.71366628664</c:v>
                </c:pt>
                <c:pt idx="427">
                  <c:v>190546.07179632492</c:v>
                </c:pt>
                <c:pt idx="428">
                  <c:v>194984.45997580473</c:v>
                </c:pt>
                <c:pt idx="429">
                  <c:v>199526.23149688813</c:v>
                </c:pt>
                <c:pt idx="430">
                  <c:v>204173.79446695308</c:v>
                </c:pt>
                <c:pt idx="431">
                  <c:v>208929.61308540447</c:v>
                </c:pt>
                <c:pt idx="432">
                  <c:v>213796.20895022334</c:v>
                </c:pt>
                <c:pt idx="433">
                  <c:v>218776.16239495538</c:v>
                </c:pt>
                <c:pt idx="434">
                  <c:v>223872.11385683404</c:v>
                </c:pt>
                <c:pt idx="435">
                  <c:v>229086.76527677779</c:v>
                </c:pt>
                <c:pt idx="436">
                  <c:v>234422.88153199267</c:v>
                </c:pt>
                <c:pt idx="437">
                  <c:v>239883.29190194907</c:v>
                </c:pt>
                <c:pt idx="438">
                  <c:v>245470.89156850305</c:v>
                </c:pt>
                <c:pt idx="439">
                  <c:v>251188.64315095844</c:v>
                </c:pt>
                <c:pt idx="440">
                  <c:v>257039.57827688678</c:v>
                </c:pt>
                <c:pt idx="441">
                  <c:v>263026.79918953858</c:v>
                </c:pt>
                <c:pt idx="442">
                  <c:v>269153.48039269145</c:v>
                </c:pt>
                <c:pt idx="443">
                  <c:v>275422.87033381703</c:v>
                </c:pt>
                <c:pt idx="444">
                  <c:v>281838.29312644573</c:v>
                </c:pt>
                <c:pt idx="445">
                  <c:v>288403.1503126609</c:v>
                </c:pt>
                <c:pt idx="446">
                  <c:v>295120.92266663886</c:v>
                </c:pt>
                <c:pt idx="447">
                  <c:v>301995.17204020242</c:v>
                </c:pt>
                <c:pt idx="448">
                  <c:v>309029.54325135931</c:v>
                </c:pt>
                <c:pt idx="449">
                  <c:v>316227.7660168382</c:v>
                </c:pt>
                <c:pt idx="450">
                  <c:v>323593.65692962846</c:v>
                </c:pt>
                <c:pt idx="451">
                  <c:v>331131.12148259126</c:v>
                </c:pt>
                <c:pt idx="452">
                  <c:v>338844.15613920329</c:v>
                </c:pt>
                <c:pt idx="453">
                  <c:v>346736.85045253241</c:v>
                </c:pt>
                <c:pt idx="454">
                  <c:v>354813.38923357555</c:v>
                </c:pt>
                <c:pt idx="455">
                  <c:v>363078.05477010203</c:v>
                </c:pt>
                <c:pt idx="456">
                  <c:v>371535.2290971732</c:v>
                </c:pt>
                <c:pt idx="457">
                  <c:v>380189.39632056188</c:v>
                </c:pt>
                <c:pt idx="458">
                  <c:v>389045.14499428123</c:v>
                </c:pt>
                <c:pt idx="459">
                  <c:v>398107.17055349716</c:v>
                </c:pt>
                <c:pt idx="460">
                  <c:v>407380.27780411334</c:v>
                </c:pt>
                <c:pt idx="461">
                  <c:v>416869.38347033598</c:v>
                </c:pt>
                <c:pt idx="462">
                  <c:v>426579.51880159322</c:v>
                </c:pt>
                <c:pt idx="463">
                  <c:v>436515.83224016649</c:v>
                </c:pt>
                <c:pt idx="464">
                  <c:v>446683.59215096442</c:v>
                </c:pt>
                <c:pt idx="465">
                  <c:v>457088.18961487547</c:v>
                </c:pt>
                <c:pt idx="466">
                  <c:v>467735.14128719864</c:v>
                </c:pt>
                <c:pt idx="467">
                  <c:v>478630.09232263872</c:v>
                </c:pt>
                <c:pt idx="468">
                  <c:v>489778.81936844654</c:v>
                </c:pt>
                <c:pt idx="469">
                  <c:v>501187.23362727347</c:v>
                </c:pt>
                <c:pt idx="470">
                  <c:v>512861.38399136515</c:v>
                </c:pt>
                <c:pt idx="471">
                  <c:v>524807.46024977288</c:v>
                </c:pt>
                <c:pt idx="472">
                  <c:v>537031.7963702539</c:v>
                </c:pt>
                <c:pt idx="473">
                  <c:v>549540.87385762564</c:v>
                </c:pt>
                <c:pt idx="474">
                  <c:v>562341.32519035018</c:v>
                </c:pt>
                <c:pt idx="475">
                  <c:v>575439.93733715697</c:v>
                </c:pt>
                <c:pt idx="476">
                  <c:v>588843.65535558888</c:v>
                </c:pt>
                <c:pt idx="477">
                  <c:v>602559.58607435878</c:v>
                </c:pt>
                <c:pt idx="478">
                  <c:v>616595.00186148309</c:v>
                </c:pt>
                <c:pt idx="479">
                  <c:v>630957.34448019415</c:v>
                </c:pt>
                <c:pt idx="480">
                  <c:v>645654.22903465747</c:v>
                </c:pt>
                <c:pt idx="481">
                  <c:v>660693.44800759677</c:v>
                </c:pt>
                <c:pt idx="482">
                  <c:v>676082.97539198259</c:v>
                </c:pt>
                <c:pt idx="483">
                  <c:v>691830.97091893724</c:v>
                </c:pt>
                <c:pt idx="484">
                  <c:v>707945.78438413853</c:v>
                </c:pt>
                <c:pt idx="485">
                  <c:v>724435.96007499192</c:v>
                </c:pt>
                <c:pt idx="486">
                  <c:v>741310.24130091805</c:v>
                </c:pt>
                <c:pt idx="487">
                  <c:v>758577.57502918423</c:v>
                </c:pt>
                <c:pt idx="488">
                  <c:v>776247.11662869214</c:v>
                </c:pt>
                <c:pt idx="489">
                  <c:v>794328.23472428333</c:v>
                </c:pt>
                <c:pt idx="490">
                  <c:v>812830.51616410096</c:v>
                </c:pt>
                <c:pt idx="491">
                  <c:v>831763.77110267128</c:v>
                </c:pt>
                <c:pt idx="492">
                  <c:v>851138.03820237669</c:v>
                </c:pt>
                <c:pt idx="493">
                  <c:v>870963.58995608077</c:v>
                </c:pt>
                <c:pt idx="494">
                  <c:v>891250.93813374708</c:v>
                </c:pt>
                <c:pt idx="495">
                  <c:v>912010.83935591124</c:v>
                </c:pt>
                <c:pt idx="496">
                  <c:v>933254.30079699249</c:v>
                </c:pt>
                <c:pt idx="497">
                  <c:v>954992.58602143743</c:v>
                </c:pt>
                <c:pt idx="498">
                  <c:v>977237.22095581202</c:v>
                </c:pt>
                <c:pt idx="499">
                  <c:v>1000000</c:v>
                </c:pt>
                <c:pt idx="500">
                  <c:v>1023292.9922807553</c:v>
                </c:pt>
                <c:pt idx="501">
                  <c:v>1047128.5480509007</c:v>
                </c:pt>
                <c:pt idx="502">
                  <c:v>1071519.3052376076</c:v>
                </c:pt>
                <c:pt idx="503">
                  <c:v>1096478.196143186</c:v>
                </c:pt>
                <c:pt idx="504">
                  <c:v>1122018.4543019643</c:v>
                </c:pt>
                <c:pt idx="505">
                  <c:v>1148153.6214968837</c:v>
                </c:pt>
                <c:pt idx="506">
                  <c:v>1174897.5549395324</c:v>
                </c:pt>
                <c:pt idx="507">
                  <c:v>1202264.4346174158</c:v>
                </c:pt>
                <c:pt idx="508">
                  <c:v>1230268.770812382</c:v>
                </c:pt>
                <c:pt idx="509">
                  <c:v>1258925.4117941677</c:v>
                </c:pt>
                <c:pt idx="510">
                  <c:v>1288249.5516931366</c:v>
                </c:pt>
                <c:pt idx="511">
                  <c:v>1318256.7385564097</c:v>
                </c:pt>
                <c:pt idx="512">
                  <c:v>1348962.8825916562</c:v>
                </c:pt>
                <c:pt idx="513">
                  <c:v>1380384.2646028849</c:v>
                </c:pt>
                <c:pt idx="514">
                  <c:v>1412537.5446227565</c:v>
                </c:pt>
                <c:pt idx="515">
                  <c:v>1445439.7707459298</c:v>
                </c:pt>
                <c:pt idx="516">
                  <c:v>1479108.3881682095</c:v>
                </c:pt>
                <c:pt idx="517">
                  <c:v>1513561.2484362102</c:v>
                </c:pt>
                <c:pt idx="518">
                  <c:v>1548816.6189124861</c:v>
                </c:pt>
                <c:pt idx="519">
                  <c:v>1584893.1924611153</c:v>
                </c:pt>
                <c:pt idx="520">
                  <c:v>1621810.0973589318</c:v>
                </c:pt>
                <c:pt idx="521">
                  <c:v>1659586.9074375622</c:v>
                </c:pt>
                <c:pt idx="522">
                  <c:v>1698243.6524617488</c:v>
                </c:pt>
                <c:pt idx="523">
                  <c:v>1737800.8287493798</c:v>
                </c:pt>
                <c:pt idx="524">
                  <c:v>1778279.4100389241</c:v>
                </c:pt>
                <c:pt idx="525">
                  <c:v>1819700.8586099846</c:v>
                </c:pt>
                <c:pt idx="526">
                  <c:v>1862087.1366628683</c:v>
                </c:pt>
                <c:pt idx="527">
                  <c:v>1905460.7179632513</c:v>
                </c:pt>
                <c:pt idx="528">
                  <c:v>1949844.5997580495</c:v>
                </c:pt>
                <c:pt idx="529">
                  <c:v>1995262.31496888</c:v>
                </c:pt>
                <c:pt idx="530">
                  <c:v>2041737.9446695296</c:v>
                </c:pt>
                <c:pt idx="531">
                  <c:v>2089296.1308540432</c:v>
                </c:pt>
                <c:pt idx="532">
                  <c:v>2137962.0895022359</c:v>
                </c:pt>
                <c:pt idx="533">
                  <c:v>2187761.6239495561</c:v>
                </c:pt>
                <c:pt idx="534">
                  <c:v>2238721.1385683389</c:v>
                </c:pt>
                <c:pt idx="535">
                  <c:v>2290867.6527677765</c:v>
                </c:pt>
                <c:pt idx="536">
                  <c:v>2344228.8153199251</c:v>
                </c:pt>
                <c:pt idx="537">
                  <c:v>2398832.9190194933</c:v>
                </c:pt>
                <c:pt idx="538">
                  <c:v>2454708.915685033</c:v>
                </c:pt>
                <c:pt idx="539">
                  <c:v>2511886.431509587</c:v>
                </c:pt>
                <c:pt idx="540">
                  <c:v>2570395.782768866</c:v>
                </c:pt>
                <c:pt idx="541">
                  <c:v>2630267.9918953842</c:v>
                </c:pt>
              </c:numCache>
            </c:numRef>
          </c:xVal>
          <c:yVal>
            <c:numRef>
              <c:f>Loop_Modeling!$BH$19:$BH$560</c:f>
              <c:numCache>
                <c:formatCode>General</c:formatCode>
                <c:ptCount val="542"/>
                <c:pt idx="0">
                  <c:v>89.593722045699238</c:v>
                </c:pt>
                <c:pt idx="1">
                  <c:v>89.584260986976659</c:v>
                </c:pt>
                <c:pt idx="2">
                  <c:v>89.574579721390677</c:v>
                </c:pt>
                <c:pt idx="3">
                  <c:v>89.564673131783138</c:v>
                </c:pt>
                <c:pt idx="4">
                  <c:v>89.554535982668241</c:v>
                </c:pt>
                <c:pt idx="5">
                  <c:v>89.54416291753806</c:v>
                </c:pt>
                <c:pt idx="6">
                  <c:v>89.533548456110083</c:v>
                </c:pt>
                <c:pt idx="7">
                  <c:v>89.522686991514945</c:v>
                </c:pt>
                <c:pt idx="8">
                  <c:v>89.511572787424143</c:v>
                </c:pt>
                <c:pt idx="9">
                  <c:v>89.50019997511599</c:v>
                </c:pt>
                <c:pt idx="10">
                  <c:v>89.488562550479173</c:v>
                </c:pt>
                <c:pt idx="11">
                  <c:v>89.476654370952758</c:v>
                </c:pt>
                <c:pt idx="12">
                  <c:v>89.464469152401463</c:v>
                </c:pt>
                <c:pt idx="13">
                  <c:v>89.452000465925494</c:v>
                </c:pt>
                <c:pt idx="14">
                  <c:v>89.439241734603627</c:v>
                </c:pt>
                <c:pt idx="15">
                  <c:v>89.426186230168611</c:v>
                </c:pt>
                <c:pt idx="16">
                  <c:v>89.412827069614025</c:v>
                </c:pt>
                <c:pt idx="17">
                  <c:v>89.399157211731406</c:v>
                </c:pt>
                <c:pt idx="18">
                  <c:v>89.385169453576935</c:v>
                </c:pt>
                <c:pt idx="19">
                  <c:v>89.370856426866453</c:v>
                </c:pt>
                <c:pt idx="20">
                  <c:v>89.356210594298318</c:v>
                </c:pt>
                <c:pt idx="21">
                  <c:v>89.341224245802835</c:v>
                </c:pt>
                <c:pt idx="22">
                  <c:v>89.325889494717572</c:v>
                </c:pt>
                <c:pt idx="23">
                  <c:v>89.310198273888076</c:v>
                </c:pt>
                <c:pt idx="24">
                  <c:v>89.294142331692697</c:v>
                </c:pt>
                <c:pt idx="25">
                  <c:v>89.277713227991299</c:v>
                </c:pt>
                <c:pt idx="26">
                  <c:v>89.260902329997108</c:v>
                </c:pt>
                <c:pt idx="27">
                  <c:v>89.243700808070983</c:v>
                </c:pt>
                <c:pt idx="28">
                  <c:v>89.226099631437947</c:v>
                </c:pt>
                <c:pt idx="29">
                  <c:v>89.208089563825297</c:v>
                </c:pt>
                <c:pt idx="30">
                  <c:v>89.189661159022194</c:v>
                </c:pt>
                <c:pt idx="31">
                  <c:v>89.170804756360283</c:v>
                </c:pt>
                <c:pt idx="32">
                  <c:v>89.151510476115604</c:v>
                </c:pt>
                <c:pt idx="33">
                  <c:v>89.131768214831638</c:v>
                </c:pt>
                <c:pt idx="34">
                  <c:v>89.111567640563365</c:v>
                </c:pt>
                <c:pt idx="35">
                  <c:v>89.090898188043369</c:v>
                </c:pt>
                <c:pt idx="36">
                  <c:v>89.069749053769542</c:v>
                </c:pt>
                <c:pt idx="37">
                  <c:v>89.048109191015897</c:v>
                </c:pt>
                <c:pt idx="38">
                  <c:v>89.02596730476661</c:v>
                </c:pt>
                <c:pt idx="39">
                  <c:v>89.003311846574704</c:v>
                </c:pt>
                <c:pt idx="40">
                  <c:v>88.980131009346593</c:v>
                </c:pt>
                <c:pt idx="41">
                  <c:v>88.956412722053798</c:v>
                </c:pt>
                <c:pt idx="42">
                  <c:v>88.932144644373693</c:v>
                </c:pt>
                <c:pt idx="43">
                  <c:v>88.907314161261354</c:v>
                </c:pt>
                <c:pt idx="44">
                  <c:v>88.881908377454693</c:v>
                </c:pt>
                <c:pt idx="45">
                  <c:v>88.855914111915538</c:v>
                </c:pt>
                <c:pt idx="46">
                  <c:v>88.82931789221</c:v>
                </c:pt>
                <c:pt idx="47">
                  <c:v>88.802105948830842</c:v>
                </c:pt>
                <c:pt idx="48">
                  <c:v>88.77426420946648</c:v>
                </c:pt>
                <c:pt idx="49">
                  <c:v>88.745778293220056</c:v>
                </c:pt>
                <c:pt idx="50">
                  <c:v>88.716633504783914</c:v>
                </c:pt>
                <c:pt idx="51">
                  <c:v>88.686814828574313</c:v>
                </c:pt>
                <c:pt idx="52">
                  <c:v>88.656306922832613</c:v>
                </c:pt>
                <c:pt idx="53">
                  <c:v>88.625094113698552</c:v>
                </c:pt>
                <c:pt idx="54">
                  <c:v>88.593160389263645</c:v>
                </c:pt>
                <c:pt idx="55">
                  <c:v>88.560489393611533</c:v>
                </c:pt>
                <c:pt idx="56">
                  <c:v>88.527064420854217</c:v>
                </c:pt>
                <c:pt idx="57">
                  <c:v>88.492868409173326</c:v>
                </c:pt>
                <c:pt idx="58">
                  <c:v>88.457883934876378</c:v>
                </c:pt>
                <c:pt idx="59">
                  <c:v>88.422093206479175</c:v>
                </c:pt>
                <c:pt idx="60">
                  <c:v>88.385478058826337</c:v>
                </c:pt>
                <c:pt idx="61">
                  <c:v>88.348019947262685</c:v>
                </c:pt>
                <c:pt idx="62">
                  <c:v>88.309699941870207</c:v>
                </c:pt>
                <c:pt idx="63">
                  <c:v>88.27049872178506</c:v>
                </c:pt>
                <c:pt idx="64">
                  <c:v>88.230396569612225</c:v>
                </c:pt>
                <c:pt idx="65">
                  <c:v>88.189373365954964</c:v>
                </c:pt>
                <c:pt idx="66">
                  <c:v>88.147408584078804</c:v>
                </c:pt>
                <c:pt idx="67">
                  <c:v>88.104481284731293</c:v>
                </c:pt>
                <c:pt idx="68">
                  <c:v>88.060570111139739</c:v>
                </c:pt>
                <c:pt idx="69">
                  <c:v>88.015653284211425</c:v>
                </c:pt>
                <c:pt idx="70">
                  <c:v>87.969708597962892</c:v>
                </c:pt>
                <c:pt idx="71">
                  <c:v>87.922713415206374</c:v>
                </c:pt>
                <c:pt idx="72">
                  <c:v>87.874644663523654</c:v>
                </c:pt>
                <c:pt idx="73">
                  <c:v>87.825478831560545</c:v>
                </c:pt>
                <c:pt idx="74">
                  <c:v>87.77519196567637</c:v>
                </c:pt>
                <c:pt idx="75">
                  <c:v>87.723759666987263</c:v>
                </c:pt>
                <c:pt idx="76">
                  <c:v>87.671157088842179</c:v>
                </c:pt>
                <c:pt idx="77">
                  <c:v>87.617358934776547</c:v>
                </c:pt>
                <c:pt idx="78">
                  <c:v>87.562339456988497</c:v>
                </c:pt>
                <c:pt idx="79">
                  <c:v>87.506072455388349</c:v>
                </c:pt>
                <c:pt idx="80">
                  <c:v>87.448531277273887</c:v>
                </c:pt>
                <c:pt idx="81">
                  <c:v>87.389688817687784</c:v>
                </c:pt>
                <c:pt idx="82">
                  <c:v>87.329517520518522</c:v>
                </c:pt>
                <c:pt idx="83">
                  <c:v>87.267989380408622</c:v>
                </c:pt>
                <c:pt idx="84">
                  <c:v>87.205075945539022</c:v>
                </c:pt>
                <c:pt idx="85">
                  <c:v>87.14074832136329</c:v>
                </c:pt>
                <c:pt idx="86">
                  <c:v>87.07497717536944</c:v>
                </c:pt>
                <c:pt idx="87">
                  <c:v>87.007732742951987</c:v>
                </c:pt>
                <c:pt idx="88">
                  <c:v>86.938984834482611</c:v>
                </c:pt>
                <c:pt idx="89">
                  <c:v>86.868702843673518</c:v>
                </c:pt>
                <c:pt idx="90">
                  <c:v>86.796855757331826</c:v>
                </c:pt>
                <c:pt idx="91">
                  <c:v>86.723412166610544</c:v>
                </c:pt>
                <c:pt idx="92">
                  <c:v>86.648340279867909</c:v>
                </c:pt>
                <c:pt idx="93">
                  <c:v>86.57160793725221</c:v>
                </c:pt>
                <c:pt idx="94">
                  <c:v>86.493182627137429</c:v>
                </c:pt>
                <c:pt idx="95">
                  <c:v>86.413031504540271</c:v>
                </c:pt>
                <c:pt idx="96">
                  <c:v>86.331121411657648</c:v>
                </c:pt>
                <c:pt idx="97">
                  <c:v>86.247418900670496</c:v>
                </c:pt>
                <c:pt idx="98">
                  <c:v>86.161890258967603</c:v>
                </c:pt>
                <c:pt idx="99">
                  <c:v>86.074501536950038</c:v>
                </c:pt>
                <c:pt idx="100">
                  <c:v>85.985218578585787</c:v>
                </c:pt>
                <c:pt idx="101">
                  <c:v>85.894007054892697</c:v>
                </c:pt>
                <c:pt idx="102">
                  <c:v>85.800832500532223</c:v>
                </c:pt>
                <c:pt idx="103">
                  <c:v>85.705660353711167</c:v>
                </c:pt>
                <c:pt idx="104">
                  <c:v>85.608455999590134</c:v>
                </c:pt>
                <c:pt idx="105">
                  <c:v>85.509184817408823</c:v>
                </c:pt>
                <c:pt idx="106">
                  <c:v>85.407812231547354</c:v>
                </c:pt>
                <c:pt idx="107">
                  <c:v>85.304303766747097</c:v>
                </c:pt>
                <c:pt idx="108">
                  <c:v>85.19862510772515</c:v>
                </c:pt>
                <c:pt idx="109">
                  <c:v>85.090742163421581</c:v>
                </c:pt>
                <c:pt idx="110">
                  <c:v>84.980621136125919</c:v>
                </c:pt>
                <c:pt idx="111">
                  <c:v>84.868228595736255</c:v>
                </c:pt>
                <c:pt idx="112">
                  <c:v>84.753531559407193</c:v>
                </c:pt>
                <c:pt idx="113">
                  <c:v>84.636497576849038</c:v>
                </c:pt>
                <c:pt idx="114">
                  <c:v>84.517094821543253</c:v>
                </c:pt>
                <c:pt idx="115">
                  <c:v>84.395292188140516</c:v>
                </c:pt>
                <c:pt idx="116">
                  <c:v>84.271059396309582</c:v>
                </c:pt>
                <c:pt idx="117">
                  <c:v>84.144367101300773</c:v>
                </c:pt>
                <c:pt idx="118">
                  <c:v>84.015187011489004</c:v>
                </c:pt>
                <c:pt idx="119">
                  <c:v>83.883492013151411</c:v>
                </c:pt>
                <c:pt idx="120">
                  <c:v>83.749256302729393</c:v>
                </c:pt>
                <c:pt idx="121">
                  <c:v>83.61245552681352</c:v>
                </c:pt>
                <c:pt idx="122">
                  <c:v>83.473066930074154</c:v>
                </c:pt>
                <c:pt idx="123">
                  <c:v>83.331069511345618</c:v>
                </c:pt>
                <c:pt idx="124">
                  <c:v>83.186444188048952</c:v>
                </c:pt>
                <c:pt idx="125">
                  <c:v>83.039173969112383</c:v>
                </c:pt>
                <c:pt idx="126">
                  <c:v>82.889244136519821</c:v>
                </c:pt>
                <c:pt idx="127">
                  <c:v>82.736642435581828</c:v>
                </c:pt>
                <c:pt idx="128">
                  <c:v>82.581359273982201</c:v>
                </c:pt>
                <c:pt idx="129">
                  <c:v>82.423387929607856</c:v>
                </c:pt>
                <c:pt idx="130">
                  <c:v>82.262724767117717</c:v>
                </c:pt>
                <c:pt idx="131">
                  <c:v>82.099369463144171</c:v>
                </c:pt>
                <c:pt idx="132">
                  <c:v>81.933325239956957</c:v>
                </c:pt>
                <c:pt idx="133">
                  <c:v>81.764599107345433</c:v>
                </c:pt>
                <c:pt idx="134">
                  <c:v>81.593202112391779</c:v>
                </c:pt>
                <c:pt idx="135">
                  <c:v>81.419149596720018</c:v>
                </c:pt>
                <c:pt idx="136">
                  <c:v>81.242461460708171</c:v>
                </c:pt>
                <c:pt idx="137">
                  <c:v>81.063162434042624</c:v>
                </c:pt>
                <c:pt idx="138">
                  <c:v>80.881282351885275</c:v>
                </c:pt>
                <c:pt idx="139">
                  <c:v>80.696856435792029</c:v>
                </c:pt>
                <c:pt idx="140">
                  <c:v>80.509925578401479</c:v>
                </c:pt>
                <c:pt idx="141">
                  <c:v>80.320536630765389</c:v>
                </c:pt>
                <c:pt idx="142">
                  <c:v>80.128742691052665</c:v>
                </c:pt>
                <c:pt idx="143">
                  <c:v>79.934603393202906</c:v>
                </c:pt>
                <c:pt idx="144">
                  <c:v>79.738185193948965</c:v>
                </c:pt>
                <c:pt idx="145">
                  <c:v>79.539561656466802</c:v>
                </c:pt>
                <c:pt idx="146">
                  <c:v>79.338813728741201</c:v>
                </c:pt>
                <c:pt idx="147">
                  <c:v>79.136030014573095</c:v>
                </c:pt>
                <c:pt idx="148">
                  <c:v>78.931307034981913</c:v>
                </c:pt>
                <c:pt idx="149">
                  <c:v>78.724749477595282</c:v>
                </c:pt>
                <c:pt idx="150">
                  <c:v>78.51647043145536</c:v>
                </c:pt>
                <c:pt idx="151">
                  <c:v>78.306591604514935</c:v>
                </c:pt>
                <c:pt idx="152">
                  <c:v>78.095243520960679</c:v>
                </c:pt>
                <c:pt idx="153">
                  <c:v>77.882565695357457</c:v>
                </c:pt>
                <c:pt idx="154">
                  <c:v>77.668706780510675</c:v>
                </c:pt>
                <c:pt idx="155">
                  <c:v>77.453824685829233</c:v>
                </c:pt>
                <c:pt idx="156">
                  <c:v>77.238086662922569</c:v>
                </c:pt>
                <c:pt idx="157">
                  <c:v>77.021669355101068</c:v>
                </c:pt>
                <c:pt idx="158">
                  <c:v>76.804758807456224</c:v>
                </c:pt>
                <c:pt idx="159">
                  <c:v>76.587550434205937</c:v>
                </c:pt>
                <c:pt idx="160">
                  <c:v>76.370248940058275</c:v>
                </c:pt>
                <c:pt idx="161">
                  <c:v>76.153068192449297</c:v>
                </c:pt>
                <c:pt idx="162">
                  <c:v>75.936231041657294</c:v>
                </c:pt>
                <c:pt idx="163">
                  <c:v>75.719969085992616</c:v>
                </c:pt>
                <c:pt idx="164">
                  <c:v>75.50452237950698</c:v>
                </c:pt>
                <c:pt idx="165">
                  <c:v>75.290139079964092</c:v>
                </c:pt>
                <c:pt idx="166">
                  <c:v>75.077075035156597</c:v>
                </c:pt>
                <c:pt idx="167">
                  <c:v>74.865593306064895</c:v>
                </c:pt>
                <c:pt idx="168">
                  <c:v>74.655963625791529</c:v>
                </c:pt>
                <c:pt idx="169">
                  <c:v>74.44846179371811</c:v>
                </c:pt>
                <c:pt idx="170">
                  <c:v>74.243369004864903</c:v>
                </c:pt>
                <c:pt idx="171">
                  <c:v>74.040971115038076</c:v>
                </c:pt>
                <c:pt idx="172">
                  <c:v>73.841557842954288</c:v>
                </c:pt>
                <c:pt idx="173">
                  <c:v>73.645421911208913</c:v>
                </c:pt>
                <c:pt idx="174">
                  <c:v>73.452858128616327</c:v>
                </c:pt>
                <c:pt idx="175">
                  <c:v>73.26416241716143</c:v>
                </c:pt>
                <c:pt idx="176">
                  <c:v>73.07963078748476</c:v>
                </c:pt>
                <c:pt idx="177">
                  <c:v>72.899558267541423</c:v>
                </c:pt>
                <c:pt idx="178">
                  <c:v>72.724237789740258</c:v>
                </c:pt>
                <c:pt idx="179">
                  <c:v>72.553959042540953</c:v>
                </c:pt>
                <c:pt idx="180">
                  <c:v>72.389007293107596</c:v>
                </c:pt>
                <c:pt idx="181">
                  <c:v>72.22966218819559</c:v>
                </c:pt>
                <c:pt idx="182">
                  <c:v>72.076196540970713</c:v>
                </c:pt>
                <c:pt idx="183">
                  <c:v>71.928875111915914</c:v>
                </c:pt>
                <c:pt idx="184">
                  <c:v>71.787953392358872</c:v>
                </c:pt>
                <c:pt idx="185">
                  <c:v>71.653676399449566</c:v>
                </c:pt>
                <c:pt idx="186">
                  <c:v>71.526277491617662</c:v>
                </c:pt>
                <c:pt idx="187">
                  <c:v>71.405977213645784</c:v>
                </c:pt>
                <c:pt idx="188">
                  <c:v>71.292982180493709</c:v>
                </c:pt>
                <c:pt idx="189">
                  <c:v>71.187484008911852</c:v>
                </c:pt>
                <c:pt idx="190">
                  <c:v>71.08965830565586</c:v>
                </c:pt>
                <c:pt idx="191">
                  <c:v>70.999663720816059</c:v>
                </c:pt>
                <c:pt idx="192">
                  <c:v>70.917641074330362</c:v>
                </c:pt>
                <c:pt idx="193">
                  <c:v>70.84371256324421</c:v>
                </c:pt>
                <c:pt idx="194">
                  <c:v>70.777981056642389</c:v>
                </c:pt>
                <c:pt idx="195">
                  <c:v>70.720529484485795</c:v>
                </c:pt>
                <c:pt idx="196">
                  <c:v>70.671420325772672</c:v>
                </c:pt>
                <c:pt idx="197">
                  <c:v>70.630695200610063</c:v>
                </c:pt>
                <c:pt idx="198">
                  <c:v>70.598374569833325</c:v>
                </c:pt>
                <c:pt idx="199">
                  <c:v>70.574457544856458</c:v>
                </c:pt>
                <c:pt idx="200">
                  <c:v>70.558921809431013</c:v>
                </c:pt>
                <c:pt idx="201">
                  <c:v>70.551723653956401</c:v>
                </c:pt>
                <c:pt idx="202">
                  <c:v>70.552798121948939</c:v>
                </c:pt>
                <c:pt idx="203">
                  <c:v>70.562059267255748</c:v>
                </c:pt>
                <c:pt idx="204">
                  <c:v>70.579400519575543</c:v>
                </c:pt>
                <c:pt idx="205">
                  <c:v>70.604695154871493</c:v>
                </c:pt>
                <c:pt idx="206">
                  <c:v>70.637796866331698</c:v>
                </c:pt>
                <c:pt idx="207">
                  <c:v>70.678540430647047</c:v>
                </c:pt>
                <c:pt idx="208">
                  <c:v>70.726742463571156</c:v>
                </c:pt>
                <c:pt idx="209">
                  <c:v>70.782202257995024</c:v>
                </c:pt>
                <c:pt idx="210">
                  <c:v>70.844702697120724</c:v>
                </c:pt>
                <c:pt idx="211">
                  <c:v>70.914011234775288</c:v>
                </c:pt>
                <c:pt idx="212">
                  <c:v>70.989880934450753</c:v>
                </c:pt>
                <c:pt idx="213">
                  <c:v>71.072051558309468</c:v>
                </c:pt>
                <c:pt idx="214">
                  <c:v>71.160250697162553</c:v>
                </c:pt>
                <c:pt idx="215">
                  <c:v>71.254194932288101</c:v>
                </c:pt>
                <c:pt idx="216">
                  <c:v>71.353591019936957</c:v>
                </c:pt>
                <c:pt idx="217">
                  <c:v>71.45813708945137</c:v>
                </c:pt>
                <c:pt idx="218">
                  <c:v>71.567523846096663</c:v>
                </c:pt>
                <c:pt idx="219">
                  <c:v>71.681435769982798</c:v>
                </c:pt>
                <c:pt idx="220">
                  <c:v>71.799552302804017</c:v>
                </c:pt>
                <c:pt idx="221">
                  <c:v>71.921549014572378</c:v>
                </c:pt>
                <c:pt idx="222">
                  <c:v>72.047098743008632</c:v>
                </c:pt>
                <c:pt idx="223">
                  <c:v>72.175872698844515</c:v>
                </c:pt>
                <c:pt idx="224">
                  <c:v>72.30754153087625</c:v>
                </c:pt>
                <c:pt idx="225">
                  <c:v>72.441776345285191</c:v>
                </c:pt>
                <c:pt idx="226">
                  <c:v>72.578249674402642</c:v>
                </c:pt>
                <c:pt idx="227">
                  <c:v>72.716636390803245</c:v>
                </c:pt>
                <c:pt idx="228">
                  <c:v>72.856614563305428</c:v>
                </c:pt>
                <c:pt idx="229">
                  <c:v>72.997866252154665</c:v>
                </c:pt>
                <c:pt idx="230">
                  <c:v>73.140078241359049</c:v>
                </c:pt>
                <c:pt idx="231">
                  <c:v>73.282942706792653</c:v>
                </c:pt>
                <c:pt idx="232">
                  <c:v>73.426157819330328</c:v>
                </c:pt>
                <c:pt idx="233">
                  <c:v>73.569428282872906</c:v>
                </c:pt>
                <c:pt idx="234">
                  <c:v>73.712465807668124</c:v>
                </c:pt>
                <c:pt idx="235">
                  <c:v>73.854989519862471</c:v>
                </c:pt>
                <c:pt idx="236">
                  <c:v>73.996726308669466</c:v>
                </c:pt>
                <c:pt idx="237">
                  <c:v>74.13741111295748</c:v>
                </c:pt>
                <c:pt idx="238">
                  <c:v>74.276787149425644</c:v>
                </c:pt>
                <c:pt idx="239">
                  <c:v>74.414606084837317</c:v>
                </c:pt>
                <c:pt idx="240">
                  <c:v>74.550628155048543</c:v>
                </c:pt>
                <c:pt idx="241">
                  <c:v>74.684622233769389</c:v>
                </c:pt>
                <c:pt idx="242">
                  <c:v>74.816365854160878</c:v>
                </c:pt>
                <c:pt idx="243">
                  <c:v>74.945645186479595</c:v>
                </c:pt>
                <c:pt idx="244">
                  <c:v>75.072254975059863</c:v>
                </c:pt>
                <c:pt idx="245">
                  <c:v>75.195998437949754</c:v>
                </c:pt>
                <c:pt idx="246">
                  <c:v>75.316687132517558</c:v>
                </c:pt>
                <c:pt idx="247">
                  <c:v>75.434140790307552</c:v>
                </c:pt>
                <c:pt idx="248">
                  <c:v>75.548187124363622</c:v>
                </c:pt>
                <c:pt idx="249">
                  <c:v>75.658661612142126</c:v>
                </c:pt>
                <c:pt idx="250">
                  <c:v>75.765407257038532</c:v>
                </c:pt>
                <c:pt idx="251">
                  <c:v>75.868274331415734</c:v>
                </c:pt>
                <c:pt idx="252">
                  <c:v>75.967120103883758</c:v>
                </c:pt>
                <c:pt idx="253">
                  <c:v>76.061808553431845</c:v>
                </c:pt>
                <c:pt idx="254">
                  <c:v>76.152210072852668</c:v>
                </c:pt>
                <c:pt idx="255">
                  <c:v>76.238201163730324</c:v>
                </c:pt>
                <c:pt idx="256">
                  <c:v>76.319664125107479</c:v>
                </c:pt>
                <c:pt idx="257">
                  <c:v>76.396486737764718</c:v>
                </c:pt>
                <c:pt idx="258">
                  <c:v>76.468561945889633</c:v>
                </c:pt>
                <c:pt idx="259">
                  <c:v>76.535787537748419</c:v>
                </c:pt>
                <c:pt idx="260">
                  <c:v>76.598065826807797</c:v>
                </c:pt>
                <c:pt idx="261">
                  <c:v>76.655303334607069</c:v>
                </c:pt>
                <c:pt idx="262">
                  <c:v>76.707410476534207</c:v>
                </c:pt>
                <c:pt idx="263">
                  <c:v>76.754301251512175</c:v>
                </c:pt>
                <c:pt idx="264">
                  <c:v>76.79589293647912</c:v>
                </c:pt>
                <c:pt idx="265">
                  <c:v>76.832105786415823</c:v>
                </c:pt>
                <c:pt idx="266">
                  <c:v>76.862862740559919</c:v>
                </c:pt>
                <c:pt idx="267">
                  <c:v>76.888089135337694</c:v>
                </c:pt>
                <c:pt idx="268">
                  <c:v>76.907712424450978</c:v>
                </c:pt>
                <c:pt idx="269">
                  <c:v>76.921661906456464</c:v>
                </c:pt>
                <c:pt idx="270">
                  <c:v>76.929868460101346</c:v>
                </c:pt>
                <c:pt idx="271">
                  <c:v>76.932264287600745</c:v>
                </c:pt>
                <c:pt idx="272">
                  <c:v>76.928782665976343</c:v>
                </c:pt>
                <c:pt idx="273">
                  <c:v>76.919357706513338</c:v>
                </c:pt>
                <c:pt idx="274">
                  <c:v>76.903924122347803</c:v>
                </c:pt>
                <c:pt idx="275">
                  <c:v>76.882417004141246</c:v>
                </c:pt>
                <c:pt idx="276">
                  <c:v>76.854771603766423</c:v>
                </c:pt>
                <c:pt idx="277">
                  <c:v>76.820923125891085</c:v>
                </c:pt>
                <c:pt idx="278">
                  <c:v>76.780806527319129</c:v>
                </c:pt>
                <c:pt idx="279">
                  <c:v>76.7343563239247</c:v>
                </c:pt>
                <c:pt idx="280">
                  <c:v>76.681506404995545</c:v>
                </c:pt>
                <c:pt idx="281">
                  <c:v>76.622189854790577</c:v>
                </c:pt>
                <c:pt idx="282">
                  <c:v>76.556338781099228</c:v>
                </c:pt>
                <c:pt idx="283">
                  <c:v>76.483884150593425</c:v>
                </c:pt>
                <c:pt idx="284">
                  <c:v>76.404755630750287</c:v>
                </c:pt>
                <c:pt idx="285">
                  <c:v>76.318881438130816</c:v>
                </c:pt>
                <c:pt idx="286">
                  <c:v>76.226188192796215</c:v>
                </c:pt>
                <c:pt idx="287">
                  <c:v>76.126600778657846</c:v>
                </c:pt>
                <c:pt idx="288">
                  <c:v>76.020042209553495</c:v>
                </c:pt>
                <c:pt idx="289">
                  <c:v>75.906433500864537</c:v>
                </c:pt>
                <c:pt idx="290">
                  <c:v>75.785693546494556</c:v>
                </c:pt>
                <c:pt idx="291">
                  <c:v>75.657739001044547</c:v>
                </c:pt>
                <c:pt idx="292">
                  <c:v>75.522484167041554</c:v>
                </c:pt>
                <c:pt idx="293">
                  <c:v>75.379840887092996</c:v>
                </c:pt>
                <c:pt idx="294">
                  <c:v>75.22971844085825</c:v>
                </c:pt>
                <c:pt idx="295">
                  <c:v>75.072023446754955</c:v>
                </c:pt>
                <c:pt idx="296">
                  <c:v>74.906659768340987</c:v>
                </c:pt>
                <c:pt idx="297">
                  <c:v>74.733528425337255</c:v>
                </c:pt>
                <c:pt idx="298">
                  <c:v>74.552527509283962</c:v>
                </c:pt>
                <c:pt idx="299">
                  <c:v>74.363552103859931</c:v>
                </c:pt>
                <c:pt idx="300">
                  <c:v>74.166494209912642</c:v>
                </c:pt>
                <c:pt idx="301">
                  <c:v>73.961242675293391</c:v>
                </c:pt>
                <c:pt idx="302">
                  <c:v>73.747683129619006</c:v>
                </c:pt>
                <c:pt idx="303">
                  <c:v>73.525697924121246</c:v>
                </c:pt>
                <c:pt idx="304">
                  <c:v>73.295166076783119</c:v>
                </c:pt>
                <c:pt idx="305">
                  <c:v>73.055963223003388</c:v>
                </c:pt>
                <c:pt idx="306">
                  <c:v>72.807961572072713</c:v>
                </c:pt>
                <c:pt idx="307">
                  <c:v>72.551029869786802</c:v>
                </c:pt>
                <c:pt idx="308">
                  <c:v>72.285033367574997</c:v>
                </c:pt>
                <c:pt idx="309">
                  <c:v>72.009833798563207</c:v>
                </c:pt>
                <c:pt idx="310">
                  <c:v>71.725289361045455</c:v>
                </c:pt>
                <c:pt idx="311">
                  <c:v>71.431254709887483</c:v>
                </c:pt>
                <c:pt idx="312">
                  <c:v>71.127580956440909</c:v>
                </c:pt>
                <c:pt idx="313">
                  <c:v>70.814115677597698</c:v>
                </c:pt>
                <c:pt idx="314">
                  <c:v>70.490702934672143</c:v>
                </c:pt>
                <c:pt idx="315">
                  <c:v>70.157183302852474</c:v>
                </c:pt>
                <c:pt idx="316">
                  <c:v>69.813393912021183</c:v>
                </c:pt>
                <c:pt idx="317">
                  <c:v>69.459168499796576</c:v>
                </c:pt>
                <c:pt idx="318">
                  <c:v>69.094337477705949</c:v>
                </c:pt>
                <c:pt idx="319">
                  <c:v>68.718728011453322</c:v>
                </c:pt>
                <c:pt idx="320">
                  <c:v>68.332164116291935</c:v>
                </c:pt>
                <c:pt idx="321">
                  <c:v>67.934466768571852</c:v>
                </c:pt>
                <c:pt idx="322">
                  <c:v>67.5254540345599</c:v>
                </c:pt>
                <c:pt idx="323">
                  <c:v>67.104941217687909</c:v>
                </c:pt>
                <c:pt idx="324">
                  <c:v>66.672741025404221</c:v>
                </c:pt>
                <c:pt idx="325">
                  <c:v>66.228663756841371</c:v>
                </c:pt>
                <c:pt idx="326">
                  <c:v>65.772517512520523</c:v>
                </c:pt>
                <c:pt idx="327">
                  <c:v>65.304108427334086</c:v>
                </c:pt>
                <c:pt idx="328">
                  <c:v>64.823240928037663</c:v>
                </c:pt>
                <c:pt idx="329">
                  <c:v>64.329718016467055</c:v>
                </c:pt>
                <c:pt idx="330">
                  <c:v>63.823341579677049</c:v>
                </c:pt>
                <c:pt idx="331">
                  <c:v>63.303912728143608</c:v>
                </c:pt>
                <c:pt idx="332">
                  <c:v>62.77123216312134</c:v>
                </c:pt>
                <c:pt idx="333">
                  <c:v>62.225100574155832</c:v>
                </c:pt>
                <c:pt idx="334">
                  <c:v>61.665319067673003</c:v>
                </c:pt>
                <c:pt idx="335">
                  <c:v>61.091689627427556</c:v>
                </c:pt>
                <c:pt idx="336">
                  <c:v>60.504015607471381</c:v>
                </c:pt>
                <c:pt idx="337">
                  <c:v>59.902102258125964</c:v>
                </c:pt>
                <c:pt idx="338">
                  <c:v>59.285757285275253</c:v>
                </c:pt>
                <c:pt idx="339">
                  <c:v>58.654791443072035</c:v>
                </c:pt>
                <c:pt idx="340">
                  <c:v>58.009019159937573</c:v>
                </c:pt>
                <c:pt idx="341">
                  <c:v>57.348259197468792</c:v>
                </c:pt>
                <c:pt idx="342">
                  <c:v>56.672335341608836</c:v>
                </c:pt>
                <c:pt idx="343">
                  <c:v>55.981077125133965</c:v>
                </c:pt>
                <c:pt idx="344">
                  <c:v>55.27432058021067</c:v>
                </c:pt>
                <c:pt idx="345">
                  <c:v>54.551909019443727</c:v>
                </c:pt>
                <c:pt idx="346">
                  <c:v>53.813693843501191</c:v>
                </c:pt>
                <c:pt idx="347">
                  <c:v>53.059535373063618</c:v>
                </c:pt>
                <c:pt idx="348">
                  <c:v>52.289303702473688</c:v>
                </c:pt>
                <c:pt idx="349">
                  <c:v>51.502879572126538</c:v>
                </c:pt>
                <c:pt idx="350">
                  <c:v>50.700155256271579</c:v>
                </c:pt>
                <c:pt idx="351">
                  <c:v>49.881035462562359</c:v>
                </c:pt>
                <c:pt idx="352">
                  <c:v>49.045438239342275</c:v>
                </c:pt>
                <c:pt idx="353">
                  <c:v>48.193295886344927</c:v>
                </c:pt>
                <c:pt idx="354">
                  <c:v>47.324555864174414</c:v>
                </c:pt>
                <c:pt idx="355">
                  <c:v>46.439181697669824</c:v>
                </c:pt>
                <c:pt idx="356">
                  <c:v>45.537153867993695</c:v>
                </c:pt>
                <c:pt idx="357">
                  <c:v>44.618470688085971</c:v>
                </c:pt>
                <c:pt idx="358">
                  <c:v>43.683149155936903</c:v>
                </c:pt>
                <c:pt idx="359">
                  <c:v>42.731225780002774</c:v>
                </c:pt>
                <c:pt idx="360">
                  <c:v>41.762757370983728</c:v>
                </c:pt>
                <c:pt idx="361">
                  <c:v>40.777821794155528</c:v>
                </c:pt>
                <c:pt idx="362">
                  <c:v>39.776518676416316</c:v>
                </c:pt>
                <c:pt idx="363">
                  <c:v>38.758970062286799</c:v>
                </c:pt>
                <c:pt idx="364">
                  <c:v>37.725321013181279</c:v>
                </c:pt>
                <c:pt idx="365">
                  <c:v>36.675740144418441</c:v>
                </c:pt>
                <c:pt idx="366">
                  <c:v>35.610420094642464</c:v>
                </c:pt>
                <c:pt idx="367">
                  <c:v>34.529577922562979</c:v>
                </c:pt>
                <c:pt idx="368">
                  <c:v>33.433455426220164</c:v>
                </c:pt>
                <c:pt idx="369">
                  <c:v>32.322319380324878</c:v>
                </c:pt>
                <c:pt idx="370">
                  <c:v>31.196461687590261</c:v>
                </c:pt>
                <c:pt idx="371">
                  <c:v>30.056199440422052</c:v>
                </c:pt>
                <c:pt idx="372">
                  <c:v>28.90187488977574</c:v>
                </c:pt>
                <c:pt idx="373">
                  <c:v>27.733855318504492</c:v>
                </c:pt>
                <c:pt idx="374">
                  <c:v>26.552532817049737</c:v>
                </c:pt>
                <c:pt idx="375">
                  <c:v>25.358323959899092</c:v>
                </c:pt>
                <c:pt idx="376">
                  <c:v>24.151669381812962</c:v>
                </c:pt>
                <c:pt idx="377">
                  <c:v>22.933033253454244</c:v>
                </c:pt>
                <c:pt idx="378">
                  <c:v>21.702902656670329</c:v>
                </c:pt>
                <c:pt idx="379">
                  <c:v>20.461786860342318</c:v>
                </c:pt>
                <c:pt idx="380">
                  <c:v>19.210216498349691</c:v>
                </c:pt>
                <c:pt idx="381">
                  <c:v>17.948742651887432</c:v>
                </c:pt>
                <c:pt idx="382">
                  <c:v>16.677935839007421</c:v>
                </c:pt>
                <c:pt idx="383">
                  <c:v>15.398384914927348</c:v>
                </c:pt>
                <c:pt idx="384">
                  <c:v>14.110695887287228</c:v>
                </c:pt>
                <c:pt idx="385">
                  <c:v>12.815490651160006</c:v>
                </c:pt>
                <c:pt idx="386">
                  <c:v>11.513405649216645</c:v>
                </c:pt>
                <c:pt idx="387">
                  <c:v>10.205090463031134</c:v>
                </c:pt>
                <c:pt idx="388">
                  <c:v>8.8912063420286138</c:v>
                </c:pt>
                <c:pt idx="389">
                  <c:v>7.5724246770868264</c:v>
                </c:pt>
                <c:pt idx="390">
                  <c:v>6.2494254262384876</c:v>
                </c:pt>
                <c:pt idx="391">
                  <c:v>4.9228955003041532</c:v>
                </c:pt>
                <c:pt idx="392">
                  <c:v>3.5935271166377798</c:v>
                </c:pt>
                <c:pt idx="393">
                  <c:v>2.2620161294102825</c:v>
                </c:pt>
                <c:pt idx="394">
                  <c:v>0.92906034507443258</c:v>
                </c:pt>
                <c:pt idx="395">
                  <c:v>-0.40464216822787114</c:v>
                </c:pt>
                <c:pt idx="396">
                  <c:v>-1.7383947684950221</c:v>
                </c:pt>
                <c:pt idx="397">
                  <c:v>-3.0715039161313533</c:v>
                </c:pt>
                <c:pt idx="398">
                  <c:v>-4.4032808299525499</c:v>
                </c:pt>
                <c:pt idx="399">
                  <c:v>-5.7330431143949721</c:v>
                </c:pt>
                <c:pt idx="400">
                  <c:v>-7.0601163496496584</c:v>
                </c:pt>
                <c:pt idx="401">
                  <c:v>-8.3838356367608959</c:v>
                </c:pt>
                <c:pt idx="402">
                  <c:v>-9.703547090115423</c:v>
                </c:pt>
                <c:pt idx="403">
                  <c:v>-11.018609270194688</c:v>
                </c:pt>
                <c:pt idx="404">
                  <c:v>-12.328394550000672</c:v>
                </c:pt>
                <c:pt idx="405">
                  <c:v>-13.632290409098754</c:v>
                </c:pt>
                <c:pt idx="406">
                  <c:v>-14.929700649859345</c:v>
                </c:pt>
                <c:pt idx="407">
                  <c:v>-16.220046531127135</c:v>
                </c:pt>
                <c:pt idx="408">
                  <c:v>-17.502767815223592</c:v>
                </c:pt>
                <c:pt idx="409">
                  <c:v>-18.777323724903859</c:v>
                </c:pt>
                <c:pt idx="410">
                  <c:v>-20.043193807608937</c:v>
                </c:pt>
                <c:pt idx="411">
                  <c:v>-21.299878705077962</c:v>
                </c:pt>
                <c:pt idx="412">
                  <c:v>-22.546900827116549</c:v>
                </c:pt>
                <c:pt idx="413">
                  <c:v>-23.783804929020611</c:v>
                </c:pt>
                <c:pt idx="414">
                  <c:v>-25.010158592865835</c:v>
                </c:pt>
                <c:pt idx="415">
                  <c:v>-26.225552613522414</c:v>
                </c:pt>
                <c:pt idx="416">
                  <c:v>-27.429601290905296</c:v>
                </c:pt>
                <c:pt idx="417">
                  <c:v>-28.621942630555239</c:v>
                </c:pt>
                <c:pt idx="418">
                  <c:v>-29.802238455203803</c:v>
                </c:pt>
                <c:pt idx="419">
                  <c:v>-30.970174430470426</c:v>
                </c:pt>
                <c:pt idx="420">
                  <c:v>-32.125460008298582</c:v>
                </c:pt>
                <c:pt idx="421">
                  <c:v>-33.26782829212155</c:v>
                </c:pt>
                <c:pt idx="422">
                  <c:v>-34.397035828087716</c:v>
                </c:pt>
                <c:pt idx="423">
                  <c:v>-35.512862326971067</c:v>
                </c:pt>
                <c:pt idx="424">
                  <c:v>-36.615110321584275</c:v>
                </c:pt>
                <c:pt idx="425">
                  <c:v>-37.70360476471101</c:v>
                </c:pt>
                <c:pt idx="426">
                  <c:v>-38.778192572664643</c:v>
                </c:pt>
                <c:pt idx="427">
                  <c:v>-39.838742119646632</c:v>
                </c:pt>
                <c:pt idx="428">
                  <c:v>-40.885142688088145</c:v>
                </c:pt>
                <c:pt idx="429">
                  <c:v>-41.91730388012968</c:v>
                </c:pt>
                <c:pt idx="430">
                  <c:v>-42.935154995299449</c:v>
                </c:pt>
                <c:pt idx="431">
                  <c:v>-43.938644379354457</c:v>
                </c:pt>
                <c:pt idx="432">
                  <c:v>-44.927738749085513</c:v>
                </c:pt>
                <c:pt idx="433">
                  <c:v>-45.902422497720792</c:v>
                </c:pt>
                <c:pt idx="434">
                  <c:v>-46.862696985343909</c:v>
                </c:pt>
                <c:pt idx="435">
                  <c:v>-47.80857981853417</c:v>
                </c:pt>
                <c:pt idx="436">
                  <c:v>-48.740104123186725</c:v>
                </c:pt>
                <c:pt idx="437">
                  <c:v>-49.657317814218956</c:v>
                </c:pt>
                <c:pt idx="438">
                  <c:v>-50.560282865607498</c:v>
                </c:pt>
                <c:pt idx="439">
                  <c:v>-51.449074583939357</c:v>
                </c:pt>
                <c:pt idx="440">
                  <c:v>-52.323780888376255</c:v>
                </c:pt>
                <c:pt idx="441">
                  <c:v>-53.184501599686023</c:v>
                </c:pt>
                <c:pt idx="442">
                  <c:v>-54.031347740706572</c:v>
                </c:pt>
                <c:pt idx="443">
                  <c:v>-54.86444085036603</c:v>
                </c:pt>
                <c:pt idx="444">
                  <c:v>-55.68391231312512</c:v>
                </c:pt>
                <c:pt idx="445">
                  <c:v>-56.489902705467529</c:v>
                </c:pt>
                <c:pt idx="446">
                  <c:v>-57.28256116082968</c:v>
                </c:pt>
                <c:pt idx="447">
                  <c:v>-58.062044754149696</c:v>
                </c:pt>
                <c:pt idx="448">
                  <c:v>-58.828517906999281</c:v>
                </c:pt>
                <c:pt idx="449">
                  <c:v>-59.582151814078763</c:v>
                </c:pt>
                <c:pt idx="450">
                  <c:v>-60.323123891667251</c:v>
                </c:pt>
                <c:pt idx="451">
                  <c:v>-61.051617248457454</c:v>
                </c:pt>
                <c:pt idx="452">
                  <c:v>-61.767820179053452</c:v>
                </c:pt>
                <c:pt idx="453">
                  <c:v>-62.471925680267489</c:v>
                </c:pt>
                <c:pt idx="454">
                  <c:v>-63.164130990224514</c:v>
                </c:pt>
                <c:pt idx="455">
                  <c:v>-63.844637150177626</c:v>
                </c:pt>
                <c:pt idx="456">
                  <c:v>-64.513648588824779</c:v>
                </c:pt>
                <c:pt idx="457">
                  <c:v>-65.1713727288397</c:v>
                </c:pt>
                <c:pt idx="458">
                  <c:v>-65.818019615240289</c:v>
                </c:pt>
                <c:pt idx="459">
                  <c:v>-66.453801565160759</c:v>
                </c:pt>
                <c:pt idx="460">
                  <c:v>-67.078932838525105</c:v>
                </c:pt>
                <c:pt idx="461">
                  <c:v>-67.693629329079158</c:v>
                </c:pt>
                <c:pt idx="462">
                  <c:v>-68.298108275193698</c:v>
                </c:pt>
                <c:pt idx="463">
                  <c:v>-68.892587989814999</c:v>
                </c:pt>
                <c:pt idx="464">
                  <c:v>-69.477287608923433</c:v>
                </c:pt>
                <c:pt idx="465">
                  <c:v>-70.052426857825935</c:v>
                </c:pt>
                <c:pt idx="466">
                  <c:v>-70.618225834611678</c:v>
                </c:pt>
                <c:pt idx="467">
                  <c:v>-71.174904810076953</c:v>
                </c:pt>
                <c:pt idx="468">
                  <c:v>-71.722684043428771</c:v>
                </c:pt>
                <c:pt idx="469">
                  <c:v>-72.261783613076943</c:v>
                </c:pt>
                <c:pt idx="470">
                  <c:v>-72.792423261824794</c:v>
                </c:pt>
                <c:pt idx="471">
                  <c:v>-73.314822255778296</c:v>
                </c:pt>
                <c:pt idx="472">
                  <c:v>-73.829199256298423</c:v>
                </c:pt>
                <c:pt idx="473">
                  <c:v>-74.335772204341453</c:v>
                </c:pt>
                <c:pt idx="474">
                  <c:v>-74.834758216537011</c:v>
                </c:pt>
                <c:pt idx="475">
                  <c:v>-75.326373492371417</c:v>
                </c:pt>
                <c:pt idx="476">
                  <c:v>-75.810833231865431</c:v>
                </c:pt>
                <c:pt idx="477">
                  <c:v>-76.28835156314365</c:v>
                </c:pt>
                <c:pt idx="478">
                  <c:v>-76.759141479319098</c:v>
                </c:pt>
                <c:pt idx="479">
                  <c:v>-77.223414784131279</c:v>
                </c:pt>
                <c:pt idx="480">
                  <c:v>-77.681382045794265</c:v>
                </c:pt>
                <c:pt idx="481">
                  <c:v>-78.133252558532604</c:v>
                </c:pt>
                <c:pt idx="482">
                  <c:v>-78.579234311301462</c:v>
                </c:pt>
                <c:pt idx="483">
                  <c:v>-79.019533963204012</c:v>
                </c:pt>
                <c:pt idx="484">
                  <c:v>-79.454356825139868</c:v>
                </c:pt>
                <c:pt idx="485">
                  <c:v>-79.883906847235821</c:v>
                </c:pt>
                <c:pt idx="486">
                  <c:v>-80.308386611626929</c:v>
                </c:pt>
                <c:pt idx="487">
                  <c:v>-80.727997330175199</c:v>
                </c:pt>
                <c:pt idx="488">
                  <c:v>-81.142938846723993</c:v>
                </c:pt>
                <c:pt idx="489">
                  <c:v>-81.553409643510818</c:v>
                </c:pt>
                <c:pt idx="490">
                  <c:v>-81.959606851366843</c:v>
                </c:pt>
                <c:pt idx="491">
                  <c:v>-82.361726263350732</c:v>
                </c:pt>
                <c:pt idx="492">
                  <c:v>-82.759962351478052</c:v>
                </c:pt>
                <c:pt idx="493">
                  <c:v>-83.15450828621519</c:v>
                </c:pt>
                <c:pt idx="494">
                  <c:v>-83.545555958424444</c:v>
                </c:pt>
                <c:pt idx="495">
                  <c:v>-83.933296003452142</c:v>
                </c:pt>
                <c:pt idx="496">
                  <c:v>-84.317917827064647</c:v>
                </c:pt>
                <c:pt idx="497">
                  <c:v>-84.699609632944387</c:v>
                </c:pt>
                <c:pt idx="498">
                  <c:v>-85.078558451467501</c:v>
                </c:pt>
                <c:pt idx="499">
                  <c:v>-85.454950169488498</c:v>
                </c:pt>
                <c:pt idx="500">
                  <c:v>-85.828969560867733</c:v>
                </c:pt>
                <c:pt idx="501">
                  <c:v>-86.200800317478823</c:v>
                </c:pt>
                <c:pt idx="502">
                  <c:v>-86.570625080439896</c:v>
                </c:pt>
                <c:pt idx="503">
                  <c:v>-86.938625471314623</c:v>
                </c:pt>
                <c:pt idx="504">
                  <c:v>-87.304982123031863</c:v>
                </c:pt>
                <c:pt idx="505">
                  <c:v>-87.669874710274769</c:v>
                </c:pt>
                <c:pt idx="506">
                  <c:v>-88.033481979090496</c:v>
                </c:pt>
                <c:pt idx="507">
                  <c:v>-88.395981775471697</c:v>
                </c:pt>
                <c:pt idx="508">
                  <c:v>-88.757551072660547</c:v>
                </c:pt>
                <c:pt idx="509">
                  <c:v>-89.1183659969237</c:v>
                </c:pt>
                <c:pt idx="510">
                  <c:v>-89.478601851544852</c:v>
                </c:pt>
                <c:pt idx="511">
                  <c:v>-89.838433138777972</c:v>
                </c:pt>
                <c:pt idx="512">
                  <c:v>-90.19803357950083</c:v>
                </c:pt>
                <c:pt idx="513">
                  <c:v>-90.557576130303246</c:v>
                </c:pt>
                <c:pt idx="514">
                  <c:v>-90.91723299774003</c:v>
                </c:pt>
                <c:pt idx="515">
                  <c:v>-91.277175649472142</c:v>
                </c:pt>
                <c:pt idx="516">
                  <c:v>-91.63757482201396</c:v>
                </c:pt>
                <c:pt idx="517">
                  <c:v>-91.998600524797382</c:v>
                </c:pt>
                <c:pt idx="518">
                  <c:v>-92.360422040255216</c:v>
                </c:pt>
                <c:pt idx="519">
                  <c:v>-92.723207919621444</c:v>
                </c:pt>
                <c:pt idx="520">
                  <c:v>-93.087125974134622</c:v>
                </c:pt>
                <c:pt idx="521">
                  <c:v>-93.452343261325012</c:v>
                </c:pt>
                <c:pt idx="522">
                  <c:v>-93.819026066056878</c:v>
                </c:pt>
                <c:pt idx="523">
                  <c:v>-94.187339875989153</c:v>
                </c:pt>
                <c:pt idx="524">
                  <c:v>-94.55744935111062</c:v>
                </c:pt>
                <c:pt idx="525">
                  <c:v>-94.929518286995858</c:v>
                </c:pt>
                <c:pt idx="526">
                  <c:v>-95.30370957142253</c:v>
                </c:pt>
                <c:pt idx="527">
                  <c:v>-95.680185133984338</c:v>
                </c:pt>
                <c:pt idx="528">
                  <c:v>-96.059105888324453</c:v>
                </c:pt>
                <c:pt idx="529">
                  <c:v>-96.4406316666159</c:v>
                </c:pt>
                <c:pt idx="530">
                  <c:v>-96.824921145901229</c:v>
                </c:pt>
                <c:pt idx="531">
                  <c:v>-97.212131765912872</c:v>
                </c:pt>
                <c:pt idx="532">
                  <c:v>-97.602419637985221</c:v>
                </c:pt>
                <c:pt idx="533">
                  <c:v>-97.995939444677731</c:v>
                </c:pt>
                <c:pt idx="534">
                  <c:v>-98.392844329725634</c:v>
                </c:pt>
                <c:pt idx="535">
                  <c:v>-98.793285777945968</c:v>
                </c:pt>
                <c:pt idx="536">
                  <c:v>-99.197413484731825</c:v>
                </c:pt>
                <c:pt idx="537">
                  <c:v>-99.605375214784033</c:v>
                </c:pt>
                <c:pt idx="538">
                  <c:v>-100.0173166497399</c:v>
                </c:pt>
                <c:pt idx="539">
                  <c:v>-100.43338122438344</c:v>
                </c:pt>
                <c:pt idx="540">
                  <c:v>-100.85370995114314</c:v>
                </c:pt>
                <c:pt idx="541">
                  <c:v>-101.27844123261593</c:v>
                </c:pt>
              </c:numCache>
            </c:numRef>
          </c:yVal>
          <c:smooth val="1"/>
          <c:extLst>
            <c:ext xmlns:c16="http://schemas.microsoft.com/office/drawing/2014/chart" uri="{C3380CC4-5D6E-409C-BE32-E72D297353CC}">
              <c16:uniqueId val="{00000001-7AB1-42AA-8DBD-6D7B5452EF93}"/>
            </c:ext>
          </c:extLst>
        </c:ser>
        <c:dLbls>
          <c:showLegendKey val="0"/>
          <c:showVal val="0"/>
          <c:showCatName val="0"/>
          <c:showSerName val="0"/>
          <c:showPercent val="0"/>
          <c:showBubbleSize val="0"/>
        </c:dLbls>
        <c:axId val="365469056"/>
        <c:axId val="365467520"/>
      </c:scatterChart>
      <c:valAx>
        <c:axId val="365455232"/>
        <c:scaling>
          <c:logBase val="10"/>
          <c:orientation val="minMax"/>
          <c:max val="2200000"/>
          <c:min val="10"/>
        </c:scaling>
        <c:delete val="0"/>
        <c:axPos val="b"/>
        <c:minorGridlines/>
        <c:title>
          <c:tx>
            <c:rich>
              <a:bodyPr/>
              <a:lstStyle/>
              <a:p>
                <a:pPr>
                  <a:defRPr/>
                </a:pPr>
                <a:r>
                  <a:rPr lang="en-US"/>
                  <a:t>Frequency</a:t>
                </a:r>
                <a:r>
                  <a:rPr lang="en-US" baseline="0"/>
                  <a:t> (Hz)</a:t>
                </a:r>
                <a:endParaRPr lang="en-US"/>
              </a:p>
            </c:rich>
          </c:tx>
          <c:overlay val="0"/>
        </c:title>
        <c:numFmt formatCode="0" sourceLinked="0"/>
        <c:majorTickMark val="out"/>
        <c:minorTickMark val="none"/>
        <c:tickLblPos val="low"/>
        <c:crossAx val="365465600"/>
        <c:crosses val="autoZero"/>
        <c:crossBetween val="midCat"/>
      </c:valAx>
      <c:valAx>
        <c:axId val="365465600"/>
        <c:scaling>
          <c:orientation val="minMax"/>
          <c:max val="40"/>
          <c:min val="-40"/>
        </c:scaling>
        <c:delete val="0"/>
        <c:axPos val="l"/>
        <c:majorGridlines/>
        <c:minorGridlines/>
        <c:title>
          <c:tx>
            <c:rich>
              <a:bodyPr rot="-5400000" vert="horz"/>
              <a:lstStyle/>
              <a:p>
                <a:pPr>
                  <a:defRPr/>
                </a:pPr>
                <a:r>
                  <a:rPr lang="en-US">
                    <a:solidFill>
                      <a:srgbClr val="FF0000"/>
                    </a:solidFill>
                  </a:rPr>
                  <a:t>Gain</a:t>
                </a:r>
                <a:r>
                  <a:rPr lang="en-US" baseline="0">
                    <a:solidFill>
                      <a:srgbClr val="FF0000"/>
                    </a:solidFill>
                  </a:rPr>
                  <a:t> (dB)</a:t>
                </a:r>
                <a:endParaRPr lang="en-US">
                  <a:solidFill>
                    <a:srgbClr val="FF0000"/>
                  </a:solidFill>
                </a:endParaRPr>
              </a:p>
            </c:rich>
          </c:tx>
          <c:overlay val="0"/>
        </c:title>
        <c:numFmt formatCode="General" sourceLinked="0"/>
        <c:majorTickMark val="out"/>
        <c:minorTickMark val="none"/>
        <c:tickLblPos val="nextTo"/>
        <c:txPr>
          <a:bodyPr/>
          <a:lstStyle/>
          <a:p>
            <a:pPr>
              <a:defRPr>
                <a:solidFill>
                  <a:srgbClr val="FF0000"/>
                </a:solidFill>
              </a:defRPr>
            </a:pPr>
            <a:endParaRPr lang="en-US"/>
          </a:p>
        </c:txPr>
        <c:crossAx val="365455232"/>
        <c:crosses val="autoZero"/>
        <c:crossBetween val="midCat"/>
        <c:majorUnit val="20"/>
        <c:minorUnit val="10"/>
      </c:valAx>
      <c:valAx>
        <c:axId val="365467520"/>
        <c:scaling>
          <c:orientation val="minMax"/>
          <c:max val="180"/>
          <c:min val="-180"/>
        </c:scaling>
        <c:delete val="0"/>
        <c:axPos val="r"/>
        <c:numFmt formatCode="General" sourceLinked="1"/>
        <c:majorTickMark val="out"/>
        <c:minorTickMark val="none"/>
        <c:tickLblPos val="nextTo"/>
        <c:txPr>
          <a:bodyPr/>
          <a:lstStyle/>
          <a:p>
            <a:pPr>
              <a:defRPr>
                <a:solidFill>
                  <a:schemeClr val="tx1">
                    <a:lumMod val="95000"/>
                    <a:lumOff val="5000"/>
                  </a:schemeClr>
                </a:solidFill>
              </a:defRPr>
            </a:pPr>
            <a:endParaRPr lang="en-US"/>
          </a:p>
        </c:txPr>
        <c:crossAx val="365469056"/>
        <c:crosses val="max"/>
        <c:crossBetween val="midCat"/>
        <c:majorUnit val="90"/>
        <c:minorUnit val="45"/>
      </c:valAx>
      <c:valAx>
        <c:axId val="365469056"/>
        <c:scaling>
          <c:logBase val="10"/>
          <c:orientation val="minMax"/>
        </c:scaling>
        <c:delete val="1"/>
        <c:axPos val="b"/>
        <c:numFmt formatCode="0.00" sourceLinked="1"/>
        <c:majorTickMark val="out"/>
        <c:minorTickMark val="none"/>
        <c:tickLblPos val="nextTo"/>
        <c:crossAx val="365467520"/>
        <c:crosses val="autoZero"/>
        <c:crossBetween val="midCat"/>
      </c:valAx>
    </c:plotArea>
    <c:plotVisOnly val="1"/>
    <c:dispBlanksAs val="gap"/>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DCM Plant Transfer</a:t>
            </a:r>
            <a:r>
              <a:rPr lang="en-US" baseline="0"/>
              <a:t> Function</a:t>
            </a:r>
            <a:endParaRPr lang="en-US"/>
          </a:p>
        </c:rich>
      </c:tx>
      <c:overlay val="0"/>
    </c:title>
    <c:autoTitleDeleted val="0"/>
    <c:plotArea>
      <c:layout/>
      <c:scatterChart>
        <c:scatterStyle val="smoothMarker"/>
        <c:varyColors val="0"/>
        <c:ser>
          <c:idx val="0"/>
          <c:order val="0"/>
          <c:marker>
            <c:symbol val="none"/>
          </c:marker>
          <c:xVal>
            <c:numRef>
              <c:f>Loop_Modeling!$O$19:$O$560</c:f>
              <c:numCache>
                <c:formatCode>0.00</c:formatCode>
                <c:ptCount val="542"/>
                <c:pt idx="0">
                  <c:v>10.232929922807543</c:v>
                </c:pt>
                <c:pt idx="1">
                  <c:v>10.471285480509</c:v>
                </c:pt>
                <c:pt idx="2">
                  <c:v>10.715193052376069</c:v>
                </c:pt>
                <c:pt idx="3">
                  <c:v>10.964781961431854</c:v>
                </c:pt>
                <c:pt idx="4">
                  <c:v>11.220184543019636</c:v>
                </c:pt>
                <c:pt idx="5">
                  <c:v>11.481536214968834</c:v>
                </c:pt>
                <c:pt idx="6">
                  <c:v>11.748975549395301</c:v>
                </c:pt>
                <c:pt idx="7">
                  <c:v>12.022644346174133</c:v>
                </c:pt>
                <c:pt idx="8">
                  <c:v>12.302687708123818</c:v>
                </c:pt>
                <c:pt idx="9">
                  <c:v>12.58925411794168</c:v>
                </c:pt>
                <c:pt idx="10">
                  <c:v>12.882495516931346</c:v>
                </c:pt>
                <c:pt idx="11">
                  <c:v>13.182567385564075</c:v>
                </c:pt>
                <c:pt idx="12">
                  <c:v>13.489628825916535</c:v>
                </c:pt>
                <c:pt idx="13">
                  <c:v>13.803842646028857</c:v>
                </c:pt>
                <c:pt idx="14">
                  <c:v>14.125375446227544</c:v>
                </c:pt>
                <c:pt idx="15">
                  <c:v>14.454397707459275</c:v>
                </c:pt>
                <c:pt idx="16">
                  <c:v>14.791083881682074</c:v>
                </c:pt>
                <c:pt idx="17">
                  <c:v>15.135612484362087</c:v>
                </c:pt>
                <c:pt idx="18">
                  <c:v>15.488166189124817</c:v>
                </c:pt>
                <c:pt idx="19">
                  <c:v>15.848931924611136</c:v>
                </c:pt>
                <c:pt idx="20">
                  <c:v>16.218100973589298</c:v>
                </c:pt>
                <c:pt idx="21">
                  <c:v>16.595869074375614</c:v>
                </c:pt>
                <c:pt idx="22">
                  <c:v>16.982436524617448</c:v>
                </c:pt>
                <c:pt idx="23">
                  <c:v>17.378008287493756</c:v>
                </c:pt>
                <c:pt idx="24">
                  <c:v>17.782794100389236</c:v>
                </c:pt>
                <c:pt idx="25">
                  <c:v>18.197008586099841</c:v>
                </c:pt>
                <c:pt idx="26">
                  <c:v>18.62087136662868</c:v>
                </c:pt>
                <c:pt idx="27">
                  <c:v>19.054607179632477</c:v>
                </c:pt>
                <c:pt idx="28">
                  <c:v>19.498445997580465</c:v>
                </c:pt>
                <c:pt idx="29">
                  <c:v>19.952623149688804</c:v>
                </c:pt>
                <c:pt idx="30">
                  <c:v>20.4173794466953</c:v>
                </c:pt>
                <c:pt idx="31">
                  <c:v>20.8929613085404</c:v>
                </c:pt>
                <c:pt idx="32">
                  <c:v>21.379620895022335</c:v>
                </c:pt>
                <c:pt idx="33">
                  <c:v>21.877616239495538</c:v>
                </c:pt>
                <c:pt idx="34">
                  <c:v>22.387211385683404</c:v>
                </c:pt>
                <c:pt idx="35">
                  <c:v>22.908676527677727</c:v>
                </c:pt>
                <c:pt idx="36">
                  <c:v>23.442288153199236</c:v>
                </c:pt>
                <c:pt idx="37">
                  <c:v>23.988329190194907</c:v>
                </c:pt>
                <c:pt idx="38">
                  <c:v>24.547089156850316</c:v>
                </c:pt>
                <c:pt idx="39">
                  <c:v>25.118864315095799</c:v>
                </c:pt>
                <c:pt idx="40">
                  <c:v>25.703957827688647</c:v>
                </c:pt>
                <c:pt idx="41">
                  <c:v>26.302679918953825</c:v>
                </c:pt>
                <c:pt idx="42">
                  <c:v>26.915348039269158</c:v>
                </c:pt>
                <c:pt idx="43">
                  <c:v>27.542287033381665</c:v>
                </c:pt>
                <c:pt idx="44">
                  <c:v>28.183829312644548</c:v>
                </c:pt>
                <c:pt idx="45">
                  <c:v>28.840315031266066</c:v>
                </c:pt>
                <c:pt idx="46">
                  <c:v>29.512092266663863</c:v>
                </c:pt>
                <c:pt idx="47">
                  <c:v>30.199517204020164</c:v>
                </c:pt>
                <c:pt idx="48">
                  <c:v>30.902954325135919</c:v>
                </c:pt>
                <c:pt idx="49">
                  <c:v>31.622776601683803</c:v>
                </c:pt>
                <c:pt idx="50">
                  <c:v>32.359365692962832</c:v>
                </c:pt>
                <c:pt idx="51">
                  <c:v>33.113112148259127</c:v>
                </c:pt>
                <c:pt idx="52">
                  <c:v>33.884415613920268</c:v>
                </c:pt>
                <c:pt idx="53">
                  <c:v>34.67368504525318</c:v>
                </c:pt>
                <c:pt idx="54">
                  <c:v>35.481338923357555</c:v>
                </c:pt>
                <c:pt idx="55">
                  <c:v>36.307805477010156</c:v>
                </c:pt>
                <c:pt idx="56">
                  <c:v>37.15352290971726</c:v>
                </c:pt>
                <c:pt idx="57">
                  <c:v>38.018939632056139</c:v>
                </c:pt>
                <c:pt idx="58">
                  <c:v>38.904514499428053</c:v>
                </c:pt>
                <c:pt idx="59">
                  <c:v>39.810717055349755</c:v>
                </c:pt>
                <c:pt idx="60">
                  <c:v>40.738027780411279</c:v>
                </c:pt>
                <c:pt idx="61">
                  <c:v>41.686938347033561</c:v>
                </c:pt>
                <c:pt idx="62">
                  <c:v>42.657951880159267</c:v>
                </c:pt>
                <c:pt idx="63">
                  <c:v>43.651583224016633</c:v>
                </c:pt>
                <c:pt idx="64">
                  <c:v>44.668359215096324</c:v>
                </c:pt>
                <c:pt idx="65">
                  <c:v>45.70881896148753</c:v>
                </c:pt>
                <c:pt idx="66">
                  <c:v>46.773514128719818</c:v>
                </c:pt>
                <c:pt idx="67">
                  <c:v>47.863009232263877</c:v>
                </c:pt>
                <c:pt idx="68">
                  <c:v>48.977881936844632</c:v>
                </c:pt>
                <c:pt idx="69">
                  <c:v>50.118723362727238</c:v>
                </c:pt>
                <c:pt idx="70">
                  <c:v>51.28613839913649</c:v>
                </c:pt>
                <c:pt idx="71">
                  <c:v>52.480746024977286</c:v>
                </c:pt>
                <c:pt idx="72">
                  <c:v>53.703179637025293</c:v>
                </c:pt>
                <c:pt idx="73">
                  <c:v>54.95408738576247</c:v>
                </c:pt>
                <c:pt idx="74">
                  <c:v>56.234132519034915</c:v>
                </c:pt>
                <c:pt idx="75">
                  <c:v>57.543993733715695</c:v>
                </c:pt>
                <c:pt idx="76">
                  <c:v>58.884365535558949</c:v>
                </c:pt>
                <c:pt idx="77">
                  <c:v>60.255958607435822</c:v>
                </c:pt>
                <c:pt idx="78">
                  <c:v>61.659500186148257</c:v>
                </c:pt>
                <c:pt idx="79">
                  <c:v>63.095734448019364</c:v>
                </c:pt>
                <c:pt idx="80">
                  <c:v>64.565422903465588</c:v>
                </c:pt>
                <c:pt idx="81">
                  <c:v>66.069344800759623</c:v>
                </c:pt>
                <c:pt idx="82">
                  <c:v>67.60829753919819</c:v>
                </c:pt>
                <c:pt idx="83">
                  <c:v>69.183097091893657</c:v>
                </c:pt>
                <c:pt idx="84">
                  <c:v>70.794578438413865</c:v>
                </c:pt>
                <c:pt idx="85">
                  <c:v>72.443596007499011</c:v>
                </c:pt>
                <c:pt idx="86">
                  <c:v>74.131024130091816</c:v>
                </c:pt>
                <c:pt idx="87">
                  <c:v>75.857757502918361</c:v>
                </c:pt>
                <c:pt idx="88">
                  <c:v>77.624711662869217</c:v>
                </c:pt>
                <c:pt idx="89">
                  <c:v>79.432823472428197</c:v>
                </c:pt>
                <c:pt idx="90">
                  <c:v>81.283051616409963</c:v>
                </c:pt>
                <c:pt idx="91">
                  <c:v>83.176377110267126</c:v>
                </c:pt>
                <c:pt idx="92">
                  <c:v>85.113803820237734</c:v>
                </c:pt>
                <c:pt idx="93">
                  <c:v>87.096358995608071</c:v>
                </c:pt>
                <c:pt idx="94">
                  <c:v>89.125093813374562</c:v>
                </c:pt>
                <c:pt idx="95">
                  <c:v>91.201083935590972</c:v>
                </c:pt>
                <c:pt idx="96">
                  <c:v>93.325430079699174</c:v>
                </c:pt>
                <c:pt idx="97">
                  <c:v>95.499258602143655</c:v>
                </c:pt>
                <c:pt idx="98">
                  <c:v>97.723722095581124</c:v>
                </c:pt>
                <c:pt idx="99">
                  <c:v>100</c:v>
                </c:pt>
                <c:pt idx="100">
                  <c:v>102.32929922807544</c:v>
                </c:pt>
                <c:pt idx="101">
                  <c:v>104.71285480508998</c:v>
                </c:pt>
                <c:pt idx="102">
                  <c:v>107.15193052376065</c:v>
                </c:pt>
                <c:pt idx="103">
                  <c:v>109.64781961431861</c:v>
                </c:pt>
                <c:pt idx="104">
                  <c:v>112.20184543019634</c:v>
                </c:pt>
                <c:pt idx="105">
                  <c:v>114.81536214968835</c:v>
                </c:pt>
                <c:pt idx="106">
                  <c:v>117.48975549395293</c:v>
                </c:pt>
                <c:pt idx="107">
                  <c:v>120.22644346174135</c:v>
                </c:pt>
                <c:pt idx="108">
                  <c:v>123.02687708123821</c:v>
                </c:pt>
                <c:pt idx="109">
                  <c:v>125.89254117941677</c:v>
                </c:pt>
                <c:pt idx="110">
                  <c:v>128.82495516931343</c:v>
                </c:pt>
                <c:pt idx="111">
                  <c:v>131.82567385564084</c:v>
                </c:pt>
                <c:pt idx="112">
                  <c:v>134.89628825916537</c:v>
                </c:pt>
                <c:pt idx="113">
                  <c:v>138.0384264602886</c:v>
                </c:pt>
                <c:pt idx="114">
                  <c:v>141.25375446227542</c:v>
                </c:pt>
                <c:pt idx="115">
                  <c:v>144.54397707459285</c:v>
                </c:pt>
                <c:pt idx="116">
                  <c:v>147.91083881682084</c:v>
                </c:pt>
                <c:pt idx="117">
                  <c:v>151.3561248436209</c:v>
                </c:pt>
                <c:pt idx="118">
                  <c:v>154.8816618912482</c:v>
                </c:pt>
                <c:pt idx="119">
                  <c:v>158.48931924611153</c:v>
                </c:pt>
                <c:pt idx="120">
                  <c:v>162.18100973589304</c:v>
                </c:pt>
                <c:pt idx="121">
                  <c:v>165.95869074375622</c:v>
                </c:pt>
                <c:pt idx="122">
                  <c:v>169.82436524617444</c:v>
                </c:pt>
                <c:pt idx="123">
                  <c:v>173.78008287493768</c:v>
                </c:pt>
                <c:pt idx="124">
                  <c:v>177.82794100389242</c:v>
                </c:pt>
                <c:pt idx="125">
                  <c:v>181.9700858609983</c:v>
                </c:pt>
                <c:pt idx="126">
                  <c:v>186.20871366628685</c:v>
                </c:pt>
                <c:pt idx="127">
                  <c:v>190.54607179632498</c:v>
                </c:pt>
                <c:pt idx="128">
                  <c:v>194.98445997580458</c:v>
                </c:pt>
                <c:pt idx="129">
                  <c:v>199.52623149688802</c:v>
                </c:pt>
                <c:pt idx="130">
                  <c:v>204.17379446695315</c:v>
                </c:pt>
                <c:pt idx="131">
                  <c:v>208.92961308540396</c:v>
                </c:pt>
                <c:pt idx="132">
                  <c:v>213.79620895022339</c:v>
                </c:pt>
                <c:pt idx="133">
                  <c:v>218.77616239495524</c:v>
                </c:pt>
                <c:pt idx="134">
                  <c:v>223.87211385683412</c:v>
                </c:pt>
                <c:pt idx="135">
                  <c:v>229.08676527677744</c:v>
                </c:pt>
                <c:pt idx="136">
                  <c:v>234.42288153199232</c:v>
                </c:pt>
                <c:pt idx="137">
                  <c:v>239.88329190194912</c:v>
                </c:pt>
                <c:pt idx="138">
                  <c:v>245.4708915685033</c:v>
                </c:pt>
                <c:pt idx="139">
                  <c:v>251.18864315095806</c:v>
                </c:pt>
                <c:pt idx="140">
                  <c:v>257.03957827688663</c:v>
                </c:pt>
                <c:pt idx="141">
                  <c:v>263.02679918953817</c:v>
                </c:pt>
                <c:pt idx="142">
                  <c:v>269.15348039269179</c:v>
                </c:pt>
                <c:pt idx="143">
                  <c:v>275.42287033381683</c:v>
                </c:pt>
                <c:pt idx="144">
                  <c:v>281.83829312644554</c:v>
                </c:pt>
                <c:pt idx="145">
                  <c:v>288.40315031266073</c:v>
                </c:pt>
                <c:pt idx="146">
                  <c:v>295.12092266663871</c:v>
                </c:pt>
                <c:pt idx="147">
                  <c:v>301.99517204020168</c:v>
                </c:pt>
                <c:pt idx="148">
                  <c:v>309.02954325135937</c:v>
                </c:pt>
                <c:pt idx="149">
                  <c:v>316.22776601683825</c:v>
                </c:pt>
                <c:pt idx="150">
                  <c:v>323.59365692962825</c:v>
                </c:pt>
                <c:pt idx="151">
                  <c:v>331.13112148259137</c:v>
                </c:pt>
                <c:pt idx="152">
                  <c:v>338.84415613920277</c:v>
                </c:pt>
                <c:pt idx="153">
                  <c:v>346.73685045253183</c:v>
                </c:pt>
                <c:pt idx="154">
                  <c:v>354.81338923357566</c:v>
                </c:pt>
                <c:pt idx="155">
                  <c:v>363.07805477010152</c:v>
                </c:pt>
                <c:pt idx="156">
                  <c:v>371.53522909717265</c:v>
                </c:pt>
                <c:pt idx="157">
                  <c:v>380.18939632056163</c:v>
                </c:pt>
                <c:pt idx="158">
                  <c:v>389.04514499428063</c:v>
                </c:pt>
                <c:pt idx="159">
                  <c:v>398.10717055349761</c:v>
                </c:pt>
                <c:pt idx="160">
                  <c:v>407.38027780411272</c:v>
                </c:pt>
                <c:pt idx="161">
                  <c:v>416.86938347033572</c:v>
                </c:pt>
                <c:pt idx="162">
                  <c:v>426.57951880159294</c:v>
                </c:pt>
                <c:pt idx="163">
                  <c:v>436.51583224016622</c:v>
                </c:pt>
                <c:pt idx="164">
                  <c:v>446.68359215096331</c:v>
                </c:pt>
                <c:pt idx="165">
                  <c:v>457.0881896148756</c:v>
                </c:pt>
                <c:pt idx="166">
                  <c:v>467.7351412871983</c:v>
                </c:pt>
                <c:pt idx="167">
                  <c:v>478.63009232263886</c:v>
                </c:pt>
                <c:pt idx="168">
                  <c:v>489.77881936844625</c:v>
                </c:pt>
                <c:pt idx="169">
                  <c:v>501.18723362727269</c:v>
                </c:pt>
                <c:pt idx="170">
                  <c:v>512.86138399136519</c:v>
                </c:pt>
                <c:pt idx="171">
                  <c:v>524.80746024977248</c:v>
                </c:pt>
                <c:pt idx="172">
                  <c:v>537.03179637025301</c:v>
                </c:pt>
                <c:pt idx="173">
                  <c:v>549.54087385762534</c:v>
                </c:pt>
                <c:pt idx="174">
                  <c:v>562.34132519034927</c:v>
                </c:pt>
                <c:pt idx="175">
                  <c:v>575.43993733715706</c:v>
                </c:pt>
                <c:pt idx="176">
                  <c:v>588.84365535558959</c:v>
                </c:pt>
                <c:pt idx="177">
                  <c:v>602.55958607435832</c:v>
                </c:pt>
                <c:pt idx="178">
                  <c:v>616.59500186148273</c:v>
                </c:pt>
                <c:pt idx="179">
                  <c:v>630.95734448019323</c:v>
                </c:pt>
                <c:pt idx="180">
                  <c:v>645.65422903465594</c:v>
                </c:pt>
                <c:pt idx="181">
                  <c:v>660.69344800759643</c:v>
                </c:pt>
                <c:pt idx="182">
                  <c:v>676.08297539198213</c:v>
                </c:pt>
                <c:pt idx="183">
                  <c:v>691.83097091893671</c:v>
                </c:pt>
                <c:pt idx="184">
                  <c:v>707.94578438413873</c:v>
                </c:pt>
                <c:pt idx="185">
                  <c:v>724.43596007499025</c:v>
                </c:pt>
                <c:pt idx="186">
                  <c:v>741.31024130091828</c:v>
                </c:pt>
                <c:pt idx="187">
                  <c:v>758.57757502918378</c:v>
                </c:pt>
                <c:pt idx="188">
                  <c:v>776.24711662869231</c:v>
                </c:pt>
                <c:pt idx="189">
                  <c:v>794.32823472428208</c:v>
                </c:pt>
                <c:pt idx="190">
                  <c:v>812.83051616409978</c:v>
                </c:pt>
                <c:pt idx="191">
                  <c:v>831.7637711026714</c:v>
                </c:pt>
                <c:pt idx="192">
                  <c:v>851.13803820237763</c:v>
                </c:pt>
                <c:pt idx="193">
                  <c:v>870.96358995608091</c:v>
                </c:pt>
                <c:pt idx="194">
                  <c:v>891.25093813374656</c:v>
                </c:pt>
                <c:pt idx="195">
                  <c:v>912.01083935590987</c:v>
                </c:pt>
                <c:pt idx="196">
                  <c:v>933.25430079699106</c:v>
                </c:pt>
                <c:pt idx="197">
                  <c:v>954.99258602143675</c:v>
                </c:pt>
                <c:pt idx="198">
                  <c:v>977.23722095581138</c:v>
                </c:pt>
                <c:pt idx="199">
                  <c:v>1000</c:v>
                </c:pt>
                <c:pt idx="200">
                  <c:v>1023.2929922807547</c:v>
                </c:pt>
                <c:pt idx="201">
                  <c:v>1047.1285480509</c:v>
                </c:pt>
                <c:pt idx="202">
                  <c:v>1071.5193052376069</c:v>
                </c:pt>
                <c:pt idx="203">
                  <c:v>1096.4781961431863</c:v>
                </c:pt>
                <c:pt idx="204">
                  <c:v>1122.0184543019636</c:v>
                </c:pt>
                <c:pt idx="205">
                  <c:v>1148.1536214968839</c:v>
                </c:pt>
                <c:pt idx="206">
                  <c:v>1174.8975549395295</c:v>
                </c:pt>
                <c:pt idx="207">
                  <c:v>1202.2644346174138</c:v>
                </c:pt>
                <c:pt idx="208">
                  <c:v>1230.2687708123824</c:v>
                </c:pt>
                <c:pt idx="209">
                  <c:v>1258.925411794168</c:v>
                </c:pt>
                <c:pt idx="210">
                  <c:v>1288.2495516931347</c:v>
                </c:pt>
                <c:pt idx="211">
                  <c:v>1318.2567385564089</c:v>
                </c:pt>
                <c:pt idx="212">
                  <c:v>1348.9628825916541</c:v>
                </c:pt>
                <c:pt idx="213">
                  <c:v>1380.3842646028863</c:v>
                </c:pt>
                <c:pt idx="214">
                  <c:v>1412.5375446227545</c:v>
                </c:pt>
                <c:pt idx="215">
                  <c:v>1445.4397707459289</c:v>
                </c:pt>
                <c:pt idx="216">
                  <c:v>1479.1083881682086</c:v>
                </c:pt>
                <c:pt idx="217">
                  <c:v>1513.5612484362093</c:v>
                </c:pt>
                <c:pt idx="218">
                  <c:v>1548.8166189124822</c:v>
                </c:pt>
                <c:pt idx="219">
                  <c:v>1584.8931924611156</c:v>
                </c:pt>
                <c:pt idx="220">
                  <c:v>1621.8100973589308</c:v>
                </c:pt>
                <c:pt idx="221">
                  <c:v>1659.5869074375626</c:v>
                </c:pt>
                <c:pt idx="222">
                  <c:v>1698.2436524617447</c:v>
                </c:pt>
                <c:pt idx="223">
                  <c:v>1737.8008287493772</c:v>
                </c:pt>
                <c:pt idx="224">
                  <c:v>1778.2794100389244</c:v>
                </c:pt>
                <c:pt idx="225">
                  <c:v>1819.7008586099832</c:v>
                </c:pt>
                <c:pt idx="226">
                  <c:v>1862.0871366628687</c:v>
                </c:pt>
                <c:pt idx="227">
                  <c:v>1905.4607179632501</c:v>
                </c:pt>
                <c:pt idx="228">
                  <c:v>1949.8445997580463</c:v>
                </c:pt>
                <c:pt idx="229">
                  <c:v>1995.2623149688804</c:v>
                </c:pt>
                <c:pt idx="230">
                  <c:v>2041.7379446695318</c:v>
                </c:pt>
                <c:pt idx="231">
                  <c:v>2089.2961308540398</c:v>
                </c:pt>
                <c:pt idx="232">
                  <c:v>2137.9620895022344</c:v>
                </c:pt>
                <c:pt idx="233">
                  <c:v>2187.7616239495528</c:v>
                </c:pt>
                <c:pt idx="234">
                  <c:v>2238.7211385683418</c:v>
                </c:pt>
                <c:pt idx="235">
                  <c:v>2290.8676527677749</c:v>
                </c:pt>
                <c:pt idx="236">
                  <c:v>2344.2288153199238</c:v>
                </c:pt>
                <c:pt idx="237">
                  <c:v>2398.8329190194918</c:v>
                </c:pt>
                <c:pt idx="238">
                  <c:v>2454.7089156850338</c:v>
                </c:pt>
                <c:pt idx="239">
                  <c:v>2511.8864315095811</c:v>
                </c:pt>
                <c:pt idx="240">
                  <c:v>2570.3957827688669</c:v>
                </c:pt>
                <c:pt idx="241">
                  <c:v>2630.2679918953822</c:v>
                </c:pt>
                <c:pt idx="242">
                  <c:v>2691.5348039269184</c:v>
                </c:pt>
                <c:pt idx="243">
                  <c:v>2754.228703338169</c:v>
                </c:pt>
                <c:pt idx="244">
                  <c:v>2818.3829312644561</c:v>
                </c:pt>
                <c:pt idx="245">
                  <c:v>2884.0315031266077</c:v>
                </c:pt>
                <c:pt idx="246">
                  <c:v>2951.2092266663876</c:v>
                </c:pt>
                <c:pt idx="247">
                  <c:v>3019.9517204020176</c:v>
                </c:pt>
                <c:pt idx="248">
                  <c:v>3090.295432513592</c:v>
                </c:pt>
                <c:pt idx="249">
                  <c:v>3162.2776601683804</c:v>
                </c:pt>
                <c:pt idx="250">
                  <c:v>3235.9365692962833</c:v>
                </c:pt>
                <c:pt idx="251">
                  <c:v>3311.3112148259115</c:v>
                </c:pt>
                <c:pt idx="252">
                  <c:v>3388.4415613920314</c:v>
                </c:pt>
                <c:pt idx="253">
                  <c:v>3467.3685045253224</c:v>
                </c:pt>
                <c:pt idx="254">
                  <c:v>3548.1338923357539</c:v>
                </c:pt>
                <c:pt idx="255">
                  <c:v>3630.7805477010188</c:v>
                </c:pt>
                <c:pt idx="256">
                  <c:v>3715.352290971724</c:v>
                </c:pt>
                <c:pt idx="257">
                  <c:v>3801.8939632056172</c:v>
                </c:pt>
                <c:pt idx="258">
                  <c:v>3890.451449942811</c:v>
                </c:pt>
                <c:pt idx="259">
                  <c:v>3981.0717055349769</c:v>
                </c:pt>
                <c:pt idx="260">
                  <c:v>4073.8027780411317</c:v>
                </c:pt>
                <c:pt idx="261">
                  <c:v>4168.6938347033583</c:v>
                </c:pt>
                <c:pt idx="262">
                  <c:v>4265.7951880159299</c:v>
                </c:pt>
                <c:pt idx="263">
                  <c:v>4365.1583224016631</c:v>
                </c:pt>
                <c:pt idx="264">
                  <c:v>4466.8359215096343</c:v>
                </c:pt>
                <c:pt idx="265">
                  <c:v>4570.8818961487532</c:v>
                </c:pt>
                <c:pt idx="266">
                  <c:v>4677.3514128719844</c:v>
                </c:pt>
                <c:pt idx="267">
                  <c:v>4786.3009232263848</c:v>
                </c:pt>
                <c:pt idx="268">
                  <c:v>4897.7881936844633</c:v>
                </c:pt>
                <c:pt idx="269">
                  <c:v>5011.8723362727324</c:v>
                </c:pt>
                <c:pt idx="270">
                  <c:v>5128.6138399136489</c:v>
                </c:pt>
                <c:pt idx="271">
                  <c:v>5248.0746024977261</c:v>
                </c:pt>
                <c:pt idx="272">
                  <c:v>5370.3179637025269</c:v>
                </c:pt>
                <c:pt idx="273">
                  <c:v>5495.4087385762541</c:v>
                </c:pt>
                <c:pt idx="274">
                  <c:v>5623.4132519034993</c:v>
                </c:pt>
                <c:pt idx="275">
                  <c:v>5754.399373371567</c:v>
                </c:pt>
                <c:pt idx="276">
                  <c:v>5888.4365535558973</c:v>
                </c:pt>
                <c:pt idx="277">
                  <c:v>6025.595860743585</c:v>
                </c:pt>
                <c:pt idx="278">
                  <c:v>6165.9500186148289</c:v>
                </c:pt>
                <c:pt idx="279">
                  <c:v>6309.5734448019384</c:v>
                </c:pt>
                <c:pt idx="280">
                  <c:v>6456.5422903465615</c:v>
                </c:pt>
                <c:pt idx="281">
                  <c:v>6606.9344800759654</c:v>
                </c:pt>
                <c:pt idx="282">
                  <c:v>6760.8297539198229</c:v>
                </c:pt>
                <c:pt idx="283">
                  <c:v>6918.3097091893687</c:v>
                </c:pt>
                <c:pt idx="284">
                  <c:v>7079.4578438413828</c:v>
                </c:pt>
                <c:pt idx="285">
                  <c:v>7244.3596007499036</c:v>
                </c:pt>
                <c:pt idx="286">
                  <c:v>7413.1024130091773</c:v>
                </c:pt>
                <c:pt idx="287">
                  <c:v>7585.7757502918394</c:v>
                </c:pt>
                <c:pt idx="288">
                  <c:v>7762.4711662869322</c:v>
                </c:pt>
                <c:pt idx="289">
                  <c:v>7943.2823472428154</c:v>
                </c:pt>
                <c:pt idx="290">
                  <c:v>8128.3051616410066</c:v>
                </c:pt>
                <c:pt idx="291">
                  <c:v>8317.6377110267094</c:v>
                </c:pt>
                <c:pt idx="292">
                  <c:v>8511.3803820237772</c:v>
                </c:pt>
                <c:pt idx="293">
                  <c:v>8709.6358995608189</c:v>
                </c:pt>
                <c:pt idx="294">
                  <c:v>8912.5093813374679</c:v>
                </c:pt>
                <c:pt idx="295">
                  <c:v>9120.1083935591087</c:v>
                </c:pt>
                <c:pt idx="296">
                  <c:v>9332.5430079699217</c:v>
                </c:pt>
                <c:pt idx="297">
                  <c:v>9549.9258602143691</c:v>
                </c:pt>
                <c:pt idx="298">
                  <c:v>9772.3722095581161</c:v>
                </c:pt>
                <c:pt idx="299">
                  <c:v>10000</c:v>
                </c:pt>
                <c:pt idx="300">
                  <c:v>10232.929922807549</c:v>
                </c:pt>
                <c:pt idx="301">
                  <c:v>10471.285480509003</c:v>
                </c:pt>
                <c:pt idx="302">
                  <c:v>10715.193052376071</c:v>
                </c:pt>
                <c:pt idx="303">
                  <c:v>10964.781961431856</c:v>
                </c:pt>
                <c:pt idx="304">
                  <c:v>11220.184543019639</c:v>
                </c:pt>
                <c:pt idx="305">
                  <c:v>11481.536214968832</c:v>
                </c:pt>
                <c:pt idx="306">
                  <c:v>11748.975549395318</c:v>
                </c:pt>
                <c:pt idx="307">
                  <c:v>12022.644346174151</c:v>
                </c:pt>
                <c:pt idx="308">
                  <c:v>12302.687708123816</c:v>
                </c:pt>
                <c:pt idx="309">
                  <c:v>12589.254117941671</c:v>
                </c:pt>
                <c:pt idx="310">
                  <c:v>12882.49551693136</c:v>
                </c:pt>
                <c:pt idx="311">
                  <c:v>13182.567385564091</c:v>
                </c:pt>
                <c:pt idx="312">
                  <c:v>13489.628825916556</c:v>
                </c:pt>
                <c:pt idx="313">
                  <c:v>13803.842646028841</c:v>
                </c:pt>
                <c:pt idx="314">
                  <c:v>14125.375446227561</c:v>
                </c:pt>
                <c:pt idx="315">
                  <c:v>14454.397707459291</c:v>
                </c:pt>
                <c:pt idx="316">
                  <c:v>14791.083881682089</c:v>
                </c:pt>
                <c:pt idx="317">
                  <c:v>15135.612484362096</c:v>
                </c:pt>
                <c:pt idx="318">
                  <c:v>15488.166189124853</c:v>
                </c:pt>
                <c:pt idx="319">
                  <c:v>15848.931924611146</c:v>
                </c:pt>
                <c:pt idx="320">
                  <c:v>16218.100973589309</c:v>
                </c:pt>
                <c:pt idx="321">
                  <c:v>16595.869074375616</c:v>
                </c:pt>
                <c:pt idx="322">
                  <c:v>16982.436524617482</c:v>
                </c:pt>
                <c:pt idx="323">
                  <c:v>17378.008287493791</c:v>
                </c:pt>
                <c:pt idx="324">
                  <c:v>17782.794100389234</c:v>
                </c:pt>
                <c:pt idx="325">
                  <c:v>18197.008586099837</c:v>
                </c:pt>
                <c:pt idx="326">
                  <c:v>18620.871366628675</c:v>
                </c:pt>
                <c:pt idx="327">
                  <c:v>19054.607179632505</c:v>
                </c:pt>
                <c:pt idx="328">
                  <c:v>19498.445997580486</c:v>
                </c:pt>
                <c:pt idx="329">
                  <c:v>19952.623149688792</c:v>
                </c:pt>
                <c:pt idx="330">
                  <c:v>20417.379446695286</c:v>
                </c:pt>
                <c:pt idx="331">
                  <c:v>20892.961308540423</c:v>
                </c:pt>
                <c:pt idx="332">
                  <c:v>21379.620895022348</c:v>
                </c:pt>
                <c:pt idx="333">
                  <c:v>21877.61623949555</c:v>
                </c:pt>
                <c:pt idx="334">
                  <c:v>22387.211385683382</c:v>
                </c:pt>
                <c:pt idx="335">
                  <c:v>22908.676527677751</c:v>
                </c:pt>
                <c:pt idx="336">
                  <c:v>23442.288153199243</c:v>
                </c:pt>
                <c:pt idx="337">
                  <c:v>23988.329190194923</c:v>
                </c:pt>
                <c:pt idx="338">
                  <c:v>24547.089156850321</c:v>
                </c:pt>
                <c:pt idx="339">
                  <c:v>25118.86431509586</c:v>
                </c:pt>
                <c:pt idx="340">
                  <c:v>25703.95782768865</c:v>
                </c:pt>
                <c:pt idx="341">
                  <c:v>26302.679918953829</c:v>
                </c:pt>
                <c:pt idx="342">
                  <c:v>26915.348039269167</c:v>
                </c:pt>
                <c:pt idx="343">
                  <c:v>27542.287033381719</c:v>
                </c:pt>
                <c:pt idx="344">
                  <c:v>28183.829312644593</c:v>
                </c:pt>
                <c:pt idx="345">
                  <c:v>28840.315031266062</c:v>
                </c:pt>
                <c:pt idx="346">
                  <c:v>29512.092266663854</c:v>
                </c:pt>
                <c:pt idx="347">
                  <c:v>30199.517204020212</c:v>
                </c:pt>
                <c:pt idx="348">
                  <c:v>30902.954325135954</c:v>
                </c:pt>
                <c:pt idx="349">
                  <c:v>31622.77660168384</c:v>
                </c:pt>
                <c:pt idx="350">
                  <c:v>32359.365692962871</c:v>
                </c:pt>
                <c:pt idx="351">
                  <c:v>33113.11214825909</c:v>
                </c:pt>
                <c:pt idx="352">
                  <c:v>33884.41561392029</c:v>
                </c:pt>
                <c:pt idx="353">
                  <c:v>34673.685045253202</c:v>
                </c:pt>
                <c:pt idx="354">
                  <c:v>35481.33892335758</c:v>
                </c:pt>
                <c:pt idx="355">
                  <c:v>36307.805477010232</c:v>
                </c:pt>
                <c:pt idx="356">
                  <c:v>37153.522909717351</c:v>
                </c:pt>
                <c:pt idx="357">
                  <c:v>38018.939632056143</c:v>
                </c:pt>
                <c:pt idx="358">
                  <c:v>38904.514499428085</c:v>
                </c:pt>
                <c:pt idx="359">
                  <c:v>39810.717055349742</c:v>
                </c:pt>
                <c:pt idx="360">
                  <c:v>40738.027780411358</c:v>
                </c:pt>
                <c:pt idx="361">
                  <c:v>41686.938347033625</c:v>
                </c:pt>
                <c:pt idx="362">
                  <c:v>42657.951880159271</c:v>
                </c:pt>
                <c:pt idx="363">
                  <c:v>43651.583224016598</c:v>
                </c:pt>
                <c:pt idx="364">
                  <c:v>44668.359215096389</c:v>
                </c:pt>
                <c:pt idx="365">
                  <c:v>45708.818961487581</c:v>
                </c:pt>
                <c:pt idx="366">
                  <c:v>46773.514128719893</c:v>
                </c:pt>
                <c:pt idx="367">
                  <c:v>47863.009232263823</c:v>
                </c:pt>
                <c:pt idx="368">
                  <c:v>48977.881936844598</c:v>
                </c:pt>
                <c:pt idx="369">
                  <c:v>50118.723362727294</c:v>
                </c:pt>
                <c:pt idx="370">
                  <c:v>51286.138399136544</c:v>
                </c:pt>
                <c:pt idx="371">
                  <c:v>52480.746024977314</c:v>
                </c:pt>
                <c:pt idx="372">
                  <c:v>53703.179637025423</c:v>
                </c:pt>
                <c:pt idx="373">
                  <c:v>54954.087385762505</c:v>
                </c:pt>
                <c:pt idx="374">
                  <c:v>56234.132519034953</c:v>
                </c:pt>
                <c:pt idx="375">
                  <c:v>57543.993733715732</c:v>
                </c:pt>
                <c:pt idx="376">
                  <c:v>58884.365535558936</c:v>
                </c:pt>
                <c:pt idx="377">
                  <c:v>60255.95860743591</c:v>
                </c:pt>
                <c:pt idx="378">
                  <c:v>61659.500186148245</c:v>
                </c:pt>
                <c:pt idx="379">
                  <c:v>63095.734448019342</c:v>
                </c:pt>
                <c:pt idx="380">
                  <c:v>64565.422903465682</c:v>
                </c:pt>
                <c:pt idx="381">
                  <c:v>66069.344800759733</c:v>
                </c:pt>
                <c:pt idx="382">
                  <c:v>67608.297539198305</c:v>
                </c:pt>
                <c:pt idx="383">
                  <c:v>69183.097091893651</c:v>
                </c:pt>
                <c:pt idx="384">
                  <c:v>70794.578438413781</c:v>
                </c:pt>
                <c:pt idx="385">
                  <c:v>72443.596007499116</c:v>
                </c:pt>
                <c:pt idx="386">
                  <c:v>74131.024130091857</c:v>
                </c:pt>
                <c:pt idx="387">
                  <c:v>75857.757502918481</c:v>
                </c:pt>
                <c:pt idx="388">
                  <c:v>77624.711662869129</c:v>
                </c:pt>
                <c:pt idx="389">
                  <c:v>79432.823472428237</c:v>
                </c:pt>
                <c:pt idx="390">
                  <c:v>81283.051616410012</c:v>
                </c:pt>
                <c:pt idx="391">
                  <c:v>83176.377110267174</c:v>
                </c:pt>
                <c:pt idx="392">
                  <c:v>85113.803820237721</c:v>
                </c:pt>
                <c:pt idx="393">
                  <c:v>87096.358995608127</c:v>
                </c:pt>
                <c:pt idx="394">
                  <c:v>89125.093813374609</c:v>
                </c:pt>
                <c:pt idx="395">
                  <c:v>91201.083935591028</c:v>
                </c:pt>
                <c:pt idx="396">
                  <c:v>93325.430079699145</c:v>
                </c:pt>
                <c:pt idx="397">
                  <c:v>95499.258602143804</c:v>
                </c:pt>
                <c:pt idx="398">
                  <c:v>97723.722095581266</c:v>
                </c:pt>
                <c:pt idx="399">
                  <c:v>100000</c:v>
                </c:pt>
                <c:pt idx="400">
                  <c:v>102329.29922807543</c:v>
                </c:pt>
                <c:pt idx="401">
                  <c:v>104712.85480508996</c:v>
                </c:pt>
                <c:pt idx="402">
                  <c:v>107151.93052376082</c:v>
                </c:pt>
                <c:pt idx="403">
                  <c:v>109647.81961431868</c:v>
                </c:pt>
                <c:pt idx="404">
                  <c:v>112201.84543019651</c:v>
                </c:pt>
                <c:pt idx="405">
                  <c:v>114815.36214968823</c:v>
                </c:pt>
                <c:pt idx="406">
                  <c:v>117489.75549395311</c:v>
                </c:pt>
                <c:pt idx="407">
                  <c:v>120226.44346174144</c:v>
                </c:pt>
                <c:pt idx="408">
                  <c:v>123026.87708123829</c:v>
                </c:pt>
                <c:pt idx="409">
                  <c:v>125892.54117941685</c:v>
                </c:pt>
                <c:pt idx="410">
                  <c:v>128824.95516931375</c:v>
                </c:pt>
                <c:pt idx="411">
                  <c:v>131825.67385564081</c:v>
                </c:pt>
                <c:pt idx="412">
                  <c:v>134896.28825916545</c:v>
                </c:pt>
                <c:pt idx="413">
                  <c:v>138038.42646028858</c:v>
                </c:pt>
                <c:pt idx="414">
                  <c:v>141253.75446227577</c:v>
                </c:pt>
                <c:pt idx="415">
                  <c:v>144543.97707459307</c:v>
                </c:pt>
                <c:pt idx="416">
                  <c:v>147910.83881682079</c:v>
                </c:pt>
                <c:pt idx="417">
                  <c:v>151356.12484362084</c:v>
                </c:pt>
                <c:pt idx="418">
                  <c:v>154881.66189124843</c:v>
                </c:pt>
                <c:pt idx="419">
                  <c:v>158489.31924611164</c:v>
                </c:pt>
                <c:pt idx="420">
                  <c:v>162181.00973589328</c:v>
                </c:pt>
                <c:pt idx="421">
                  <c:v>165958.69074375604</c:v>
                </c:pt>
                <c:pt idx="422">
                  <c:v>169824.36524617471</c:v>
                </c:pt>
                <c:pt idx="423">
                  <c:v>173780.0828749378</c:v>
                </c:pt>
                <c:pt idx="424">
                  <c:v>177827.94100389251</c:v>
                </c:pt>
                <c:pt idx="425">
                  <c:v>181970.08586099857</c:v>
                </c:pt>
                <c:pt idx="426">
                  <c:v>186208.71366628664</c:v>
                </c:pt>
                <c:pt idx="427">
                  <c:v>190546.07179632492</c:v>
                </c:pt>
                <c:pt idx="428">
                  <c:v>194984.45997580473</c:v>
                </c:pt>
                <c:pt idx="429">
                  <c:v>199526.23149688813</c:v>
                </c:pt>
                <c:pt idx="430">
                  <c:v>204173.79446695308</c:v>
                </c:pt>
                <c:pt idx="431">
                  <c:v>208929.61308540447</c:v>
                </c:pt>
                <c:pt idx="432">
                  <c:v>213796.20895022334</c:v>
                </c:pt>
                <c:pt idx="433">
                  <c:v>218776.16239495538</c:v>
                </c:pt>
                <c:pt idx="434">
                  <c:v>223872.11385683404</c:v>
                </c:pt>
                <c:pt idx="435">
                  <c:v>229086.76527677779</c:v>
                </c:pt>
                <c:pt idx="436">
                  <c:v>234422.88153199267</c:v>
                </c:pt>
                <c:pt idx="437">
                  <c:v>239883.29190194907</c:v>
                </c:pt>
                <c:pt idx="438">
                  <c:v>245470.89156850305</c:v>
                </c:pt>
                <c:pt idx="439">
                  <c:v>251188.64315095844</c:v>
                </c:pt>
                <c:pt idx="440">
                  <c:v>257039.57827688678</c:v>
                </c:pt>
                <c:pt idx="441">
                  <c:v>263026.79918953858</c:v>
                </c:pt>
                <c:pt idx="442">
                  <c:v>269153.48039269145</c:v>
                </c:pt>
                <c:pt idx="443">
                  <c:v>275422.87033381703</c:v>
                </c:pt>
                <c:pt idx="444">
                  <c:v>281838.29312644573</c:v>
                </c:pt>
                <c:pt idx="445">
                  <c:v>288403.1503126609</c:v>
                </c:pt>
                <c:pt idx="446">
                  <c:v>295120.92266663886</c:v>
                </c:pt>
                <c:pt idx="447">
                  <c:v>301995.17204020242</c:v>
                </c:pt>
                <c:pt idx="448">
                  <c:v>309029.54325135931</c:v>
                </c:pt>
                <c:pt idx="449">
                  <c:v>316227.7660168382</c:v>
                </c:pt>
                <c:pt idx="450">
                  <c:v>323593.65692962846</c:v>
                </c:pt>
                <c:pt idx="451">
                  <c:v>331131.12148259126</c:v>
                </c:pt>
                <c:pt idx="452">
                  <c:v>338844.15613920329</c:v>
                </c:pt>
                <c:pt idx="453">
                  <c:v>346736.85045253241</c:v>
                </c:pt>
                <c:pt idx="454">
                  <c:v>354813.38923357555</c:v>
                </c:pt>
                <c:pt idx="455">
                  <c:v>363078.05477010203</c:v>
                </c:pt>
                <c:pt idx="456">
                  <c:v>371535.2290971732</c:v>
                </c:pt>
                <c:pt idx="457">
                  <c:v>380189.39632056188</c:v>
                </c:pt>
                <c:pt idx="458">
                  <c:v>389045.14499428123</c:v>
                </c:pt>
                <c:pt idx="459">
                  <c:v>398107.17055349716</c:v>
                </c:pt>
                <c:pt idx="460">
                  <c:v>407380.27780411334</c:v>
                </c:pt>
                <c:pt idx="461">
                  <c:v>416869.38347033598</c:v>
                </c:pt>
                <c:pt idx="462">
                  <c:v>426579.51880159322</c:v>
                </c:pt>
                <c:pt idx="463">
                  <c:v>436515.83224016649</c:v>
                </c:pt>
                <c:pt idx="464">
                  <c:v>446683.59215096442</c:v>
                </c:pt>
                <c:pt idx="465">
                  <c:v>457088.18961487547</c:v>
                </c:pt>
                <c:pt idx="466">
                  <c:v>467735.14128719864</c:v>
                </c:pt>
                <c:pt idx="467">
                  <c:v>478630.09232263872</c:v>
                </c:pt>
                <c:pt idx="468">
                  <c:v>489778.81936844654</c:v>
                </c:pt>
                <c:pt idx="469">
                  <c:v>501187.23362727347</c:v>
                </c:pt>
                <c:pt idx="470">
                  <c:v>512861.38399136515</c:v>
                </c:pt>
                <c:pt idx="471">
                  <c:v>524807.46024977288</c:v>
                </c:pt>
                <c:pt idx="472">
                  <c:v>537031.7963702539</c:v>
                </c:pt>
                <c:pt idx="473">
                  <c:v>549540.87385762564</c:v>
                </c:pt>
                <c:pt idx="474">
                  <c:v>562341.32519035018</c:v>
                </c:pt>
                <c:pt idx="475">
                  <c:v>575439.93733715697</c:v>
                </c:pt>
                <c:pt idx="476">
                  <c:v>588843.65535558888</c:v>
                </c:pt>
                <c:pt idx="477">
                  <c:v>602559.58607435878</c:v>
                </c:pt>
                <c:pt idx="478">
                  <c:v>616595.00186148309</c:v>
                </c:pt>
                <c:pt idx="479">
                  <c:v>630957.34448019415</c:v>
                </c:pt>
                <c:pt idx="480">
                  <c:v>645654.22903465747</c:v>
                </c:pt>
                <c:pt idx="481">
                  <c:v>660693.44800759677</c:v>
                </c:pt>
                <c:pt idx="482">
                  <c:v>676082.97539198259</c:v>
                </c:pt>
                <c:pt idx="483">
                  <c:v>691830.97091893724</c:v>
                </c:pt>
                <c:pt idx="484">
                  <c:v>707945.78438413853</c:v>
                </c:pt>
                <c:pt idx="485">
                  <c:v>724435.96007499192</c:v>
                </c:pt>
                <c:pt idx="486">
                  <c:v>741310.24130091805</c:v>
                </c:pt>
                <c:pt idx="487">
                  <c:v>758577.57502918423</c:v>
                </c:pt>
                <c:pt idx="488">
                  <c:v>776247.11662869214</c:v>
                </c:pt>
                <c:pt idx="489">
                  <c:v>794328.23472428333</c:v>
                </c:pt>
                <c:pt idx="490">
                  <c:v>812830.51616410096</c:v>
                </c:pt>
                <c:pt idx="491">
                  <c:v>831763.77110267128</c:v>
                </c:pt>
                <c:pt idx="492">
                  <c:v>851138.03820237669</c:v>
                </c:pt>
                <c:pt idx="493">
                  <c:v>870963.58995608077</c:v>
                </c:pt>
                <c:pt idx="494">
                  <c:v>891250.93813374708</c:v>
                </c:pt>
                <c:pt idx="495">
                  <c:v>912010.83935591124</c:v>
                </c:pt>
                <c:pt idx="496">
                  <c:v>933254.30079699249</c:v>
                </c:pt>
                <c:pt idx="497">
                  <c:v>954992.58602143743</c:v>
                </c:pt>
                <c:pt idx="498">
                  <c:v>977237.22095581202</c:v>
                </c:pt>
                <c:pt idx="499">
                  <c:v>1000000</c:v>
                </c:pt>
                <c:pt idx="500">
                  <c:v>1023292.9922807553</c:v>
                </c:pt>
                <c:pt idx="501">
                  <c:v>1047128.5480509007</c:v>
                </c:pt>
                <c:pt idx="502">
                  <c:v>1071519.3052376076</c:v>
                </c:pt>
                <c:pt idx="503">
                  <c:v>1096478.196143186</c:v>
                </c:pt>
                <c:pt idx="504">
                  <c:v>1122018.4543019643</c:v>
                </c:pt>
                <c:pt idx="505">
                  <c:v>1148153.6214968837</c:v>
                </c:pt>
                <c:pt idx="506">
                  <c:v>1174897.5549395324</c:v>
                </c:pt>
                <c:pt idx="507">
                  <c:v>1202264.4346174158</c:v>
                </c:pt>
                <c:pt idx="508">
                  <c:v>1230268.770812382</c:v>
                </c:pt>
                <c:pt idx="509">
                  <c:v>1258925.4117941677</c:v>
                </c:pt>
                <c:pt idx="510">
                  <c:v>1288249.5516931366</c:v>
                </c:pt>
                <c:pt idx="511">
                  <c:v>1318256.7385564097</c:v>
                </c:pt>
                <c:pt idx="512">
                  <c:v>1348962.8825916562</c:v>
                </c:pt>
                <c:pt idx="513">
                  <c:v>1380384.2646028849</c:v>
                </c:pt>
                <c:pt idx="514">
                  <c:v>1412537.5446227565</c:v>
                </c:pt>
                <c:pt idx="515">
                  <c:v>1445439.7707459298</c:v>
                </c:pt>
                <c:pt idx="516">
                  <c:v>1479108.3881682095</c:v>
                </c:pt>
                <c:pt idx="517">
                  <c:v>1513561.2484362102</c:v>
                </c:pt>
                <c:pt idx="518">
                  <c:v>1548816.6189124861</c:v>
                </c:pt>
                <c:pt idx="519">
                  <c:v>1584893.1924611153</c:v>
                </c:pt>
                <c:pt idx="520">
                  <c:v>1621810.0973589318</c:v>
                </c:pt>
                <c:pt idx="521">
                  <c:v>1659586.9074375622</c:v>
                </c:pt>
                <c:pt idx="522">
                  <c:v>1698243.6524617488</c:v>
                </c:pt>
                <c:pt idx="523">
                  <c:v>1737800.8287493798</c:v>
                </c:pt>
                <c:pt idx="524">
                  <c:v>1778279.4100389241</c:v>
                </c:pt>
                <c:pt idx="525">
                  <c:v>1819700.8586099846</c:v>
                </c:pt>
                <c:pt idx="526">
                  <c:v>1862087.1366628683</c:v>
                </c:pt>
                <c:pt idx="527">
                  <c:v>1905460.7179632513</c:v>
                </c:pt>
                <c:pt idx="528">
                  <c:v>1949844.5997580495</c:v>
                </c:pt>
                <c:pt idx="529">
                  <c:v>1995262.31496888</c:v>
                </c:pt>
                <c:pt idx="530">
                  <c:v>2041737.9446695296</c:v>
                </c:pt>
                <c:pt idx="531">
                  <c:v>2089296.1308540432</c:v>
                </c:pt>
                <c:pt idx="532">
                  <c:v>2137962.0895022359</c:v>
                </c:pt>
                <c:pt idx="533">
                  <c:v>2187761.6239495561</c:v>
                </c:pt>
                <c:pt idx="534">
                  <c:v>2238721.1385683389</c:v>
                </c:pt>
                <c:pt idx="535">
                  <c:v>2290867.6527677765</c:v>
                </c:pt>
                <c:pt idx="536">
                  <c:v>2344228.8153199251</c:v>
                </c:pt>
                <c:pt idx="537">
                  <c:v>2398832.9190194933</c:v>
                </c:pt>
                <c:pt idx="538">
                  <c:v>2454708.915685033</c:v>
                </c:pt>
                <c:pt idx="539">
                  <c:v>2511886.431509587</c:v>
                </c:pt>
                <c:pt idx="540">
                  <c:v>2570395.782768866</c:v>
                </c:pt>
                <c:pt idx="541">
                  <c:v>2630267.9918953842</c:v>
                </c:pt>
              </c:numCache>
            </c:numRef>
          </c:xVal>
          <c:yVal>
            <c:numRef>
              <c:f>Loop_Modeling!$AQ$19:$AQ$560</c:f>
              <c:numCache>
                <c:formatCode>General</c:formatCode>
                <c:ptCount val="542"/>
                <c:pt idx="0">
                  <c:v>36.845621703241619</c:v>
                </c:pt>
                <c:pt idx="1">
                  <c:v>36.845594594342231</c:v>
                </c:pt>
                <c:pt idx="2">
                  <c:v>36.845566208021332</c:v>
                </c:pt>
                <c:pt idx="3">
                  <c:v>36.845536484093365</c:v>
                </c:pt>
                <c:pt idx="4">
                  <c:v>36.845505359538073</c:v>
                </c:pt>
                <c:pt idx="5">
                  <c:v>36.845472768366967</c:v>
                </c:pt>
                <c:pt idx="6">
                  <c:v>36.845438641483653</c:v>
                </c:pt>
                <c:pt idx="7">
                  <c:v>36.845402906537579</c:v>
                </c:pt>
                <c:pt idx="8">
                  <c:v>36.845365487770785</c:v>
                </c:pt>
                <c:pt idx="9">
                  <c:v>36.845326305857718</c:v>
                </c:pt>
                <c:pt idx="10">
                  <c:v>36.845285277737176</c:v>
                </c:pt>
                <c:pt idx="11">
                  <c:v>36.845242316436703</c:v>
                </c:pt>
                <c:pt idx="12">
                  <c:v>36.845197330888404</c:v>
                </c:pt>
                <c:pt idx="13">
                  <c:v>36.845150225736411</c:v>
                </c:pt>
                <c:pt idx="14">
                  <c:v>36.845100901135069</c:v>
                </c:pt>
                <c:pt idx="15">
                  <c:v>36.845049252537848</c:v>
                </c:pt>
                <c:pt idx="16">
                  <c:v>36.844995170476153</c:v>
                </c:pt>
                <c:pt idx="17">
                  <c:v>36.844938540327881</c:v>
                </c:pt>
                <c:pt idx="18">
                  <c:v>36.844879242075102</c:v>
                </c:pt>
                <c:pt idx="19">
                  <c:v>36.844817150050318</c:v>
                </c:pt>
                <c:pt idx="20">
                  <c:v>36.844752132670891</c:v>
                </c:pt>
                <c:pt idx="21">
                  <c:v>36.84468405216095</c:v>
                </c:pt>
                <c:pt idx="22">
                  <c:v>36.844612764260283</c:v>
                </c:pt>
                <c:pt idx="23">
                  <c:v>36.844538117919669</c:v>
                </c:pt>
                <c:pt idx="24">
                  <c:v>36.844459954981744</c:v>
                </c:pt>
                <c:pt idx="25">
                  <c:v>36.844378109847128</c:v>
                </c:pt>
                <c:pt idx="26">
                  <c:v>36.844292409124783</c:v>
                </c:pt>
                <c:pt idx="27">
                  <c:v>36.844202671265982</c:v>
                </c:pt>
                <c:pt idx="28">
                  <c:v>36.844108706181331</c:v>
                </c:pt>
                <c:pt idx="29">
                  <c:v>36.844010314839608</c:v>
                </c:pt>
                <c:pt idx="30">
                  <c:v>36.843907288848044</c:v>
                </c:pt>
                <c:pt idx="31">
                  <c:v>36.843799410012899</c:v>
                </c:pt>
                <c:pt idx="32">
                  <c:v>36.84368644987952</c:v>
                </c:pt>
                <c:pt idx="33">
                  <c:v>36.843568169250858</c:v>
                </c:pt>
                <c:pt idx="34">
                  <c:v>36.843444317683606</c:v>
                </c:pt>
                <c:pt idx="35">
                  <c:v>36.843314632960691</c:v>
                </c:pt>
                <c:pt idx="36">
                  <c:v>36.843178840539245</c:v>
                </c:pt>
                <c:pt idx="37">
                  <c:v>36.843036652972785</c:v>
                </c:pt>
                <c:pt idx="38">
                  <c:v>36.842887769306564</c:v>
                </c:pt>
                <c:pt idx="39">
                  <c:v>36.84273187444451</c:v>
                </c:pt>
                <c:pt idx="40">
                  <c:v>36.842568638486924</c:v>
                </c:pt>
                <c:pt idx="41">
                  <c:v>36.842397716037325</c:v>
                </c:pt>
                <c:pt idx="42">
                  <c:v>36.842218745476906</c:v>
                </c:pt>
                <c:pt idx="43">
                  <c:v>36.842031348205431</c:v>
                </c:pt>
                <c:pt idx="44">
                  <c:v>36.841835127846821</c:v>
                </c:pt>
                <c:pt idx="45">
                  <c:v>36.841629669417749</c:v>
                </c:pt>
                <c:pt idx="46">
                  <c:v>36.841414538457933</c:v>
                </c:pt>
                <c:pt idx="47">
                  <c:v>36.841189280119842</c:v>
                </c:pt>
                <c:pt idx="48">
                  <c:v>36.840953418216436</c:v>
                </c:pt>
                <c:pt idx="49">
                  <c:v>36.840706454224758</c:v>
                </c:pt>
                <c:pt idx="50">
                  <c:v>36.84044786624348</c:v>
                </c:pt>
                <c:pt idx="51">
                  <c:v>36.840177107902306</c:v>
                </c:pt>
                <c:pt idx="52">
                  <c:v>36.839893607221008</c:v>
                </c:pt>
                <c:pt idx="53">
                  <c:v>36.839596765415997</c:v>
                </c:pt>
                <c:pt idx="54">
                  <c:v>36.839285955651754</c:v>
                </c:pt>
                <c:pt idx="55">
                  <c:v>36.838960521734982</c:v>
                </c:pt>
                <c:pt idx="56">
                  <c:v>36.838619776748708</c:v>
                </c:pt>
                <c:pt idx="57">
                  <c:v>36.838263001623616</c:v>
                </c:pt>
                <c:pt idx="58">
                  <c:v>36.837889443644201</c:v>
                </c:pt>
                <c:pt idx="59">
                  <c:v>36.837498314886126</c:v>
                </c:pt>
                <c:pt idx="60">
                  <c:v>36.837088790582584</c:v>
                </c:pt>
                <c:pt idx="61">
                  <c:v>36.836660007415837</c:v>
                </c:pt>
                <c:pt idx="62">
                  <c:v>36.836211061731021</c:v>
                </c:pt>
                <c:pt idx="63">
                  <c:v>36.835741007668695</c:v>
                </c:pt>
                <c:pt idx="64">
                  <c:v>36.835248855212612</c:v>
                </c:pt>
                <c:pt idx="65">
                  <c:v>36.83473356814897</c:v>
                </c:pt>
                <c:pt idx="66">
                  <c:v>36.834194061933339</c:v>
                </c:pt>
                <c:pt idx="67">
                  <c:v>36.833629201461342</c:v>
                </c:pt>
                <c:pt idx="68">
                  <c:v>36.833037798738772</c:v>
                </c:pt>
                <c:pt idx="69">
                  <c:v>36.832418610447213</c:v>
                </c:pt>
                <c:pt idx="70">
                  <c:v>36.83177033540008</c:v>
                </c:pt>
                <c:pt idx="71">
                  <c:v>36.831091611885313</c:v>
                </c:pt>
                <c:pt idx="72">
                  <c:v>36.830381014889063</c:v>
                </c:pt>
                <c:pt idx="73">
                  <c:v>36.82963705319613</c:v>
                </c:pt>
                <c:pt idx="74">
                  <c:v>36.828858166361513</c:v>
                </c:pt>
                <c:pt idx="75">
                  <c:v>36.828042721548037</c:v>
                </c:pt>
                <c:pt idx="76">
                  <c:v>36.827189010224529</c:v>
                </c:pt>
                <c:pt idx="77">
                  <c:v>36.826295244718693</c:v>
                </c:pt>
                <c:pt idx="78">
                  <c:v>36.825359554619169</c:v>
                </c:pt>
                <c:pt idx="79">
                  <c:v>36.824379983020322</c:v>
                </c:pt>
                <c:pt idx="80">
                  <c:v>36.823354482603946</c:v>
                </c:pt>
                <c:pt idx="81">
                  <c:v>36.822280911551189</c:v>
                </c:pt>
                <c:pt idx="82">
                  <c:v>36.821157029278062</c:v>
                </c:pt>
                <c:pt idx="83">
                  <c:v>36.819980491988204</c:v>
                </c:pt>
                <c:pt idx="84">
                  <c:v>36.81874884803544</c:v>
                </c:pt>
                <c:pt idx="85">
                  <c:v>36.817459533089256</c:v>
                </c:pt>
                <c:pt idx="86">
                  <c:v>36.816109865095882</c:v>
                </c:pt>
                <c:pt idx="87">
                  <c:v>36.814697039027607</c:v>
                </c:pt>
                <c:pt idx="88">
                  <c:v>36.813218121412497</c:v>
                </c:pt>
                <c:pt idx="89">
                  <c:v>36.811670044637125</c:v>
                </c:pt>
                <c:pt idx="90">
                  <c:v>36.810049601014086</c:v>
                </c:pt>
                <c:pt idx="91">
                  <c:v>36.808353436606552</c:v>
                </c:pt>
                <c:pt idx="92">
                  <c:v>36.806578044801796</c:v>
                </c:pt>
                <c:pt idx="93">
                  <c:v>36.804719759625407</c:v>
                </c:pt>
                <c:pt idx="94">
                  <c:v>36.802774748788075</c:v>
                </c:pt>
                <c:pt idx="95">
                  <c:v>36.800739006456723</c:v>
                </c:pt>
                <c:pt idx="96">
                  <c:v>36.798608345741734</c:v>
                </c:pt>
                <c:pt idx="97">
                  <c:v>36.79637839089213</c:v>
                </c:pt>
                <c:pt idx="98">
                  <c:v>36.794044569190554</c:v>
                </c:pt>
                <c:pt idx="99">
                  <c:v>36.791602102539983</c:v>
                </c:pt>
                <c:pt idx="100">
                  <c:v>36.789045998734586</c:v>
                </c:pt>
                <c:pt idx="101">
                  <c:v>36.786371042406806</c:v>
                </c:pt>
                <c:pt idx="102">
                  <c:v>36.783571785643488</c:v>
                </c:pt>
                <c:pt idx="103">
                  <c:v>36.78064253826404</c:v>
                </c:pt>
                <c:pt idx="104">
                  <c:v>36.777577357753977</c:v>
                </c:pt>
                <c:pt idx="105">
                  <c:v>36.77437003884782</c:v>
                </c:pt>
                <c:pt idx="106">
                  <c:v>36.771014102755622</c:v>
                </c:pt>
                <c:pt idx="107">
                  <c:v>36.767502786028473</c:v>
                </c:pt>
                <c:pt idx="108">
                  <c:v>36.763829029058719</c:v>
                </c:pt>
                <c:pt idx="109">
                  <c:v>36.759985464211795</c:v>
                </c:pt>
                <c:pt idx="110">
                  <c:v>36.755964403587221</c:v>
                </c:pt>
                <c:pt idx="111">
                  <c:v>36.751757826407903</c:v>
                </c:pt>
                <c:pt idx="112">
                  <c:v>36.747357366037789</c:v>
                </c:pt>
                <c:pt idx="113">
                  <c:v>36.74275429662957</c:v>
                </c:pt>
                <c:pt idx="114">
                  <c:v>36.737939519405444</c:v>
                </c:pt>
                <c:pt idx="115">
                  <c:v>36.732903548576111</c:v>
                </c:pt>
                <c:pt idx="116">
                  <c:v>36.72763649690495</c:v>
                </c:pt>
                <c:pt idx="117">
                  <c:v>36.722128060926224</c:v>
                </c:pt>
                <c:pt idx="118">
                  <c:v>36.716367505829091</c:v>
                </c:pt>
                <c:pt idx="119">
                  <c:v>36.710343650021343</c:v>
                </c:pt>
                <c:pt idx="120">
                  <c:v>36.704044849389952</c:v>
                </c:pt>
                <c:pt idx="121">
                  <c:v>36.697458981278388</c:v>
                </c:pt>
                <c:pt idx="122">
                  <c:v>36.690573428204296</c:v>
                </c:pt>
                <c:pt idx="123">
                  <c:v>36.683375061344613</c:v>
                </c:pt>
                <c:pt idx="124">
                  <c:v>36.67585022381914</c:v>
                </c:pt>
                <c:pt idx="125">
                  <c:v>36.667984713808352</c:v>
                </c:pt>
                <c:pt idx="126">
                  <c:v>36.659763767544817</c:v>
                </c:pt>
                <c:pt idx="127">
                  <c:v>36.65117204222387</c:v>
                </c:pt>
                <c:pt idx="128">
                  <c:v>36.642193598883011</c:v>
                </c:pt>
                <c:pt idx="129">
                  <c:v>36.632811885306438</c:v>
                </c:pt>
                <c:pt idx="130">
                  <c:v>36.623009719015954</c:v>
                </c:pt>
                <c:pt idx="131">
                  <c:v>36.612769270416621</c:v>
                </c:pt>
                <c:pt idx="132">
                  <c:v>36.602072046171472</c:v>
                </c:pt>
                <c:pt idx="133">
                  <c:v>36.590898872887081</c:v>
                </c:pt>
                <c:pt idx="134">
                  <c:v>36.579229881198657</c:v>
                </c:pt>
                <c:pt idx="135">
                  <c:v>36.56704449035108</c:v>
                </c:pt>
                <c:pt idx="136">
                  <c:v>36.554321393379944</c:v>
                </c:pt>
                <c:pt idx="137">
                  <c:v>36.541038543004916</c:v>
                </c:pt>
                <c:pt idx="138">
                  <c:v>36.527173138355728</c:v>
                </c:pt>
                <c:pt idx="139">
                  <c:v>36.512701612659569</c:v>
                </c:pt>
                <c:pt idx="140">
                  <c:v>36.497599622027238</c:v>
                </c:pt>
                <c:pt idx="141">
                  <c:v>36.481842035483275</c:v>
                </c:pt>
                <c:pt idx="142">
                  <c:v>36.465402926394638</c:v>
                </c:pt>
                <c:pt idx="143">
                  <c:v>36.448255565459831</c:v>
                </c:pt>
                <c:pt idx="144">
                  <c:v>36.430372415428501</c:v>
                </c:pt>
                <c:pt idx="145">
                  <c:v>36.411725127729618</c:v>
                </c:pt>
                <c:pt idx="146">
                  <c:v>36.39228454119236</c:v>
                </c:pt>
                <c:pt idx="147">
                  <c:v>36.372020683051417</c:v>
                </c:pt>
                <c:pt idx="148">
                  <c:v>36.350902772432782</c:v>
                </c:pt>
                <c:pt idx="149">
                  <c:v>36.328899226521301</c:v>
                </c:pt>
                <c:pt idx="150">
                  <c:v>36.305977669614734</c:v>
                </c:pt>
                <c:pt idx="151">
                  <c:v>36.282104945270511</c:v>
                </c:pt>
                <c:pt idx="152">
                  <c:v>36.257247131752386</c:v>
                </c:pt>
                <c:pt idx="153">
                  <c:v>36.231369560982451</c:v>
                </c:pt>
                <c:pt idx="154">
                  <c:v>36.20443684120103</c:v>
                </c:pt>
                <c:pt idx="155">
                  <c:v>36.176412883531157</c:v>
                </c:pt>
                <c:pt idx="156">
                  <c:v>36.147260932636584</c:v>
                </c:pt>
                <c:pt idx="157">
                  <c:v>36.116943601651698</c:v>
                </c:pt>
                <c:pt idx="158">
                  <c:v>36.085422911548292</c:v>
                </c:pt>
                <c:pt idx="159">
                  <c:v>36.052660335088241</c:v>
                </c:pt>
                <c:pt idx="160">
                  <c:v>36.018616845490662</c:v>
                </c:pt>
                <c:pt idx="161">
                  <c:v>35.983252969920827</c:v>
                </c:pt>
                <c:pt idx="162">
                  <c:v>35.946528847880394</c:v>
                </c:pt>
                <c:pt idx="163">
                  <c:v>35.90840429455033</c:v>
                </c:pt>
                <c:pt idx="164">
                  <c:v>35.868838869103989</c:v>
                </c:pt>
                <c:pt idx="165">
                  <c:v>35.82779194797201</c:v>
                </c:pt>
                <c:pt idx="166">
                  <c:v>35.785222803000707</c:v>
                </c:pt>
                <c:pt idx="167">
                  <c:v>35.74109068440336</c:v>
                </c:pt>
                <c:pt idx="168">
                  <c:v>35.695354908357764</c:v>
                </c:pt>
                <c:pt idx="169">
                  <c:v>35.6479749490559</c:v>
                </c:pt>
                <c:pt idx="170">
                  <c:v>35.598910534961334</c:v>
                </c:pt>
                <c:pt idx="171">
                  <c:v>35.548121748977749</c:v>
                </c:pt>
                <c:pt idx="172">
                  <c:v>35.495569132180698</c:v>
                </c:pt>
                <c:pt idx="173">
                  <c:v>35.441213790709568</c:v>
                </c:pt>
                <c:pt idx="174">
                  <c:v>35.385017505366363</c:v>
                </c:pt>
                <c:pt idx="175">
                  <c:v>35.326942843414095</c:v>
                </c:pt>
                <c:pt idx="176">
                  <c:v>35.266953272019975</c:v>
                </c:pt>
                <c:pt idx="177">
                  <c:v>35.205013272740302</c:v>
                </c:pt>
                <c:pt idx="178">
                  <c:v>35.141088456402116</c:v>
                </c:pt>
                <c:pt idx="179">
                  <c:v>35.075145677697499</c:v>
                </c:pt>
                <c:pt idx="180">
                  <c:v>35.007153148774329</c:v>
                </c:pt>
                <c:pt idx="181">
                  <c:v>34.93708055108079</c:v>
                </c:pt>
                <c:pt idx="182">
                  <c:v>34.864899144701369</c:v>
                </c:pt>
                <c:pt idx="183">
                  <c:v>34.790581874411465</c:v>
                </c:pt>
                <c:pt idx="184">
                  <c:v>34.71410347167518</c:v>
                </c:pt>
                <c:pt idx="185">
                  <c:v>34.635440551816501</c:v>
                </c:pt>
                <c:pt idx="186">
                  <c:v>34.554571705610712</c:v>
                </c:pt>
                <c:pt idx="187">
                  <c:v>34.471477584567985</c:v>
                </c:pt>
                <c:pt idx="188">
                  <c:v>34.386140979215838</c:v>
                </c:pt>
                <c:pt idx="189">
                  <c:v>34.298546889731874</c:v>
                </c:pt>
                <c:pt idx="190">
                  <c:v>34.208682588331293</c:v>
                </c:pt>
                <c:pt idx="191">
                  <c:v>34.11653767287622</c:v>
                </c:pt>
                <c:pt idx="192">
                  <c:v>34.022104111242498</c:v>
                </c:pt>
                <c:pt idx="193">
                  <c:v>33.925376276057655</c:v>
                </c:pt>
                <c:pt idx="194">
                  <c:v>33.826350969504496</c:v>
                </c:pt>
                <c:pt idx="195">
                  <c:v>33.725027437973566</c:v>
                </c:pt>
                <c:pt idx="196">
                  <c:v>33.62140737643626</c:v>
                </c:pt>
                <c:pt idx="197">
                  <c:v>33.515494922504551</c:v>
                </c:pt>
                <c:pt idx="198">
                  <c:v>33.407296640234193</c:v>
                </c:pt>
                <c:pt idx="199">
                  <c:v>33.296821493822549</c:v>
                </c:pt>
                <c:pt idx="200">
                  <c:v>33.184080811439657</c:v>
                </c:pt>
                <c:pt idx="201">
                  <c:v>33.069088239519097</c:v>
                </c:pt>
                <c:pt idx="202">
                  <c:v>32.951859687914748</c:v>
                </c:pt>
                <c:pt idx="203">
                  <c:v>32.832413266406647</c:v>
                </c:pt>
                <c:pt idx="204">
                  <c:v>32.710769213104626</c:v>
                </c:pt>
                <c:pt idx="205">
                  <c:v>32.586949815361116</c:v>
                </c:pt>
                <c:pt idx="206">
                  <c:v>32.460979323853529</c:v>
                </c:pt>
                <c:pt idx="207">
                  <c:v>32.332883860541045</c:v>
                </c:pt>
                <c:pt idx="208">
                  <c:v>32.20269132123169</c:v>
                </c:pt>
                <c:pt idx="209">
                  <c:v>32.07043127351983</c:v>
                </c:pt>
                <c:pt idx="210">
                  <c:v>31.936134850867539</c:v>
                </c:pt>
                <c:pt idx="211">
                  <c:v>31.799834643607504</c:v>
                </c:pt>
                <c:pt idx="212">
                  <c:v>31.661564587641408</c:v>
                </c:pt>
                <c:pt idx="213">
                  <c:v>31.521359851592969</c:v>
                </c:pt>
                <c:pt idx="214">
                  <c:v>31.379256723155784</c:v>
                </c:pt>
                <c:pt idx="215">
                  <c:v>31.235292495348006</c:v>
                </c:pt>
                <c:pt idx="216">
                  <c:v>31.089505353350155</c:v>
                </c:pt>
                <c:pt idx="217">
                  <c:v>30.941934262565912</c:v>
                </c:pt>
                <c:pt idx="218">
                  <c:v>30.792618858498976</c:v>
                </c:pt>
                <c:pt idx="219">
                  <c:v>30.641599338993615</c:v>
                </c:pt>
                <c:pt idx="220">
                  <c:v>30.488916359335757</c:v>
                </c:pt>
                <c:pt idx="221">
                  <c:v>30.33461093065992</c:v>
                </c:pt>
                <c:pt idx="222">
                  <c:v>30.178724322053888</c:v>
                </c:pt>
                <c:pt idx="223">
                  <c:v>30.021297966701024</c:v>
                </c:pt>
                <c:pt idx="224">
                  <c:v>29.862373372347161</c:v>
                </c:pt>
                <c:pt idx="225">
                  <c:v>29.701992036328026</c:v>
                </c:pt>
                <c:pt idx="226">
                  <c:v>29.54019536534225</c:v>
                </c:pt>
                <c:pt idx="227">
                  <c:v>29.377024600110914</c:v>
                </c:pt>
                <c:pt idx="228">
                  <c:v>29.212520745016185</c:v>
                </c:pt>
                <c:pt idx="229">
                  <c:v>29.046724502770836</c:v>
                </c:pt>
                <c:pt idx="230">
                  <c:v>28.879676214134037</c:v>
                </c:pt>
                <c:pt idx="231">
                  <c:v>28.711415802649473</c:v>
                </c:pt>
                <c:pt idx="232">
                  <c:v>28.541982724353019</c:v>
                </c:pt>
                <c:pt idx="233">
                  <c:v>28.371415922365944</c:v>
                </c:pt>
                <c:pt idx="234">
                  <c:v>28.199753786267756</c:v>
                </c:pt>
                <c:pt idx="235">
                  <c:v>28.027034116116788</c:v>
                </c:pt>
                <c:pt idx="236">
                  <c:v>27.853294090971392</c:v>
                </c:pt>
                <c:pt idx="237">
                  <c:v>27.678570241748197</c:v>
                </c:pt>
                <c:pt idx="238">
                  <c:v>27.50289842823971</c:v>
                </c:pt>
                <c:pt idx="239">
                  <c:v>27.32631382010694</c:v>
                </c:pt>
                <c:pt idx="240">
                  <c:v>27.148850881652407</c:v>
                </c:pt>
                <c:pt idx="241">
                  <c:v>26.970543360175846</c:v>
                </c:pt>
                <c:pt idx="242">
                  <c:v>26.791424277712498</c:v>
                </c:pt>
                <c:pt idx="243">
                  <c:v>26.611525925951533</c:v>
                </c:pt>
                <c:pt idx="244">
                  <c:v>26.430879864134891</c:v>
                </c:pt>
                <c:pt idx="245">
                  <c:v>26.249516919738181</c:v>
                </c:pt>
                <c:pt idx="246">
                  <c:v>26.06746719173988</c:v>
                </c:pt>
                <c:pt idx="247">
                  <c:v>25.884760056289679</c:v>
                </c:pt>
                <c:pt idx="248">
                  <c:v>25.70142417459234</c:v>
                </c:pt>
                <c:pt idx="249">
                  <c:v>25.51748750283112</c:v>
                </c:pt>
                <c:pt idx="250">
                  <c:v>25.332977303961599</c:v>
                </c:pt>
                <c:pt idx="251">
                  <c:v>25.14792016121412</c:v>
                </c:pt>
                <c:pt idx="252">
                  <c:v>24.962341993152268</c:v>
                </c:pt>
                <c:pt idx="253">
                  <c:v>24.77626807014197</c:v>
                </c:pt>
                <c:pt idx="254">
                  <c:v>24.589723032096117</c:v>
                </c:pt>
                <c:pt idx="255">
                  <c:v>24.40273090736607</c:v>
                </c:pt>
                <c:pt idx="256">
                  <c:v>24.215315132661694</c:v>
                </c:pt>
                <c:pt idx="257">
                  <c:v>24.027498573889481</c:v>
                </c:pt>
                <c:pt idx="258">
                  <c:v>23.839303547806246</c:v>
                </c:pt>
                <c:pt idx="259">
                  <c:v>23.650751844394517</c:v>
                </c:pt>
                <c:pt idx="260">
                  <c:v>23.461864749873385</c:v>
                </c:pt>
                <c:pt idx="261">
                  <c:v>23.272663070266315</c:v>
                </c:pt>
                <c:pt idx="262">
                  <c:v>23.083167155453971</c:v>
                </c:pt>
                <c:pt idx="263">
                  <c:v>22.893396923648119</c:v>
                </c:pt>
                <c:pt idx="264">
                  <c:v>22.703371886228179</c:v>
                </c:pt>
                <c:pt idx="265">
                  <c:v>22.513111172888912</c:v>
                </c:pt>
                <c:pt idx="266">
                  <c:v>22.322633557052786</c:v>
                </c:pt>
                <c:pt idx="267">
                  <c:v>22.131957481506809</c:v>
                </c:pt>
                <c:pt idx="268">
                  <c:v>21.941101084228144</c:v>
                </c:pt>
                <c:pt idx="269">
                  <c:v>21.750082224367084</c:v>
                </c:pt>
                <c:pt idx="270">
                  <c:v>21.558918508361465</c:v>
                </c:pt>
                <c:pt idx="271">
                  <c:v>21.367627316158714</c:v>
                </c:pt>
                <c:pt idx="272">
                  <c:v>21.176225827527308</c:v>
                </c:pt>
                <c:pt idx="273">
                  <c:v>20.984731048440011</c:v>
                </c:pt>
                <c:pt idx="274">
                  <c:v>20.793159837516704</c:v>
                </c:pt>
                <c:pt idx="275">
                  <c:v>20.601528932515279</c:v>
                </c:pt>
                <c:pt idx="276">
                  <c:v>20.409854976860689</c:v>
                </c:pt>
                <c:pt idx="277">
                  <c:v>20.218154546206559</c:v>
                </c:pt>
                <c:pt idx="278">
                  <c:v>20.026444175021165</c:v>
                </c:pt>
                <c:pt idx="279">
                  <c:v>19.834740383194681</c:v>
                </c:pt>
                <c:pt idx="280">
                  <c:v>19.643059702661802</c:v>
                </c:pt>
                <c:pt idx="281">
                  <c:v>19.451418704036442</c:v>
                </c:pt>
                <c:pt idx="282">
                  <c:v>19.259834023253713</c:v>
                </c:pt>
                <c:pt idx="283">
                  <c:v>19.068322388215069</c:v>
                </c:pt>
                <c:pt idx="284">
                  <c:v>18.876900645431146</c:v>
                </c:pt>
                <c:pt idx="285">
                  <c:v>18.685585786655459</c:v>
                </c:pt>
                <c:pt idx="286">
                  <c:v>18.494394975501898</c:v>
                </c:pt>
                <c:pt idx="287">
                  <c:v>18.303345574035571</c:v>
                </c:pt>
                <c:pt idx="288">
                  <c:v>18.112455169325784</c:v>
                </c:pt>
                <c:pt idx="289">
                  <c:v>17.921741599946735</c:v>
                </c:pt>
                <c:pt idx="290">
                  <c:v>17.731222982408447</c:v>
                </c:pt>
                <c:pt idx="291">
                  <c:v>17.540917737498461</c:v>
                </c:pt>
                <c:pt idx="292">
                  <c:v>17.350844616508979</c:v>
                </c:pt>
                <c:pt idx="293">
                  <c:v>17.161022727322898</c:v>
                </c:pt>
                <c:pt idx="294">
                  <c:v>16.97147156032549</c:v>
                </c:pt>
                <c:pt idx="295">
                  <c:v>16.782211014104679</c:v>
                </c:pt>
                <c:pt idx="296">
                  <c:v>16.593261420898877</c:v>
                </c:pt>
                <c:pt idx="297">
                  <c:v>16.40464357174239</c:v>
                </c:pt>
                <c:pt idx="298">
                  <c:v>16.216378741257138</c:v>
                </c:pt>
                <c:pt idx="299">
                  <c:v>16.028488712029706</c:v>
                </c:pt>
                <c:pt idx="300">
                  <c:v>15.840995798506736</c:v>
                </c:pt>
                <c:pt idx="301">
                  <c:v>15.653922870336279</c:v>
                </c:pt>
                <c:pt idx="302">
                  <c:v>15.467293375073126</c:v>
                </c:pt>
                <c:pt idx="303">
                  <c:v>15.281131360160987</c:v>
                </c:pt>
                <c:pt idx="304">
                  <c:v>15.095461494093795</c:v>
                </c:pt>
                <c:pt idx="305">
                  <c:v>14.91030908665304</c:v>
                </c:pt>
                <c:pt idx="306">
                  <c:v>14.725700108106864</c:v>
                </c:pt>
                <c:pt idx="307">
                  <c:v>14.541661207251659</c:v>
                </c:pt>
                <c:pt idx="308">
                  <c:v>14.358219728164306</c:v>
                </c:pt>
                <c:pt idx="309">
                  <c:v>14.175403725528826</c:v>
                </c:pt>
                <c:pt idx="310">
                  <c:v>13.993241978389083</c:v>
                </c:pt>
                <c:pt idx="311">
                  <c:v>13.811764002174097</c:v>
                </c:pt>
                <c:pt idx="312">
                  <c:v>13.631000058832189</c:v>
                </c:pt>
                <c:pt idx="313">
                  <c:v>13.450981164903887</c:v>
                </c:pt>
                <c:pt idx="314">
                  <c:v>13.271739097356487</c:v>
                </c:pt>
                <c:pt idx="315">
                  <c:v>13.093306396996823</c:v>
                </c:pt>
                <c:pt idx="316">
                  <c:v>12.915716369272285</c:v>
                </c:pt>
                <c:pt idx="317">
                  <c:v>12.739003082268628</c:v>
                </c:pt>
                <c:pt idx="318">
                  <c:v>12.563201361705827</c:v>
                </c:pt>
                <c:pt idx="319">
                  <c:v>12.388346782735773</c:v>
                </c:pt>
                <c:pt idx="320">
                  <c:v>12.214475658341943</c:v>
                </c:pt>
                <c:pt idx="321">
                  <c:v>12.041625024145732</c:v>
                </c:pt>
                <c:pt idx="322">
                  <c:v>11.869832619425102</c:v>
                </c:pt>
                <c:pt idx="323">
                  <c:v>11.699136864160158</c:v>
                </c:pt>
                <c:pt idx="324">
                  <c:v>11.529576831925523</c:v>
                </c:pt>
                <c:pt idx="325">
                  <c:v>11.361192218464014</c:v>
                </c:pt>
                <c:pt idx="326">
                  <c:v>11.194023305786869</c:v>
                </c:pt>
                <c:pt idx="327">
                  <c:v>11.028110921664529</c:v>
                </c:pt>
                <c:pt idx="328">
                  <c:v>10.863496394392724</c:v>
                </c:pt>
                <c:pt idx="329">
                  <c:v>10.700221502739355</c:v>
                </c:pt>
                <c:pt idx="330">
                  <c:v>10.538328421009064</c:v>
                </c:pt>
                <c:pt idx="331">
                  <c:v>10.377859659187713</c:v>
                </c:pt>
                <c:pt idx="332">
                  <c:v>10.218857998166824</c:v>
                </c:pt>
                <c:pt idx="333">
                  <c:v>10.061366420082727</c:v>
                </c:pt>
                <c:pt idx="334">
                  <c:v>9.9054280338469454</c:v>
                </c:pt>
                <c:pt idx="335">
                  <c:v>9.7510859959861893</c:v>
                </c:pt>
                <c:pt idx="336">
                  <c:v>9.5983834269590158</c:v>
                </c:pt>
                <c:pt idx="337">
                  <c:v>9.4473633231615484</c:v>
                </c:pt>
                <c:pt idx="338">
                  <c:v>9.2980684648881819</c:v>
                </c:pt>
                <c:pt idx="339">
                  <c:v>9.150541320563228</c:v>
                </c:pt>
                <c:pt idx="340">
                  <c:v>9.0048239476140477</c:v>
                </c:pt>
                <c:pt idx="341">
                  <c:v>8.8609578904069402</c:v>
                </c:pt>
                <c:pt idx="342">
                  <c:v>8.7189840757227159</c:v>
                </c:pt>
                <c:pt idx="343">
                  <c:v>8.5789427062979744</c:v>
                </c:pt>
                <c:pt idx="344">
                  <c:v>8.4408731530074892</c:v>
                </c:pt>
                <c:pt idx="345">
                  <c:v>8.3048138463103811</c:v>
                </c:pt>
                <c:pt idx="346">
                  <c:v>8.1708021676234406</c:v>
                </c:pt>
                <c:pt idx="347">
                  <c:v>8.0388743413234778</c:v>
                </c:pt>
                <c:pt idx="348">
                  <c:v>7.9090653281103389</c:v>
                </c:pt>
                <c:pt idx="349">
                  <c:v>7.7814087204892299</c:v>
                </c:pt>
                <c:pt idx="350">
                  <c:v>7.6559366411472185</c:v>
                </c:pt>
                <c:pt idx="351">
                  <c:v>7.5326796450073275</c:v>
                </c:pt>
                <c:pt idx="352">
                  <c:v>7.4116666257468511</c:v>
                </c:pt>
                <c:pt idx="353">
                  <c:v>7.292924727555679</c:v>
                </c:pt>
                <c:pt idx="354">
                  <c:v>7.1764792628930074</c:v>
                </c:pt>
                <c:pt idx="355">
                  <c:v>7.0623536369749473</c:v>
                </c:pt>
                <c:pt idx="356">
                  <c:v>6.9505692796854754</c:v>
                </c:pt>
                <c:pt idx="357">
                  <c:v>6.8411455855598042</c:v>
                </c:pt>
                <c:pt idx="358">
                  <c:v>6.7340998624310364</c:v>
                </c:pt>
                <c:pt idx="359">
                  <c:v>6.6294472892690104</c:v>
                </c:pt>
                <c:pt idx="360">
                  <c:v>6.5272008836676312</c:v>
                </c:pt>
                <c:pt idx="361">
                  <c:v>6.427371479359091</c:v>
                </c:pt>
                <c:pt idx="362">
                  <c:v>6.3299677140499133</c:v>
                </c:pt>
                <c:pt idx="363">
                  <c:v>6.2349960277844758</c:v>
                </c:pt>
                <c:pt idx="364">
                  <c:v>6.1424606719511408</c:v>
                </c:pt>
                <c:pt idx="365">
                  <c:v>6.0523637289534671</c:v>
                </c:pt>
                <c:pt idx="366">
                  <c:v>5.9647051424735276</c:v>
                </c:pt>
                <c:pt idx="367">
                  <c:v>5.8794827581640696</c:v>
                </c:pt>
                <c:pt idx="368">
                  <c:v>5.7966923745157182</c:v>
                </c:pt>
                <c:pt idx="369">
                  <c:v>5.7163278035590075</c:v>
                </c:pt>
                <c:pt idx="370">
                  <c:v>5.6383809409802712</c:v>
                </c:pt>
                <c:pt idx="371">
                  <c:v>5.5628418451554822</c:v>
                </c:pt>
                <c:pt idx="372">
                  <c:v>5.4896988245395804</c:v>
                </c:pt>
                <c:pt idx="373">
                  <c:v>5.4189385327863269</c:v>
                </c:pt>
                <c:pt idx="374">
                  <c:v>5.3505460709266481</c:v>
                </c:pt>
                <c:pt idx="375">
                  <c:v>5.2845050958873667</c:v>
                </c:pt>
                <c:pt idx="376">
                  <c:v>5.2207979346022482</c:v>
                </c:pt>
                <c:pt idx="377">
                  <c:v>5.1594057029427915</c:v>
                </c:pt>
                <c:pt idx="378">
                  <c:v>5.1003084286819149</c:v>
                </c:pt>
                <c:pt idx="379">
                  <c:v>5.0434851777000329</c:v>
                </c:pt>
                <c:pt idx="380">
                  <c:v>4.9889141826441739</c:v>
                </c:pt>
                <c:pt idx="381">
                  <c:v>4.9365729732650596</c:v>
                </c:pt>
                <c:pt idx="382">
                  <c:v>4.8864385076736774</c:v>
                </c:pt>
                <c:pt idx="383">
                  <c:v>4.8384873037858149</c:v>
                </c:pt>
                <c:pt idx="384">
                  <c:v>4.7926955702533638</c:v>
                </c:pt>
                <c:pt idx="385">
                  <c:v>4.7490393362181198</c:v>
                </c:pt>
                <c:pt idx="386">
                  <c:v>4.7074945792625664</c:v>
                </c:pt>
                <c:pt idx="387">
                  <c:v>4.6680373509761806</c:v>
                </c:pt>
                <c:pt idx="388">
                  <c:v>4.630643899600547</c:v>
                </c:pt>
                <c:pt idx="389">
                  <c:v>4.595290789262827</c:v>
                </c:pt>
                <c:pt idx="390">
                  <c:v>4.5619550153538215</c:v>
                </c:pt>
                <c:pt idx="391">
                  <c:v>4.5306141156537612</c:v>
                </c:pt>
                <c:pt idx="392">
                  <c:v>4.5012462768543422</c:v>
                </c:pt>
                <c:pt idx="393">
                  <c:v>4.4738304361689583</c:v>
                </c:pt>
                <c:pt idx="394">
                  <c:v>4.4483463777649996</c:v>
                </c:pt>
                <c:pt idx="395">
                  <c:v>4.4247748237921938</c:v>
                </c:pt>
                <c:pt idx="396">
                  <c:v>4.4030975198163098</c:v>
                </c:pt>
                <c:pt idx="397">
                  <c:v>4.3832973144999885</c:v>
                </c:pt>
                <c:pt idx="398">
                  <c:v>4.3653582334052423</c:v>
                </c:pt>
                <c:pt idx="399">
                  <c:v>4.349265546814296</c:v>
                </c:pt>
                <c:pt idx="400">
                  <c:v>4.3350058314933886</c:v>
                </c:pt>
                <c:pt idx="401">
                  <c:v>4.3225670263386844</c:v>
                </c:pt>
                <c:pt idx="402">
                  <c:v>4.3119384818632218</c:v>
                </c:pt>
                <c:pt idx="403">
                  <c:v>4.3031110034973015</c:v>
                </c:pt>
                <c:pt idx="404">
                  <c:v>4.2960768886812515</c:v>
                </c:pt>
                <c:pt idx="405">
                  <c:v>4.2908299577421509</c:v>
                </c:pt>
                <c:pt idx="406">
                  <c:v>4.287365578547421</c:v>
                </c:pt>
                <c:pt idx="407">
                  <c:v>4.2856806849352864</c:v>
                </c:pt>
                <c:pt idx="408">
                  <c:v>4.2857737889200083</c:v>
                </c:pt>
                <c:pt idx="409">
                  <c:v>4.2876449866748709</c:v>
                </c:pt>
                <c:pt idx="410">
                  <c:v>4.2912959582914674</c:v>
                </c:pt>
                <c:pt idx="411">
                  <c:v>4.2967299613173262</c:v>
                </c:pt>
                <c:pt idx="412">
                  <c:v>4.3039518180692173</c:v>
                </c:pt>
                <c:pt idx="413">
                  <c:v>4.3129678967238725</c:v>
                </c:pt>
                <c:pt idx="414">
                  <c:v>4.3237860861849144</c:v>
                </c:pt>
                <c:pt idx="415">
                  <c:v>4.3364157647288755</c:v>
                </c:pt>
                <c:pt idx="416">
                  <c:v>4.3508677624358665</c:v>
                </c:pt>
                <c:pt idx="417">
                  <c:v>4.3671543174169489</c:v>
                </c:pt>
                <c:pt idx="418">
                  <c:v>4.3852890258573627</c:v>
                </c:pt>
                <c:pt idx="419">
                  <c:v>4.4052867859060099</c:v>
                </c:pt>
                <c:pt idx="420">
                  <c:v>4.4271637354547995</c:v>
                </c:pt>
                <c:pt idx="421">
                  <c:v>4.4509371838681977</c:v>
                </c:pt>
                <c:pt idx="422">
                  <c:v>4.4766255377429065</c:v>
                </c:pt>
                <c:pt idx="423">
                  <c:v>4.5042482208018866</c:v>
                </c:pt>
                <c:pt idx="424">
                  <c:v>4.5338255880520739</c:v>
                </c:pt>
                <c:pt idx="425">
                  <c:v>4.5653788343670412</c:v>
                </c:pt>
                <c:pt idx="426">
                  <c:v>4.5989298976878938</c:v>
                </c:pt>
                <c:pt idx="427">
                  <c:v>4.6345013570736526</c:v>
                </c:pt>
                <c:pt idx="428">
                  <c:v>4.6721163258701122</c:v>
                </c:pt>
                <c:pt idx="429">
                  <c:v>4.7117983403100308</c:v>
                </c:pt>
                <c:pt idx="430">
                  <c:v>4.7535712439003301</c:v>
                </c:pt>
                <c:pt idx="431">
                  <c:v>4.797459067998104</c:v>
                </c:pt>
                <c:pt idx="432">
                  <c:v>4.8434859090234141</c:v>
                </c:pt>
                <c:pt idx="433">
                  <c:v>4.8916758028043015</c:v>
                </c:pt>
                <c:pt idx="434">
                  <c:v>4.9420525965951461</c:v>
                </c:pt>
                <c:pt idx="435">
                  <c:v>4.9946398193538881</c:v>
                </c:pt>
                <c:pt idx="436">
                  <c:v>5.0494605509089094</c:v>
                </c:pt>
                <c:pt idx="437">
                  <c:v>5.106537290682712</c:v>
                </c:pt>
                <c:pt idx="438">
                  <c:v>5.165891826677079</c:v>
                </c:pt>
                <c:pt idx="439">
                  <c:v>5.2275451054551292</c:v>
                </c:pt>
                <c:pt idx="440">
                  <c:v>5.2915171038801851</c:v>
                </c:pt>
                <c:pt idx="441">
                  <c:v>5.3578267033892022</c:v>
                </c:pt>
                <c:pt idx="442">
                  <c:v>5.4264915675906877</c:v>
                </c:pt>
                <c:pt idx="443">
                  <c:v>5.4975280239777691</c:v>
                </c:pt>
                <c:pt idx="444">
                  <c:v>5.5709509505439216</c:v>
                </c:pt>
                <c:pt idx="445">
                  <c:v>5.6467736680709884</c:v>
                </c:pt>
                <c:pt idx="446">
                  <c:v>5.7250078388374597</c:v>
                </c:pt>
                <c:pt idx="447">
                  <c:v>5.8056633724598896</c:v>
                </c:pt>
                <c:pt idx="448">
                  <c:v>5.8887483395380151</c:v>
                </c:pt>
                <c:pt idx="449">
                  <c:v>5.9742688937219413</c:v>
                </c:pt>
                <c:pt idx="450">
                  <c:v>6.0622292027596654</c:v>
                </c:pt>
                <c:pt idx="451">
                  <c:v>6.1526313890148998</c:v>
                </c:pt>
                <c:pt idx="452">
                  <c:v>6.245475479868964</c:v>
                </c:pt>
                <c:pt idx="453">
                  <c:v>6.3407593683401329</c:v>
                </c:pt>
                <c:pt idx="454">
                  <c:v>6.4384787841666338</c:v>
                </c:pt>
                <c:pt idx="455">
                  <c:v>6.5386272755100237</c:v>
                </c:pt>
                <c:pt idx="456">
                  <c:v>6.641196201341919</c:v>
                </c:pt>
                <c:pt idx="457">
                  <c:v>6.7461747344855389</c:v>
                </c:pt>
                <c:pt idx="458">
                  <c:v>6.8535498751887065</c:v>
                </c:pt>
                <c:pt idx="459">
                  <c:v>6.9633064750151172</c:v>
                </c:pt>
                <c:pt idx="460">
                  <c:v>7.07542727075211</c:v>
                </c:pt>
                <c:pt idx="461">
                  <c:v>7.1898929279496464</c:v>
                </c:pt>
                <c:pt idx="462">
                  <c:v>7.306682093628643</c:v>
                </c:pt>
                <c:pt idx="463">
                  <c:v>7.4257714576254097</c:v>
                </c:pt>
                <c:pt idx="464">
                  <c:v>7.547135821974269</c:v>
                </c:pt>
                <c:pt idx="465">
                  <c:v>7.6707481776797533</c:v>
                </c:pt>
                <c:pt idx="466">
                  <c:v>7.7965797881795931</c:v>
                </c:pt>
                <c:pt idx="467">
                  <c:v>7.9246002787661425</c:v>
                </c:pt>
                <c:pt idx="468">
                  <c:v>8.0547777312079205</c:v>
                </c:pt>
                <c:pt idx="469">
                  <c:v>8.1870787827934315</c:v>
                </c:pt>
                <c:pt idx="470">
                  <c:v>8.32146872901391</c:v>
                </c:pt>
                <c:pt idx="471">
                  <c:v>8.4579116291027177</c:v>
                </c:pt>
                <c:pt idx="472">
                  <c:v>8.596370413658871</c:v>
                </c:pt>
                <c:pt idx="473">
                  <c:v>8.7368069936010233</c:v>
                </c:pt>
                <c:pt idx="474">
                  <c:v>8.8791823697242673</c:v>
                </c:pt>
                <c:pt idx="475">
                  <c:v>9.0234567421616294</c:v>
                </c:pt>
                <c:pt idx="476">
                  <c:v>9.1695896190946424</c:v>
                </c:pt>
                <c:pt idx="477">
                  <c:v>9.3175399240947616</c:v>
                </c:pt>
                <c:pt idx="478">
                  <c:v>9.4672661015277644</c:v>
                </c:pt>
                <c:pt idx="479">
                  <c:v>9.6187262195007257</c:v>
                </c:pt>
                <c:pt idx="480">
                  <c:v>9.7718780698836945</c:v>
                </c:pt>
                <c:pt idx="481">
                  <c:v>9.9266792649901578</c:v>
                </c:pt>
                <c:pt idx="482">
                  <c:v>10.083087330553994</c:v>
                </c:pt>
                <c:pt idx="483">
                  <c:v>10.241059794694314</c:v>
                </c:pt>
                <c:pt idx="484">
                  <c:v>10.400554272610032</c:v>
                </c:pt>
                <c:pt idx="485">
                  <c:v>10.561528546798023</c:v>
                </c:pt>
                <c:pt idx="486">
                  <c:v>10.723940642636814</c:v>
                </c:pt>
                <c:pt idx="487">
                  <c:v>10.887748899222863</c:v>
                </c:pt>
                <c:pt idx="488">
                  <c:v>11.052912035391083</c:v>
                </c:pt>
                <c:pt idx="489">
                  <c:v>11.219389210891123</c:v>
                </c:pt>
                <c:pt idx="490">
                  <c:v>11.387140082726326</c:v>
                </c:pt>
                <c:pt idx="491">
                  <c:v>11.556124856699672</c:v>
                </c:pt>
                <c:pt idx="492">
                  <c:v>11.726304334235579</c:v>
                </c:pt>
                <c:pt idx="493">
                  <c:v>11.897639954579084</c:v>
                </c:pt>
                <c:pt idx="494">
                  <c:v>12.070093832492596</c:v>
                </c:pt>
                <c:pt idx="495">
                  <c:v>12.2436287915934</c:v>
                </c:pt>
                <c:pt idx="496">
                  <c:v>12.418208393490776</c:v>
                </c:pt>
                <c:pt idx="497">
                  <c:v>12.593796962895414</c:v>
                </c:pt>
                <c:pt idx="498">
                  <c:v>12.770359608884736</c:v>
                </c:pt>
                <c:pt idx="499">
                  <c:v>12.947862242517683</c:v>
                </c:pt>
                <c:pt idx="500">
                  <c:v>13.126271590996099</c:v>
                </c:pt>
                <c:pt idx="501">
                  <c:v>13.305555208574834</c:v>
                </c:pt>
                <c:pt idx="502">
                  <c:v>13.485681484424909</c:v>
                </c:pt>
                <c:pt idx="503">
                  <c:v>13.666619647652869</c:v>
                </c:pt>
                <c:pt idx="504">
                  <c:v>13.848339769678104</c:v>
                </c:pt>
                <c:pt idx="505">
                  <c:v>14.030812764167495</c:v>
                </c:pt>
                <c:pt idx="506">
                  <c:v>14.214010384721046</c:v>
                </c:pt>
                <c:pt idx="507">
                  <c:v>14.397905220498764</c:v>
                </c:pt>
                <c:pt idx="508">
                  <c:v>14.582470689970858</c:v>
                </c:pt>
                <c:pt idx="509">
                  <c:v>14.767681032968568</c:v>
                </c:pt>
                <c:pt idx="510">
                  <c:v>14.953511301202946</c:v>
                </c:pt>
                <c:pt idx="511">
                  <c:v>15.139937347414239</c:v>
                </c:pt>
                <c:pt idx="512">
                  <c:v>15.326935813304086</c:v>
                </c:pt>
                <c:pt idx="513">
                  <c:v>15.514484116394872</c:v>
                </c:pt>
                <c:pt idx="514">
                  <c:v>15.702560435953426</c:v>
                </c:pt>
                <c:pt idx="515">
                  <c:v>15.891143698106468</c:v>
                </c:pt>
                <c:pt idx="516">
                  <c:v>16.080213560267577</c:v>
                </c:pt>
                <c:pt idx="517">
                  <c:v>16.26975039498776</c:v>
                </c:pt>
                <c:pt idx="518">
                  <c:v>16.459735273331962</c:v>
                </c:pt>
                <c:pt idx="519">
                  <c:v>16.650149947879015</c:v>
                </c:pt>
                <c:pt idx="520">
                  <c:v>16.840976835431213</c:v>
                </c:pt>
                <c:pt idx="521">
                  <c:v>17.032198999517171</c:v>
                </c:pt>
                <c:pt idx="522">
                  <c:v>17.223800132758889</c:v>
                </c:pt>
                <c:pt idx="523">
                  <c:v>17.415764539173601</c:v>
                </c:pt>
                <c:pt idx="524">
                  <c:v>17.608077116469751</c:v>
                </c:pt>
                <c:pt idx="525">
                  <c:v>17.800723338393535</c:v>
                </c:pt>
                <c:pt idx="526">
                  <c:v>17.993689237174049</c:v>
                </c:pt>
                <c:pt idx="527">
                  <c:v>18.186961386114209</c:v>
                </c:pt>
                <c:pt idx="528">
                  <c:v>18.380526882364538</c:v>
                </c:pt>
                <c:pt idx="529">
                  <c:v>18.574373329916291</c:v>
                </c:pt>
                <c:pt idx="530">
                  <c:v>18.768488822843157</c:v>
                </c:pt>
                <c:pt idx="531">
                  <c:v>18.962861928820885</c:v>
                </c:pt>
                <c:pt idx="532">
                  <c:v>19.157481672944044</c:v>
                </c:pt>
                <c:pt idx="533">
                  <c:v>19.352337521863806</c:v>
                </c:pt>
                <c:pt idx="534">
                  <c:v>19.547419368259579</c:v>
                </c:pt>
                <c:pt idx="535">
                  <c:v>19.742717515660765</c:v>
                </c:pt>
                <c:pt idx="536">
                  <c:v>19.938222663628238</c:v>
                </c:pt>
                <c:pt idx="537">
                  <c:v>20.133925893305236</c:v>
                </c:pt>
                <c:pt idx="538">
                  <c:v>20.329818653343619</c:v>
                </c:pt>
                <c:pt idx="539">
                  <c:v>20.52589274620945</c:v>
                </c:pt>
                <c:pt idx="540">
                  <c:v>20.722140314872707</c:v>
                </c:pt>
                <c:pt idx="541">
                  <c:v>20.918553829880018</c:v>
                </c:pt>
              </c:numCache>
            </c:numRef>
          </c:yVal>
          <c:smooth val="1"/>
          <c:extLst>
            <c:ext xmlns:c16="http://schemas.microsoft.com/office/drawing/2014/chart" uri="{C3380CC4-5D6E-409C-BE32-E72D297353CC}">
              <c16:uniqueId val="{00000000-F7C0-4EEE-87E3-EE720F12A204}"/>
            </c:ext>
          </c:extLst>
        </c:ser>
        <c:dLbls>
          <c:showLegendKey val="0"/>
          <c:showVal val="0"/>
          <c:showCatName val="0"/>
          <c:showSerName val="0"/>
          <c:showPercent val="0"/>
          <c:showBubbleSize val="0"/>
        </c:dLbls>
        <c:axId val="555304064"/>
        <c:axId val="555305984"/>
      </c:scatterChart>
      <c:scatterChart>
        <c:scatterStyle val="smoothMarker"/>
        <c:varyColors val="0"/>
        <c:ser>
          <c:idx val="1"/>
          <c:order val="1"/>
          <c:marker>
            <c:symbol val="none"/>
          </c:marker>
          <c:xVal>
            <c:numRef>
              <c:f>Loop_Modeling!$O$19:$O$560</c:f>
              <c:numCache>
                <c:formatCode>0.00</c:formatCode>
                <c:ptCount val="542"/>
                <c:pt idx="0">
                  <c:v>10.232929922807543</c:v>
                </c:pt>
                <c:pt idx="1">
                  <c:v>10.471285480509</c:v>
                </c:pt>
                <c:pt idx="2">
                  <c:v>10.715193052376069</c:v>
                </c:pt>
                <c:pt idx="3">
                  <c:v>10.964781961431854</c:v>
                </c:pt>
                <c:pt idx="4">
                  <c:v>11.220184543019636</c:v>
                </c:pt>
                <c:pt idx="5">
                  <c:v>11.481536214968834</c:v>
                </c:pt>
                <c:pt idx="6">
                  <c:v>11.748975549395301</c:v>
                </c:pt>
                <c:pt idx="7">
                  <c:v>12.022644346174133</c:v>
                </c:pt>
                <c:pt idx="8">
                  <c:v>12.302687708123818</c:v>
                </c:pt>
                <c:pt idx="9">
                  <c:v>12.58925411794168</c:v>
                </c:pt>
                <c:pt idx="10">
                  <c:v>12.882495516931346</c:v>
                </c:pt>
                <c:pt idx="11">
                  <c:v>13.182567385564075</c:v>
                </c:pt>
                <c:pt idx="12">
                  <c:v>13.489628825916535</c:v>
                </c:pt>
                <c:pt idx="13">
                  <c:v>13.803842646028857</c:v>
                </c:pt>
                <c:pt idx="14">
                  <c:v>14.125375446227544</c:v>
                </c:pt>
                <c:pt idx="15">
                  <c:v>14.454397707459275</c:v>
                </c:pt>
                <c:pt idx="16">
                  <c:v>14.791083881682074</c:v>
                </c:pt>
                <c:pt idx="17">
                  <c:v>15.135612484362087</c:v>
                </c:pt>
                <c:pt idx="18">
                  <c:v>15.488166189124817</c:v>
                </c:pt>
                <c:pt idx="19">
                  <c:v>15.848931924611136</c:v>
                </c:pt>
                <c:pt idx="20">
                  <c:v>16.218100973589298</c:v>
                </c:pt>
                <c:pt idx="21">
                  <c:v>16.595869074375614</c:v>
                </c:pt>
                <c:pt idx="22">
                  <c:v>16.982436524617448</c:v>
                </c:pt>
                <c:pt idx="23">
                  <c:v>17.378008287493756</c:v>
                </c:pt>
                <c:pt idx="24">
                  <c:v>17.782794100389236</c:v>
                </c:pt>
                <c:pt idx="25">
                  <c:v>18.197008586099841</c:v>
                </c:pt>
                <c:pt idx="26">
                  <c:v>18.62087136662868</c:v>
                </c:pt>
                <c:pt idx="27">
                  <c:v>19.054607179632477</c:v>
                </c:pt>
                <c:pt idx="28">
                  <c:v>19.498445997580465</c:v>
                </c:pt>
                <c:pt idx="29">
                  <c:v>19.952623149688804</c:v>
                </c:pt>
                <c:pt idx="30">
                  <c:v>20.4173794466953</c:v>
                </c:pt>
                <c:pt idx="31">
                  <c:v>20.8929613085404</c:v>
                </c:pt>
                <c:pt idx="32">
                  <c:v>21.379620895022335</c:v>
                </c:pt>
                <c:pt idx="33">
                  <c:v>21.877616239495538</c:v>
                </c:pt>
                <c:pt idx="34">
                  <c:v>22.387211385683404</c:v>
                </c:pt>
                <c:pt idx="35">
                  <c:v>22.908676527677727</c:v>
                </c:pt>
                <c:pt idx="36">
                  <c:v>23.442288153199236</c:v>
                </c:pt>
                <c:pt idx="37">
                  <c:v>23.988329190194907</c:v>
                </c:pt>
                <c:pt idx="38">
                  <c:v>24.547089156850316</c:v>
                </c:pt>
                <c:pt idx="39">
                  <c:v>25.118864315095799</c:v>
                </c:pt>
                <c:pt idx="40">
                  <c:v>25.703957827688647</c:v>
                </c:pt>
                <c:pt idx="41">
                  <c:v>26.302679918953825</c:v>
                </c:pt>
                <c:pt idx="42">
                  <c:v>26.915348039269158</c:v>
                </c:pt>
                <c:pt idx="43">
                  <c:v>27.542287033381665</c:v>
                </c:pt>
                <c:pt idx="44">
                  <c:v>28.183829312644548</c:v>
                </c:pt>
                <c:pt idx="45">
                  <c:v>28.840315031266066</c:v>
                </c:pt>
                <c:pt idx="46">
                  <c:v>29.512092266663863</c:v>
                </c:pt>
                <c:pt idx="47">
                  <c:v>30.199517204020164</c:v>
                </c:pt>
                <c:pt idx="48">
                  <c:v>30.902954325135919</c:v>
                </c:pt>
                <c:pt idx="49">
                  <c:v>31.622776601683803</c:v>
                </c:pt>
                <c:pt idx="50">
                  <c:v>32.359365692962832</c:v>
                </c:pt>
                <c:pt idx="51">
                  <c:v>33.113112148259127</c:v>
                </c:pt>
                <c:pt idx="52">
                  <c:v>33.884415613920268</c:v>
                </c:pt>
                <c:pt idx="53">
                  <c:v>34.67368504525318</c:v>
                </c:pt>
                <c:pt idx="54">
                  <c:v>35.481338923357555</c:v>
                </c:pt>
                <c:pt idx="55">
                  <c:v>36.307805477010156</c:v>
                </c:pt>
                <c:pt idx="56">
                  <c:v>37.15352290971726</c:v>
                </c:pt>
                <c:pt idx="57">
                  <c:v>38.018939632056139</c:v>
                </c:pt>
                <c:pt idx="58">
                  <c:v>38.904514499428053</c:v>
                </c:pt>
                <c:pt idx="59">
                  <c:v>39.810717055349755</c:v>
                </c:pt>
                <c:pt idx="60">
                  <c:v>40.738027780411279</c:v>
                </c:pt>
                <c:pt idx="61">
                  <c:v>41.686938347033561</c:v>
                </c:pt>
                <c:pt idx="62">
                  <c:v>42.657951880159267</c:v>
                </c:pt>
                <c:pt idx="63">
                  <c:v>43.651583224016633</c:v>
                </c:pt>
                <c:pt idx="64">
                  <c:v>44.668359215096324</c:v>
                </c:pt>
                <c:pt idx="65">
                  <c:v>45.70881896148753</c:v>
                </c:pt>
                <c:pt idx="66">
                  <c:v>46.773514128719818</c:v>
                </c:pt>
                <c:pt idx="67">
                  <c:v>47.863009232263877</c:v>
                </c:pt>
                <c:pt idx="68">
                  <c:v>48.977881936844632</c:v>
                </c:pt>
                <c:pt idx="69">
                  <c:v>50.118723362727238</c:v>
                </c:pt>
                <c:pt idx="70">
                  <c:v>51.28613839913649</c:v>
                </c:pt>
                <c:pt idx="71">
                  <c:v>52.480746024977286</c:v>
                </c:pt>
                <c:pt idx="72">
                  <c:v>53.703179637025293</c:v>
                </c:pt>
                <c:pt idx="73">
                  <c:v>54.95408738576247</c:v>
                </c:pt>
                <c:pt idx="74">
                  <c:v>56.234132519034915</c:v>
                </c:pt>
                <c:pt idx="75">
                  <c:v>57.543993733715695</c:v>
                </c:pt>
                <c:pt idx="76">
                  <c:v>58.884365535558949</c:v>
                </c:pt>
                <c:pt idx="77">
                  <c:v>60.255958607435822</c:v>
                </c:pt>
                <c:pt idx="78">
                  <c:v>61.659500186148257</c:v>
                </c:pt>
                <c:pt idx="79">
                  <c:v>63.095734448019364</c:v>
                </c:pt>
                <c:pt idx="80">
                  <c:v>64.565422903465588</c:v>
                </c:pt>
                <c:pt idx="81">
                  <c:v>66.069344800759623</c:v>
                </c:pt>
                <c:pt idx="82">
                  <c:v>67.60829753919819</c:v>
                </c:pt>
                <c:pt idx="83">
                  <c:v>69.183097091893657</c:v>
                </c:pt>
                <c:pt idx="84">
                  <c:v>70.794578438413865</c:v>
                </c:pt>
                <c:pt idx="85">
                  <c:v>72.443596007499011</c:v>
                </c:pt>
                <c:pt idx="86">
                  <c:v>74.131024130091816</c:v>
                </c:pt>
                <c:pt idx="87">
                  <c:v>75.857757502918361</c:v>
                </c:pt>
                <c:pt idx="88">
                  <c:v>77.624711662869217</c:v>
                </c:pt>
                <c:pt idx="89">
                  <c:v>79.432823472428197</c:v>
                </c:pt>
                <c:pt idx="90">
                  <c:v>81.283051616409963</c:v>
                </c:pt>
                <c:pt idx="91">
                  <c:v>83.176377110267126</c:v>
                </c:pt>
                <c:pt idx="92">
                  <c:v>85.113803820237734</c:v>
                </c:pt>
                <c:pt idx="93">
                  <c:v>87.096358995608071</c:v>
                </c:pt>
                <c:pt idx="94">
                  <c:v>89.125093813374562</c:v>
                </c:pt>
                <c:pt idx="95">
                  <c:v>91.201083935590972</c:v>
                </c:pt>
                <c:pt idx="96">
                  <c:v>93.325430079699174</c:v>
                </c:pt>
                <c:pt idx="97">
                  <c:v>95.499258602143655</c:v>
                </c:pt>
                <c:pt idx="98">
                  <c:v>97.723722095581124</c:v>
                </c:pt>
                <c:pt idx="99">
                  <c:v>100</c:v>
                </c:pt>
                <c:pt idx="100">
                  <c:v>102.32929922807544</c:v>
                </c:pt>
                <c:pt idx="101">
                  <c:v>104.71285480508998</c:v>
                </c:pt>
                <c:pt idx="102">
                  <c:v>107.15193052376065</c:v>
                </c:pt>
                <c:pt idx="103">
                  <c:v>109.64781961431861</c:v>
                </c:pt>
                <c:pt idx="104">
                  <c:v>112.20184543019634</c:v>
                </c:pt>
                <c:pt idx="105">
                  <c:v>114.81536214968835</c:v>
                </c:pt>
                <c:pt idx="106">
                  <c:v>117.48975549395293</c:v>
                </c:pt>
                <c:pt idx="107">
                  <c:v>120.22644346174135</c:v>
                </c:pt>
                <c:pt idx="108">
                  <c:v>123.02687708123821</c:v>
                </c:pt>
                <c:pt idx="109">
                  <c:v>125.89254117941677</c:v>
                </c:pt>
                <c:pt idx="110">
                  <c:v>128.82495516931343</c:v>
                </c:pt>
                <c:pt idx="111">
                  <c:v>131.82567385564084</c:v>
                </c:pt>
                <c:pt idx="112">
                  <c:v>134.89628825916537</c:v>
                </c:pt>
                <c:pt idx="113">
                  <c:v>138.0384264602886</c:v>
                </c:pt>
                <c:pt idx="114">
                  <c:v>141.25375446227542</c:v>
                </c:pt>
                <c:pt idx="115">
                  <c:v>144.54397707459285</c:v>
                </c:pt>
                <c:pt idx="116">
                  <c:v>147.91083881682084</c:v>
                </c:pt>
                <c:pt idx="117">
                  <c:v>151.3561248436209</c:v>
                </c:pt>
                <c:pt idx="118">
                  <c:v>154.8816618912482</c:v>
                </c:pt>
                <c:pt idx="119">
                  <c:v>158.48931924611153</c:v>
                </c:pt>
                <c:pt idx="120">
                  <c:v>162.18100973589304</c:v>
                </c:pt>
                <c:pt idx="121">
                  <c:v>165.95869074375622</c:v>
                </c:pt>
                <c:pt idx="122">
                  <c:v>169.82436524617444</c:v>
                </c:pt>
                <c:pt idx="123">
                  <c:v>173.78008287493768</c:v>
                </c:pt>
                <c:pt idx="124">
                  <c:v>177.82794100389242</c:v>
                </c:pt>
                <c:pt idx="125">
                  <c:v>181.9700858609983</c:v>
                </c:pt>
                <c:pt idx="126">
                  <c:v>186.20871366628685</c:v>
                </c:pt>
                <c:pt idx="127">
                  <c:v>190.54607179632498</c:v>
                </c:pt>
                <c:pt idx="128">
                  <c:v>194.98445997580458</c:v>
                </c:pt>
                <c:pt idx="129">
                  <c:v>199.52623149688802</c:v>
                </c:pt>
                <c:pt idx="130">
                  <c:v>204.17379446695315</c:v>
                </c:pt>
                <c:pt idx="131">
                  <c:v>208.92961308540396</c:v>
                </c:pt>
                <c:pt idx="132">
                  <c:v>213.79620895022339</c:v>
                </c:pt>
                <c:pt idx="133">
                  <c:v>218.77616239495524</c:v>
                </c:pt>
                <c:pt idx="134">
                  <c:v>223.87211385683412</c:v>
                </c:pt>
                <c:pt idx="135">
                  <c:v>229.08676527677744</c:v>
                </c:pt>
                <c:pt idx="136">
                  <c:v>234.42288153199232</c:v>
                </c:pt>
                <c:pt idx="137">
                  <c:v>239.88329190194912</c:v>
                </c:pt>
                <c:pt idx="138">
                  <c:v>245.4708915685033</c:v>
                </c:pt>
                <c:pt idx="139">
                  <c:v>251.18864315095806</c:v>
                </c:pt>
                <c:pt idx="140">
                  <c:v>257.03957827688663</c:v>
                </c:pt>
                <c:pt idx="141">
                  <c:v>263.02679918953817</c:v>
                </c:pt>
                <c:pt idx="142">
                  <c:v>269.15348039269179</c:v>
                </c:pt>
                <c:pt idx="143">
                  <c:v>275.42287033381683</c:v>
                </c:pt>
                <c:pt idx="144">
                  <c:v>281.83829312644554</c:v>
                </c:pt>
                <c:pt idx="145">
                  <c:v>288.40315031266073</c:v>
                </c:pt>
                <c:pt idx="146">
                  <c:v>295.12092266663871</c:v>
                </c:pt>
                <c:pt idx="147">
                  <c:v>301.99517204020168</c:v>
                </c:pt>
                <c:pt idx="148">
                  <c:v>309.02954325135937</c:v>
                </c:pt>
                <c:pt idx="149">
                  <c:v>316.22776601683825</c:v>
                </c:pt>
                <c:pt idx="150">
                  <c:v>323.59365692962825</c:v>
                </c:pt>
                <c:pt idx="151">
                  <c:v>331.13112148259137</c:v>
                </c:pt>
                <c:pt idx="152">
                  <c:v>338.84415613920277</c:v>
                </c:pt>
                <c:pt idx="153">
                  <c:v>346.73685045253183</c:v>
                </c:pt>
                <c:pt idx="154">
                  <c:v>354.81338923357566</c:v>
                </c:pt>
                <c:pt idx="155">
                  <c:v>363.07805477010152</c:v>
                </c:pt>
                <c:pt idx="156">
                  <c:v>371.53522909717265</c:v>
                </c:pt>
                <c:pt idx="157">
                  <c:v>380.18939632056163</c:v>
                </c:pt>
                <c:pt idx="158">
                  <c:v>389.04514499428063</c:v>
                </c:pt>
                <c:pt idx="159">
                  <c:v>398.10717055349761</c:v>
                </c:pt>
                <c:pt idx="160">
                  <c:v>407.38027780411272</c:v>
                </c:pt>
                <c:pt idx="161">
                  <c:v>416.86938347033572</c:v>
                </c:pt>
                <c:pt idx="162">
                  <c:v>426.57951880159294</c:v>
                </c:pt>
                <c:pt idx="163">
                  <c:v>436.51583224016622</c:v>
                </c:pt>
                <c:pt idx="164">
                  <c:v>446.68359215096331</c:v>
                </c:pt>
                <c:pt idx="165">
                  <c:v>457.0881896148756</c:v>
                </c:pt>
                <c:pt idx="166">
                  <c:v>467.7351412871983</c:v>
                </c:pt>
                <c:pt idx="167">
                  <c:v>478.63009232263886</c:v>
                </c:pt>
                <c:pt idx="168">
                  <c:v>489.77881936844625</c:v>
                </c:pt>
                <c:pt idx="169">
                  <c:v>501.18723362727269</c:v>
                </c:pt>
                <c:pt idx="170">
                  <c:v>512.86138399136519</c:v>
                </c:pt>
                <c:pt idx="171">
                  <c:v>524.80746024977248</c:v>
                </c:pt>
                <c:pt idx="172">
                  <c:v>537.03179637025301</c:v>
                </c:pt>
                <c:pt idx="173">
                  <c:v>549.54087385762534</c:v>
                </c:pt>
                <c:pt idx="174">
                  <c:v>562.34132519034927</c:v>
                </c:pt>
                <c:pt idx="175">
                  <c:v>575.43993733715706</c:v>
                </c:pt>
                <c:pt idx="176">
                  <c:v>588.84365535558959</c:v>
                </c:pt>
                <c:pt idx="177">
                  <c:v>602.55958607435832</c:v>
                </c:pt>
                <c:pt idx="178">
                  <c:v>616.59500186148273</c:v>
                </c:pt>
                <c:pt idx="179">
                  <c:v>630.95734448019323</c:v>
                </c:pt>
                <c:pt idx="180">
                  <c:v>645.65422903465594</c:v>
                </c:pt>
                <c:pt idx="181">
                  <c:v>660.69344800759643</c:v>
                </c:pt>
                <c:pt idx="182">
                  <c:v>676.08297539198213</c:v>
                </c:pt>
                <c:pt idx="183">
                  <c:v>691.83097091893671</c:v>
                </c:pt>
                <c:pt idx="184">
                  <c:v>707.94578438413873</c:v>
                </c:pt>
                <c:pt idx="185">
                  <c:v>724.43596007499025</c:v>
                </c:pt>
                <c:pt idx="186">
                  <c:v>741.31024130091828</c:v>
                </c:pt>
                <c:pt idx="187">
                  <c:v>758.57757502918378</c:v>
                </c:pt>
                <c:pt idx="188">
                  <c:v>776.24711662869231</c:v>
                </c:pt>
                <c:pt idx="189">
                  <c:v>794.32823472428208</c:v>
                </c:pt>
                <c:pt idx="190">
                  <c:v>812.83051616409978</c:v>
                </c:pt>
                <c:pt idx="191">
                  <c:v>831.7637711026714</c:v>
                </c:pt>
                <c:pt idx="192">
                  <c:v>851.13803820237763</c:v>
                </c:pt>
                <c:pt idx="193">
                  <c:v>870.96358995608091</c:v>
                </c:pt>
                <c:pt idx="194">
                  <c:v>891.25093813374656</c:v>
                </c:pt>
                <c:pt idx="195">
                  <c:v>912.01083935590987</c:v>
                </c:pt>
                <c:pt idx="196">
                  <c:v>933.25430079699106</c:v>
                </c:pt>
                <c:pt idx="197">
                  <c:v>954.99258602143675</c:v>
                </c:pt>
                <c:pt idx="198">
                  <c:v>977.23722095581138</c:v>
                </c:pt>
                <c:pt idx="199">
                  <c:v>1000</c:v>
                </c:pt>
                <c:pt idx="200">
                  <c:v>1023.2929922807547</c:v>
                </c:pt>
                <c:pt idx="201">
                  <c:v>1047.1285480509</c:v>
                </c:pt>
                <c:pt idx="202">
                  <c:v>1071.5193052376069</c:v>
                </c:pt>
                <c:pt idx="203">
                  <c:v>1096.4781961431863</c:v>
                </c:pt>
                <c:pt idx="204">
                  <c:v>1122.0184543019636</c:v>
                </c:pt>
                <c:pt idx="205">
                  <c:v>1148.1536214968839</c:v>
                </c:pt>
                <c:pt idx="206">
                  <c:v>1174.8975549395295</c:v>
                </c:pt>
                <c:pt idx="207">
                  <c:v>1202.2644346174138</c:v>
                </c:pt>
                <c:pt idx="208">
                  <c:v>1230.2687708123824</c:v>
                </c:pt>
                <c:pt idx="209">
                  <c:v>1258.925411794168</c:v>
                </c:pt>
                <c:pt idx="210">
                  <c:v>1288.2495516931347</c:v>
                </c:pt>
                <c:pt idx="211">
                  <c:v>1318.2567385564089</c:v>
                </c:pt>
                <c:pt idx="212">
                  <c:v>1348.9628825916541</c:v>
                </c:pt>
                <c:pt idx="213">
                  <c:v>1380.3842646028863</c:v>
                </c:pt>
                <c:pt idx="214">
                  <c:v>1412.5375446227545</c:v>
                </c:pt>
                <c:pt idx="215">
                  <c:v>1445.4397707459289</c:v>
                </c:pt>
                <c:pt idx="216">
                  <c:v>1479.1083881682086</c:v>
                </c:pt>
                <c:pt idx="217">
                  <c:v>1513.5612484362093</c:v>
                </c:pt>
                <c:pt idx="218">
                  <c:v>1548.8166189124822</c:v>
                </c:pt>
                <c:pt idx="219">
                  <c:v>1584.8931924611156</c:v>
                </c:pt>
                <c:pt idx="220">
                  <c:v>1621.8100973589308</c:v>
                </c:pt>
                <c:pt idx="221">
                  <c:v>1659.5869074375626</c:v>
                </c:pt>
                <c:pt idx="222">
                  <c:v>1698.2436524617447</c:v>
                </c:pt>
                <c:pt idx="223">
                  <c:v>1737.8008287493772</c:v>
                </c:pt>
                <c:pt idx="224">
                  <c:v>1778.2794100389244</c:v>
                </c:pt>
                <c:pt idx="225">
                  <c:v>1819.7008586099832</c:v>
                </c:pt>
                <c:pt idx="226">
                  <c:v>1862.0871366628687</c:v>
                </c:pt>
                <c:pt idx="227">
                  <c:v>1905.4607179632501</c:v>
                </c:pt>
                <c:pt idx="228">
                  <c:v>1949.8445997580463</c:v>
                </c:pt>
                <c:pt idx="229">
                  <c:v>1995.2623149688804</c:v>
                </c:pt>
                <c:pt idx="230">
                  <c:v>2041.7379446695318</c:v>
                </c:pt>
                <c:pt idx="231">
                  <c:v>2089.2961308540398</c:v>
                </c:pt>
                <c:pt idx="232">
                  <c:v>2137.9620895022344</c:v>
                </c:pt>
                <c:pt idx="233">
                  <c:v>2187.7616239495528</c:v>
                </c:pt>
                <c:pt idx="234">
                  <c:v>2238.7211385683418</c:v>
                </c:pt>
                <c:pt idx="235">
                  <c:v>2290.8676527677749</c:v>
                </c:pt>
                <c:pt idx="236">
                  <c:v>2344.2288153199238</c:v>
                </c:pt>
                <c:pt idx="237">
                  <c:v>2398.8329190194918</c:v>
                </c:pt>
                <c:pt idx="238">
                  <c:v>2454.7089156850338</c:v>
                </c:pt>
                <c:pt idx="239">
                  <c:v>2511.8864315095811</c:v>
                </c:pt>
                <c:pt idx="240">
                  <c:v>2570.3957827688669</c:v>
                </c:pt>
                <c:pt idx="241">
                  <c:v>2630.2679918953822</c:v>
                </c:pt>
                <c:pt idx="242">
                  <c:v>2691.5348039269184</c:v>
                </c:pt>
                <c:pt idx="243">
                  <c:v>2754.228703338169</c:v>
                </c:pt>
                <c:pt idx="244">
                  <c:v>2818.3829312644561</c:v>
                </c:pt>
                <c:pt idx="245">
                  <c:v>2884.0315031266077</c:v>
                </c:pt>
                <c:pt idx="246">
                  <c:v>2951.2092266663876</c:v>
                </c:pt>
                <c:pt idx="247">
                  <c:v>3019.9517204020176</c:v>
                </c:pt>
                <c:pt idx="248">
                  <c:v>3090.295432513592</c:v>
                </c:pt>
                <c:pt idx="249">
                  <c:v>3162.2776601683804</c:v>
                </c:pt>
                <c:pt idx="250">
                  <c:v>3235.9365692962833</c:v>
                </c:pt>
                <c:pt idx="251">
                  <c:v>3311.3112148259115</c:v>
                </c:pt>
                <c:pt idx="252">
                  <c:v>3388.4415613920314</c:v>
                </c:pt>
                <c:pt idx="253">
                  <c:v>3467.3685045253224</c:v>
                </c:pt>
                <c:pt idx="254">
                  <c:v>3548.1338923357539</c:v>
                </c:pt>
                <c:pt idx="255">
                  <c:v>3630.7805477010188</c:v>
                </c:pt>
                <c:pt idx="256">
                  <c:v>3715.352290971724</c:v>
                </c:pt>
                <c:pt idx="257">
                  <c:v>3801.8939632056172</c:v>
                </c:pt>
                <c:pt idx="258">
                  <c:v>3890.451449942811</c:v>
                </c:pt>
                <c:pt idx="259">
                  <c:v>3981.0717055349769</c:v>
                </c:pt>
                <c:pt idx="260">
                  <c:v>4073.8027780411317</c:v>
                </c:pt>
                <c:pt idx="261">
                  <c:v>4168.6938347033583</c:v>
                </c:pt>
                <c:pt idx="262">
                  <c:v>4265.7951880159299</c:v>
                </c:pt>
                <c:pt idx="263">
                  <c:v>4365.1583224016631</c:v>
                </c:pt>
                <c:pt idx="264">
                  <c:v>4466.8359215096343</c:v>
                </c:pt>
                <c:pt idx="265">
                  <c:v>4570.8818961487532</c:v>
                </c:pt>
                <c:pt idx="266">
                  <c:v>4677.3514128719844</c:v>
                </c:pt>
                <c:pt idx="267">
                  <c:v>4786.3009232263848</c:v>
                </c:pt>
                <c:pt idx="268">
                  <c:v>4897.7881936844633</c:v>
                </c:pt>
                <c:pt idx="269">
                  <c:v>5011.8723362727324</c:v>
                </c:pt>
                <c:pt idx="270">
                  <c:v>5128.6138399136489</c:v>
                </c:pt>
                <c:pt idx="271">
                  <c:v>5248.0746024977261</c:v>
                </c:pt>
                <c:pt idx="272">
                  <c:v>5370.3179637025269</c:v>
                </c:pt>
                <c:pt idx="273">
                  <c:v>5495.4087385762541</c:v>
                </c:pt>
                <c:pt idx="274">
                  <c:v>5623.4132519034993</c:v>
                </c:pt>
                <c:pt idx="275">
                  <c:v>5754.399373371567</c:v>
                </c:pt>
                <c:pt idx="276">
                  <c:v>5888.4365535558973</c:v>
                </c:pt>
                <c:pt idx="277">
                  <c:v>6025.595860743585</c:v>
                </c:pt>
                <c:pt idx="278">
                  <c:v>6165.9500186148289</c:v>
                </c:pt>
                <c:pt idx="279">
                  <c:v>6309.5734448019384</c:v>
                </c:pt>
                <c:pt idx="280">
                  <c:v>6456.5422903465615</c:v>
                </c:pt>
                <c:pt idx="281">
                  <c:v>6606.9344800759654</c:v>
                </c:pt>
                <c:pt idx="282">
                  <c:v>6760.8297539198229</c:v>
                </c:pt>
                <c:pt idx="283">
                  <c:v>6918.3097091893687</c:v>
                </c:pt>
                <c:pt idx="284">
                  <c:v>7079.4578438413828</c:v>
                </c:pt>
                <c:pt idx="285">
                  <c:v>7244.3596007499036</c:v>
                </c:pt>
                <c:pt idx="286">
                  <c:v>7413.1024130091773</c:v>
                </c:pt>
                <c:pt idx="287">
                  <c:v>7585.7757502918394</c:v>
                </c:pt>
                <c:pt idx="288">
                  <c:v>7762.4711662869322</c:v>
                </c:pt>
                <c:pt idx="289">
                  <c:v>7943.2823472428154</c:v>
                </c:pt>
                <c:pt idx="290">
                  <c:v>8128.3051616410066</c:v>
                </c:pt>
                <c:pt idx="291">
                  <c:v>8317.6377110267094</c:v>
                </c:pt>
                <c:pt idx="292">
                  <c:v>8511.3803820237772</c:v>
                </c:pt>
                <c:pt idx="293">
                  <c:v>8709.6358995608189</c:v>
                </c:pt>
                <c:pt idx="294">
                  <c:v>8912.5093813374679</c:v>
                </c:pt>
                <c:pt idx="295">
                  <c:v>9120.1083935591087</c:v>
                </c:pt>
                <c:pt idx="296">
                  <c:v>9332.5430079699217</c:v>
                </c:pt>
                <c:pt idx="297">
                  <c:v>9549.9258602143691</c:v>
                </c:pt>
                <c:pt idx="298">
                  <c:v>9772.3722095581161</c:v>
                </c:pt>
                <c:pt idx="299">
                  <c:v>10000</c:v>
                </c:pt>
                <c:pt idx="300">
                  <c:v>10232.929922807549</c:v>
                </c:pt>
                <c:pt idx="301">
                  <c:v>10471.285480509003</c:v>
                </c:pt>
                <c:pt idx="302">
                  <c:v>10715.193052376071</c:v>
                </c:pt>
                <c:pt idx="303">
                  <c:v>10964.781961431856</c:v>
                </c:pt>
                <c:pt idx="304">
                  <c:v>11220.184543019639</c:v>
                </c:pt>
                <c:pt idx="305">
                  <c:v>11481.536214968832</c:v>
                </c:pt>
                <c:pt idx="306">
                  <c:v>11748.975549395318</c:v>
                </c:pt>
                <c:pt idx="307">
                  <c:v>12022.644346174151</c:v>
                </c:pt>
                <c:pt idx="308">
                  <c:v>12302.687708123816</c:v>
                </c:pt>
                <c:pt idx="309">
                  <c:v>12589.254117941671</c:v>
                </c:pt>
                <c:pt idx="310">
                  <c:v>12882.49551693136</c:v>
                </c:pt>
                <c:pt idx="311">
                  <c:v>13182.567385564091</c:v>
                </c:pt>
                <c:pt idx="312">
                  <c:v>13489.628825916556</c:v>
                </c:pt>
                <c:pt idx="313">
                  <c:v>13803.842646028841</c:v>
                </c:pt>
                <c:pt idx="314">
                  <c:v>14125.375446227561</c:v>
                </c:pt>
                <c:pt idx="315">
                  <c:v>14454.397707459291</c:v>
                </c:pt>
                <c:pt idx="316">
                  <c:v>14791.083881682089</c:v>
                </c:pt>
                <c:pt idx="317">
                  <c:v>15135.612484362096</c:v>
                </c:pt>
                <c:pt idx="318">
                  <c:v>15488.166189124853</c:v>
                </c:pt>
                <c:pt idx="319">
                  <c:v>15848.931924611146</c:v>
                </c:pt>
                <c:pt idx="320">
                  <c:v>16218.100973589309</c:v>
                </c:pt>
                <c:pt idx="321">
                  <c:v>16595.869074375616</c:v>
                </c:pt>
                <c:pt idx="322">
                  <c:v>16982.436524617482</c:v>
                </c:pt>
                <c:pt idx="323">
                  <c:v>17378.008287493791</c:v>
                </c:pt>
                <c:pt idx="324">
                  <c:v>17782.794100389234</c:v>
                </c:pt>
                <c:pt idx="325">
                  <c:v>18197.008586099837</c:v>
                </c:pt>
                <c:pt idx="326">
                  <c:v>18620.871366628675</c:v>
                </c:pt>
                <c:pt idx="327">
                  <c:v>19054.607179632505</c:v>
                </c:pt>
                <c:pt idx="328">
                  <c:v>19498.445997580486</c:v>
                </c:pt>
                <c:pt idx="329">
                  <c:v>19952.623149688792</c:v>
                </c:pt>
                <c:pt idx="330">
                  <c:v>20417.379446695286</c:v>
                </c:pt>
                <c:pt idx="331">
                  <c:v>20892.961308540423</c:v>
                </c:pt>
                <c:pt idx="332">
                  <c:v>21379.620895022348</c:v>
                </c:pt>
                <c:pt idx="333">
                  <c:v>21877.61623949555</c:v>
                </c:pt>
                <c:pt idx="334">
                  <c:v>22387.211385683382</c:v>
                </c:pt>
                <c:pt idx="335">
                  <c:v>22908.676527677751</c:v>
                </c:pt>
                <c:pt idx="336">
                  <c:v>23442.288153199243</c:v>
                </c:pt>
                <c:pt idx="337">
                  <c:v>23988.329190194923</c:v>
                </c:pt>
                <c:pt idx="338">
                  <c:v>24547.089156850321</c:v>
                </c:pt>
                <c:pt idx="339">
                  <c:v>25118.86431509586</c:v>
                </c:pt>
                <c:pt idx="340">
                  <c:v>25703.95782768865</c:v>
                </c:pt>
                <c:pt idx="341">
                  <c:v>26302.679918953829</c:v>
                </c:pt>
                <c:pt idx="342">
                  <c:v>26915.348039269167</c:v>
                </c:pt>
                <c:pt idx="343">
                  <c:v>27542.287033381719</c:v>
                </c:pt>
                <c:pt idx="344">
                  <c:v>28183.829312644593</c:v>
                </c:pt>
                <c:pt idx="345">
                  <c:v>28840.315031266062</c:v>
                </c:pt>
                <c:pt idx="346">
                  <c:v>29512.092266663854</c:v>
                </c:pt>
                <c:pt idx="347">
                  <c:v>30199.517204020212</c:v>
                </c:pt>
                <c:pt idx="348">
                  <c:v>30902.954325135954</c:v>
                </c:pt>
                <c:pt idx="349">
                  <c:v>31622.77660168384</c:v>
                </c:pt>
                <c:pt idx="350">
                  <c:v>32359.365692962871</c:v>
                </c:pt>
                <c:pt idx="351">
                  <c:v>33113.11214825909</c:v>
                </c:pt>
                <c:pt idx="352">
                  <c:v>33884.41561392029</c:v>
                </c:pt>
                <c:pt idx="353">
                  <c:v>34673.685045253202</c:v>
                </c:pt>
                <c:pt idx="354">
                  <c:v>35481.33892335758</c:v>
                </c:pt>
                <c:pt idx="355">
                  <c:v>36307.805477010232</c:v>
                </c:pt>
                <c:pt idx="356">
                  <c:v>37153.522909717351</c:v>
                </c:pt>
                <c:pt idx="357">
                  <c:v>38018.939632056143</c:v>
                </c:pt>
                <c:pt idx="358">
                  <c:v>38904.514499428085</c:v>
                </c:pt>
                <c:pt idx="359">
                  <c:v>39810.717055349742</c:v>
                </c:pt>
                <c:pt idx="360">
                  <c:v>40738.027780411358</c:v>
                </c:pt>
                <c:pt idx="361">
                  <c:v>41686.938347033625</c:v>
                </c:pt>
                <c:pt idx="362">
                  <c:v>42657.951880159271</c:v>
                </c:pt>
                <c:pt idx="363">
                  <c:v>43651.583224016598</c:v>
                </c:pt>
                <c:pt idx="364">
                  <c:v>44668.359215096389</c:v>
                </c:pt>
                <c:pt idx="365">
                  <c:v>45708.818961487581</c:v>
                </c:pt>
                <c:pt idx="366">
                  <c:v>46773.514128719893</c:v>
                </c:pt>
                <c:pt idx="367">
                  <c:v>47863.009232263823</c:v>
                </c:pt>
                <c:pt idx="368">
                  <c:v>48977.881936844598</c:v>
                </c:pt>
                <c:pt idx="369">
                  <c:v>50118.723362727294</c:v>
                </c:pt>
                <c:pt idx="370">
                  <c:v>51286.138399136544</c:v>
                </c:pt>
                <c:pt idx="371">
                  <c:v>52480.746024977314</c:v>
                </c:pt>
                <c:pt idx="372">
                  <c:v>53703.179637025423</c:v>
                </c:pt>
                <c:pt idx="373">
                  <c:v>54954.087385762505</c:v>
                </c:pt>
                <c:pt idx="374">
                  <c:v>56234.132519034953</c:v>
                </c:pt>
                <c:pt idx="375">
                  <c:v>57543.993733715732</c:v>
                </c:pt>
                <c:pt idx="376">
                  <c:v>58884.365535558936</c:v>
                </c:pt>
                <c:pt idx="377">
                  <c:v>60255.95860743591</c:v>
                </c:pt>
                <c:pt idx="378">
                  <c:v>61659.500186148245</c:v>
                </c:pt>
                <c:pt idx="379">
                  <c:v>63095.734448019342</c:v>
                </c:pt>
                <c:pt idx="380">
                  <c:v>64565.422903465682</c:v>
                </c:pt>
                <c:pt idx="381">
                  <c:v>66069.344800759733</c:v>
                </c:pt>
                <c:pt idx="382">
                  <c:v>67608.297539198305</c:v>
                </c:pt>
                <c:pt idx="383">
                  <c:v>69183.097091893651</c:v>
                </c:pt>
                <c:pt idx="384">
                  <c:v>70794.578438413781</c:v>
                </c:pt>
                <c:pt idx="385">
                  <c:v>72443.596007499116</c:v>
                </c:pt>
                <c:pt idx="386">
                  <c:v>74131.024130091857</c:v>
                </c:pt>
                <c:pt idx="387">
                  <c:v>75857.757502918481</c:v>
                </c:pt>
                <c:pt idx="388">
                  <c:v>77624.711662869129</c:v>
                </c:pt>
                <c:pt idx="389">
                  <c:v>79432.823472428237</c:v>
                </c:pt>
                <c:pt idx="390">
                  <c:v>81283.051616410012</c:v>
                </c:pt>
                <c:pt idx="391">
                  <c:v>83176.377110267174</c:v>
                </c:pt>
                <c:pt idx="392">
                  <c:v>85113.803820237721</c:v>
                </c:pt>
                <c:pt idx="393">
                  <c:v>87096.358995608127</c:v>
                </c:pt>
                <c:pt idx="394">
                  <c:v>89125.093813374609</c:v>
                </c:pt>
                <c:pt idx="395">
                  <c:v>91201.083935591028</c:v>
                </c:pt>
                <c:pt idx="396">
                  <c:v>93325.430079699145</c:v>
                </c:pt>
                <c:pt idx="397">
                  <c:v>95499.258602143804</c:v>
                </c:pt>
                <c:pt idx="398">
                  <c:v>97723.722095581266</c:v>
                </c:pt>
                <c:pt idx="399">
                  <c:v>100000</c:v>
                </c:pt>
                <c:pt idx="400">
                  <c:v>102329.29922807543</c:v>
                </c:pt>
                <c:pt idx="401">
                  <c:v>104712.85480508996</c:v>
                </c:pt>
                <c:pt idx="402">
                  <c:v>107151.93052376082</c:v>
                </c:pt>
                <c:pt idx="403">
                  <c:v>109647.81961431868</c:v>
                </c:pt>
                <c:pt idx="404">
                  <c:v>112201.84543019651</c:v>
                </c:pt>
                <c:pt idx="405">
                  <c:v>114815.36214968823</c:v>
                </c:pt>
                <c:pt idx="406">
                  <c:v>117489.75549395311</c:v>
                </c:pt>
                <c:pt idx="407">
                  <c:v>120226.44346174144</c:v>
                </c:pt>
                <c:pt idx="408">
                  <c:v>123026.87708123829</c:v>
                </c:pt>
                <c:pt idx="409">
                  <c:v>125892.54117941685</c:v>
                </c:pt>
                <c:pt idx="410">
                  <c:v>128824.95516931375</c:v>
                </c:pt>
                <c:pt idx="411">
                  <c:v>131825.67385564081</c:v>
                </c:pt>
                <c:pt idx="412">
                  <c:v>134896.28825916545</c:v>
                </c:pt>
                <c:pt idx="413">
                  <c:v>138038.42646028858</c:v>
                </c:pt>
                <c:pt idx="414">
                  <c:v>141253.75446227577</c:v>
                </c:pt>
                <c:pt idx="415">
                  <c:v>144543.97707459307</c:v>
                </c:pt>
                <c:pt idx="416">
                  <c:v>147910.83881682079</c:v>
                </c:pt>
                <c:pt idx="417">
                  <c:v>151356.12484362084</c:v>
                </c:pt>
                <c:pt idx="418">
                  <c:v>154881.66189124843</c:v>
                </c:pt>
                <c:pt idx="419">
                  <c:v>158489.31924611164</c:v>
                </c:pt>
                <c:pt idx="420">
                  <c:v>162181.00973589328</c:v>
                </c:pt>
                <c:pt idx="421">
                  <c:v>165958.69074375604</c:v>
                </c:pt>
                <c:pt idx="422">
                  <c:v>169824.36524617471</c:v>
                </c:pt>
                <c:pt idx="423">
                  <c:v>173780.0828749378</c:v>
                </c:pt>
                <c:pt idx="424">
                  <c:v>177827.94100389251</c:v>
                </c:pt>
                <c:pt idx="425">
                  <c:v>181970.08586099857</c:v>
                </c:pt>
                <c:pt idx="426">
                  <c:v>186208.71366628664</c:v>
                </c:pt>
                <c:pt idx="427">
                  <c:v>190546.07179632492</c:v>
                </c:pt>
                <c:pt idx="428">
                  <c:v>194984.45997580473</c:v>
                </c:pt>
                <c:pt idx="429">
                  <c:v>199526.23149688813</c:v>
                </c:pt>
                <c:pt idx="430">
                  <c:v>204173.79446695308</c:v>
                </c:pt>
                <c:pt idx="431">
                  <c:v>208929.61308540447</c:v>
                </c:pt>
                <c:pt idx="432">
                  <c:v>213796.20895022334</c:v>
                </c:pt>
                <c:pt idx="433">
                  <c:v>218776.16239495538</c:v>
                </c:pt>
                <c:pt idx="434">
                  <c:v>223872.11385683404</c:v>
                </c:pt>
                <c:pt idx="435">
                  <c:v>229086.76527677779</c:v>
                </c:pt>
                <c:pt idx="436">
                  <c:v>234422.88153199267</c:v>
                </c:pt>
                <c:pt idx="437">
                  <c:v>239883.29190194907</c:v>
                </c:pt>
                <c:pt idx="438">
                  <c:v>245470.89156850305</c:v>
                </c:pt>
                <c:pt idx="439">
                  <c:v>251188.64315095844</c:v>
                </c:pt>
                <c:pt idx="440">
                  <c:v>257039.57827688678</c:v>
                </c:pt>
                <c:pt idx="441">
                  <c:v>263026.79918953858</c:v>
                </c:pt>
                <c:pt idx="442">
                  <c:v>269153.48039269145</c:v>
                </c:pt>
                <c:pt idx="443">
                  <c:v>275422.87033381703</c:v>
                </c:pt>
                <c:pt idx="444">
                  <c:v>281838.29312644573</c:v>
                </c:pt>
                <c:pt idx="445">
                  <c:v>288403.1503126609</c:v>
                </c:pt>
                <c:pt idx="446">
                  <c:v>295120.92266663886</c:v>
                </c:pt>
                <c:pt idx="447">
                  <c:v>301995.17204020242</c:v>
                </c:pt>
                <c:pt idx="448">
                  <c:v>309029.54325135931</c:v>
                </c:pt>
                <c:pt idx="449">
                  <c:v>316227.7660168382</c:v>
                </c:pt>
                <c:pt idx="450">
                  <c:v>323593.65692962846</c:v>
                </c:pt>
                <c:pt idx="451">
                  <c:v>331131.12148259126</c:v>
                </c:pt>
                <c:pt idx="452">
                  <c:v>338844.15613920329</c:v>
                </c:pt>
                <c:pt idx="453">
                  <c:v>346736.85045253241</c:v>
                </c:pt>
                <c:pt idx="454">
                  <c:v>354813.38923357555</c:v>
                </c:pt>
                <c:pt idx="455">
                  <c:v>363078.05477010203</c:v>
                </c:pt>
                <c:pt idx="456">
                  <c:v>371535.2290971732</c:v>
                </c:pt>
                <c:pt idx="457">
                  <c:v>380189.39632056188</c:v>
                </c:pt>
                <c:pt idx="458">
                  <c:v>389045.14499428123</c:v>
                </c:pt>
                <c:pt idx="459">
                  <c:v>398107.17055349716</c:v>
                </c:pt>
                <c:pt idx="460">
                  <c:v>407380.27780411334</c:v>
                </c:pt>
                <c:pt idx="461">
                  <c:v>416869.38347033598</c:v>
                </c:pt>
                <c:pt idx="462">
                  <c:v>426579.51880159322</c:v>
                </c:pt>
                <c:pt idx="463">
                  <c:v>436515.83224016649</c:v>
                </c:pt>
                <c:pt idx="464">
                  <c:v>446683.59215096442</c:v>
                </c:pt>
                <c:pt idx="465">
                  <c:v>457088.18961487547</c:v>
                </c:pt>
                <c:pt idx="466">
                  <c:v>467735.14128719864</c:v>
                </c:pt>
                <c:pt idx="467">
                  <c:v>478630.09232263872</c:v>
                </c:pt>
                <c:pt idx="468">
                  <c:v>489778.81936844654</c:v>
                </c:pt>
                <c:pt idx="469">
                  <c:v>501187.23362727347</c:v>
                </c:pt>
                <c:pt idx="470">
                  <c:v>512861.38399136515</c:v>
                </c:pt>
                <c:pt idx="471">
                  <c:v>524807.46024977288</c:v>
                </c:pt>
                <c:pt idx="472">
                  <c:v>537031.7963702539</c:v>
                </c:pt>
                <c:pt idx="473">
                  <c:v>549540.87385762564</c:v>
                </c:pt>
                <c:pt idx="474">
                  <c:v>562341.32519035018</c:v>
                </c:pt>
                <c:pt idx="475">
                  <c:v>575439.93733715697</c:v>
                </c:pt>
                <c:pt idx="476">
                  <c:v>588843.65535558888</c:v>
                </c:pt>
                <c:pt idx="477">
                  <c:v>602559.58607435878</c:v>
                </c:pt>
                <c:pt idx="478">
                  <c:v>616595.00186148309</c:v>
                </c:pt>
                <c:pt idx="479">
                  <c:v>630957.34448019415</c:v>
                </c:pt>
                <c:pt idx="480">
                  <c:v>645654.22903465747</c:v>
                </c:pt>
                <c:pt idx="481">
                  <c:v>660693.44800759677</c:v>
                </c:pt>
                <c:pt idx="482">
                  <c:v>676082.97539198259</c:v>
                </c:pt>
                <c:pt idx="483">
                  <c:v>691830.97091893724</c:v>
                </c:pt>
                <c:pt idx="484">
                  <c:v>707945.78438413853</c:v>
                </c:pt>
                <c:pt idx="485">
                  <c:v>724435.96007499192</c:v>
                </c:pt>
                <c:pt idx="486">
                  <c:v>741310.24130091805</c:v>
                </c:pt>
                <c:pt idx="487">
                  <c:v>758577.57502918423</c:v>
                </c:pt>
                <c:pt idx="488">
                  <c:v>776247.11662869214</c:v>
                </c:pt>
                <c:pt idx="489">
                  <c:v>794328.23472428333</c:v>
                </c:pt>
                <c:pt idx="490">
                  <c:v>812830.51616410096</c:v>
                </c:pt>
                <c:pt idx="491">
                  <c:v>831763.77110267128</c:v>
                </c:pt>
                <c:pt idx="492">
                  <c:v>851138.03820237669</c:v>
                </c:pt>
                <c:pt idx="493">
                  <c:v>870963.58995608077</c:v>
                </c:pt>
                <c:pt idx="494">
                  <c:v>891250.93813374708</c:v>
                </c:pt>
                <c:pt idx="495">
                  <c:v>912010.83935591124</c:v>
                </c:pt>
                <c:pt idx="496">
                  <c:v>933254.30079699249</c:v>
                </c:pt>
                <c:pt idx="497">
                  <c:v>954992.58602143743</c:v>
                </c:pt>
                <c:pt idx="498">
                  <c:v>977237.22095581202</c:v>
                </c:pt>
                <c:pt idx="499">
                  <c:v>1000000</c:v>
                </c:pt>
                <c:pt idx="500">
                  <c:v>1023292.9922807553</c:v>
                </c:pt>
                <c:pt idx="501">
                  <c:v>1047128.5480509007</c:v>
                </c:pt>
                <c:pt idx="502">
                  <c:v>1071519.3052376076</c:v>
                </c:pt>
                <c:pt idx="503">
                  <c:v>1096478.196143186</c:v>
                </c:pt>
                <c:pt idx="504">
                  <c:v>1122018.4543019643</c:v>
                </c:pt>
                <c:pt idx="505">
                  <c:v>1148153.6214968837</c:v>
                </c:pt>
                <c:pt idx="506">
                  <c:v>1174897.5549395324</c:v>
                </c:pt>
                <c:pt idx="507">
                  <c:v>1202264.4346174158</c:v>
                </c:pt>
                <c:pt idx="508">
                  <c:v>1230268.770812382</c:v>
                </c:pt>
                <c:pt idx="509">
                  <c:v>1258925.4117941677</c:v>
                </c:pt>
                <c:pt idx="510">
                  <c:v>1288249.5516931366</c:v>
                </c:pt>
                <c:pt idx="511">
                  <c:v>1318256.7385564097</c:v>
                </c:pt>
                <c:pt idx="512">
                  <c:v>1348962.8825916562</c:v>
                </c:pt>
                <c:pt idx="513">
                  <c:v>1380384.2646028849</c:v>
                </c:pt>
                <c:pt idx="514">
                  <c:v>1412537.5446227565</c:v>
                </c:pt>
                <c:pt idx="515">
                  <c:v>1445439.7707459298</c:v>
                </c:pt>
                <c:pt idx="516">
                  <c:v>1479108.3881682095</c:v>
                </c:pt>
                <c:pt idx="517">
                  <c:v>1513561.2484362102</c:v>
                </c:pt>
                <c:pt idx="518">
                  <c:v>1548816.6189124861</c:v>
                </c:pt>
                <c:pt idx="519">
                  <c:v>1584893.1924611153</c:v>
                </c:pt>
                <c:pt idx="520">
                  <c:v>1621810.0973589318</c:v>
                </c:pt>
                <c:pt idx="521">
                  <c:v>1659586.9074375622</c:v>
                </c:pt>
                <c:pt idx="522">
                  <c:v>1698243.6524617488</c:v>
                </c:pt>
                <c:pt idx="523">
                  <c:v>1737800.8287493798</c:v>
                </c:pt>
                <c:pt idx="524">
                  <c:v>1778279.4100389241</c:v>
                </c:pt>
                <c:pt idx="525">
                  <c:v>1819700.8586099846</c:v>
                </c:pt>
                <c:pt idx="526">
                  <c:v>1862087.1366628683</c:v>
                </c:pt>
                <c:pt idx="527">
                  <c:v>1905460.7179632513</c:v>
                </c:pt>
                <c:pt idx="528">
                  <c:v>1949844.5997580495</c:v>
                </c:pt>
                <c:pt idx="529">
                  <c:v>1995262.31496888</c:v>
                </c:pt>
                <c:pt idx="530">
                  <c:v>2041737.9446695296</c:v>
                </c:pt>
                <c:pt idx="531">
                  <c:v>2089296.1308540432</c:v>
                </c:pt>
                <c:pt idx="532">
                  <c:v>2137962.0895022359</c:v>
                </c:pt>
                <c:pt idx="533">
                  <c:v>2187761.6239495561</c:v>
                </c:pt>
                <c:pt idx="534">
                  <c:v>2238721.1385683389</c:v>
                </c:pt>
                <c:pt idx="535">
                  <c:v>2290867.6527677765</c:v>
                </c:pt>
                <c:pt idx="536">
                  <c:v>2344228.8153199251</c:v>
                </c:pt>
                <c:pt idx="537">
                  <c:v>2398832.9190194933</c:v>
                </c:pt>
                <c:pt idx="538">
                  <c:v>2454708.915685033</c:v>
                </c:pt>
                <c:pt idx="539">
                  <c:v>2511886.431509587</c:v>
                </c:pt>
                <c:pt idx="540">
                  <c:v>2570395.782768866</c:v>
                </c:pt>
                <c:pt idx="541">
                  <c:v>2630267.9918953842</c:v>
                </c:pt>
              </c:numCache>
            </c:numRef>
          </c:xVal>
          <c:yVal>
            <c:numRef>
              <c:f>Loop_Modeling!$AR$19:$AR$560</c:f>
              <c:numCache>
                <c:formatCode>General</c:formatCode>
                <c:ptCount val="542"/>
                <c:pt idx="0">
                  <c:v>-0.64738643936770346</c:v>
                </c:pt>
                <c:pt idx="1">
                  <c:v>-0.6624646017683421</c:v>
                </c:pt>
                <c:pt idx="2">
                  <c:v>-0.6778938792210184</c:v>
                </c:pt>
                <c:pt idx="3">
                  <c:v>-0.69368244306190485</c:v>
                </c:pt>
                <c:pt idx="4">
                  <c:v>-0.70983865444843175</c:v>
                </c:pt>
                <c:pt idx="5">
                  <c:v>-0.72637106874405011</c:v>
                </c:pt>
                <c:pt idx="6">
                  <c:v>-0.74328844000257255</c:v>
                </c:pt>
                <c:pt idx="7">
                  <c:v>-0.76059972555408162</c:v>
                </c:pt>
                <c:pt idx="8">
                  <c:v>-0.77831409069471968</c:v>
                </c:pt>
                <c:pt idx="9">
                  <c:v>-0.79644091348242374</c:v>
                </c:pt>
                <c:pt idx="10">
                  <c:v>-0.81498978964096624</c:v>
                </c:pt>
                <c:pt idx="11">
                  <c:v>-0.83397053757450823</c:v>
                </c:pt>
                <c:pt idx="12">
                  <c:v>-0.85339320349493719</c:v>
                </c:pt>
                <c:pt idx="13">
                  <c:v>-0.8732680666644933</c:v>
                </c:pt>
                <c:pt idx="14">
                  <c:v>-0.89360564475584425</c:v>
                </c:pt>
                <c:pt idx="15">
                  <c:v>-0.91441669933219294</c:v>
                </c:pt>
                <c:pt idx="16">
                  <c:v>-0.93571224144983289</c:v>
                </c:pt>
                <c:pt idx="17">
                  <c:v>-0.95750353738553418</c:v>
                </c:pt>
                <c:pt idx="18">
                  <c:v>-0.97980211449137011</c:v>
                </c:pt>
                <c:pt idx="19">
                  <c:v>-1.0026197671795143</c:v>
                </c:pt>
                <c:pt idx="20">
                  <c:v>-1.0259685630395641</c:v>
                </c:pt>
                <c:pt idx="21">
                  <c:v>-1.049860849090904</c:v>
                </c:pt>
                <c:pt idx="22">
                  <c:v>-1.0743092581728633</c:v>
                </c:pt>
                <c:pt idx="23">
                  <c:v>-1.0993267154753052</c:v>
                </c:pt>
                <c:pt idx="24">
                  <c:v>-1.1249264452121182</c:v>
                </c:pt>
                <c:pt idx="25">
                  <c:v>-1.1511219774406123</c:v>
                </c:pt>
                <c:pt idx="26">
                  <c:v>-1.1779271550291894</c:v>
                </c:pt>
                <c:pt idx="27">
                  <c:v>-1.205356140776322</c:v>
                </c:pt>
                <c:pt idx="28">
                  <c:v>-1.2334234246832809</c:v>
                </c:pt>
                <c:pt idx="29">
                  <c:v>-1.2621438313835251</c:v>
                </c:pt>
                <c:pt idx="30">
                  <c:v>-1.2915325277314982</c:v>
                </c:pt>
                <c:pt idx="31">
                  <c:v>-1.3216050305534468</c:v>
                </c:pt>
                <c:pt idx="32">
                  <c:v>-1.3523772145630304</c:v>
                </c:pt>
                <c:pt idx="33">
                  <c:v>-1.3838653204445905</c:v>
                </c:pt>
                <c:pt idx="34">
                  <c:v>-1.4160859631065503</c:v>
                </c:pt>
                <c:pt idx="35">
                  <c:v>-1.4490561401077648</c:v>
                </c:pt>
                <c:pt idx="36">
                  <c:v>-1.4827932402595847</c:v>
                </c:pt>
                <c:pt idx="37">
                  <c:v>-1.5173150524058652</c:v>
                </c:pt>
                <c:pt idx="38">
                  <c:v>-1.5526397743840434</c:v>
                </c:pt>
                <c:pt idx="39">
                  <c:v>-1.5887860221693506</c:v>
                </c:pt>
                <c:pt idx="40">
                  <c:v>-1.6257728392047748</c:v>
                </c:pt>
                <c:pt idx="41">
                  <c:v>-1.6636197059193705</c:v>
                </c:pt>
                <c:pt idx="42">
                  <c:v>-1.702346549436847</c:v>
                </c:pt>
                <c:pt idx="43">
                  <c:v>-1.7419737534769844</c:v>
                </c:pt>
                <c:pt idx="44">
                  <c:v>-1.7825221684518697</c:v>
                </c:pt>
                <c:pt idx="45">
                  <c:v>-1.8240131217589315</c:v>
                </c:pt>
                <c:pt idx="46">
                  <c:v>-1.8664684282726454</c:v>
                </c:pt>
                <c:pt idx="47">
                  <c:v>-1.9099104010367554</c:v>
                </c:pt>
                <c:pt idx="48">
                  <c:v>-1.9543618621584018</c:v>
                </c:pt>
                <c:pt idx="49">
                  <c:v>-1.9998461539055929</c:v>
                </c:pt>
                <c:pt idx="50">
                  <c:v>-2.0463871500093092</c:v>
                </c:pt>
                <c:pt idx="51">
                  <c:v>-2.0940092671709492</c:v>
                </c:pt>
                <c:pt idx="52">
                  <c:v>-2.1427374767761167</c:v>
                </c:pt>
                <c:pt idx="53">
                  <c:v>-2.1925973168149491</c:v>
                </c:pt>
                <c:pt idx="54">
                  <c:v>-2.2436149040092945</c:v>
                </c:pt>
                <c:pt idx="55">
                  <c:v>-2.295816946146418</c:v>
                </c:pt>
                <c:pt idx="56">
                  <c:v>-2.3492307546188922</c:v>
                </c:pt>
                <c:pt idx="57">
                  <c:v>-2.4038842571695742</c:v>
                </c:pt>
                <c:pt idx="58">
                  <c:v>-2.45980601084048</c:v>
                </c:pt>
                <c:pt idx="59">
                  <c:v>-2.5170252151236912</c:v>
                </c:pt>
                <c:pt idx="60">
                  <c:v>-2.5755717253120851</c:v>
                </c:pt>
                <c:pt idx="61">
                  <c:v>-2.6354760660469463</c:v>
                </c:pt>
                <c:pt idx="62">
                  <c:v>-2.6967694450592647</c:v>
                </c:pt>
                <c:pt idx="63">
                  <c:v>-2.7594837671005226</c:v>
                </c:pt>
                <c:pt idx="64">
                  <c:v>-2.8236516480583718</c:v>
                </c:pt>
                <c:pt idx="65">
                  <c:v>-2.8893064292516648</c:v>
                </c:pt>
                <c:pt idx="66">
                  <c:v>-2.9564821918987167</c:v>
                </c:pt>
                <c:pt idx="67">
                  <c:v>-3.0252137717516101</c:v>
                </c:pt>
                <c:pt idx="68">
                  <c:v>-3.095536773888651</c:v>
                </c:pt>
                <c:pt idx="69">
                  <c:v>-3.1674875876557405</c:v>
                </c:pt>
                <c:pt idx="70">
                  <c:v>-3.2411034017468987</c:v>
                </c:pt>
                <c:pt idx="71">
                  <c:v>-3.3164222194123925</c:v>
                </c:pt>
                <c:pt idx="72">
                  <c:v>-3.3934828737821525</c:v>
                </c:pt>
                <c:pt idx="73">
                  <c:v>-3.4723250432907777</c:v>
                </c:pt>
                <c:pt idx="74">
                  <c:v>-3.5529892671885146</c:v>
                </c:pt>
                <c:pt idx="75">
                  <c:v>-3.6355169611219647</c:v>
                </c:pt>
                <c:pt idx="76">
                  <c:v>-3.7199504327656303</c:v>
                </c:pt>
                <c:pt idx="77">
                  <c:v>-3.8063328974844444</c:v>
                </c:pt>
                <c:pt idx="78">
                  <c:v>-3.8947084940051058</c:v>
                </c:pt>
                <c:pt idx="79">
                  <c:v>-3.985122300072065</c:v>
                </c:pt>
                <c:pt idx="80">
                  <c:v>-4.0776203480621982</c:v>
                </c:pt>
                <c:pt idx="81">
                  <c:v>-4.1722496405292491</c:v>
                </c:pt>
                <c:pt idx="82">
                  <c:v>-4.2690581656474489</c:v>
                </c:pt>
                <c:pt idx="83">
                  <c:v>-4.3680949125204505</c:v>
                </c:pt>
                <c:pt idx="84">
                  <c:v>-4.4694098863191449</c:v>
                </c:pt>
                <c:pt idx="85">
                  <c:v>-4.5730541232091495</c:v>
                </c:pt>
                <c:pt idx="86">
                  <c:v>-4.6790797050253046</c:v>
                </c:pt>
                <c:pt idx="87">
                  <c:v>-4.7875397736470795</c:v>
                </c:pt>
                <c:pt idx="88">
                  <c:v>-4.8984885450256392</c:v>
                </c:pt>
                <c:pt idx="89">
                  <c:v>-5.0119813228090004</c:v>
                </c:pt>
                <c:pt idx="90">
                  <c:v>-5.1280745115079336</c:v>
                </c:pt>
                <c:pt idx="91">
                  <c:v>-5.2468256291409823</c:v>
                </c:pt>
                <c:pt idx="92">
                  <c:v>-5.3682933192921656</c:v>
                </c:pt>
                <c:pt idx="93">
                  <c:v>-5.4925373625105411</c:v>
                </c:pt>
                <c:pt idx="94">
                  <c:v>-5.6196186869752838</c:v>
                </c:pt>
                <c:pt idx="95">
                  <c:v>-5.7495993783448132</c:v>
                </c:pt>
                <c:pt idx="96">
                  <c:v>-5.8825426887026673</c:v>
                </c:pt>
                <c:pt idx="97">
                  <c:v>-6.0185130445067658</c:v>
                </c:pt>
                <c:pt idx="98">
                  <c:v>-6.1575760534433117</c:v>
                </c:pt>
                <c:pt idx="99">
                  <c:v>-6.299798510077701</c:v>
                </c:pt>
                <c:pt idx="100">
                  <c:v>-6.445248400190656</c:v>
                </c:pt>
                <c:pt idx="101">
                  <c:v>-6.5939949036784196</c:v>
                </c:pt>
                <c:pt idx="102">
                  <c:v>-6.7461083958891566</c:v>
                </c:pt>
                <c:pt idx="103">
                  <c:v>-6.9016604472589886</c:v>
                </c:pt>
                <c:pt idx="104">
                  <c:v>-7.060723821103835</c:v>
                </c:pt>
                <c:pt idx="105">
                  <c:v>-7.2233724694129071</c:v>
                </c:pt>
                <c:pt idx="106">
                  <c:v>-7.389681526482736</c:v>
                </c:pt>
                <c:pt idx="107">
                  <c:v>-7.5597273002188654</c:v>
                </c:pt>
                <c:pt idx="108">
                  <c:v>-7.7335872609240539</c:v>
                </c:pt>
                <c:pt idx="109">
                  <c:v>-7.9113400273820158</c:v>
                </c:pt>
                <c:pt idx="110">
                  <c:v>-8.0930653500342427</c:v>
                </c:pt>
                <c:pt idx="111">
                  <c:v>-8.2788440910369463</c:v>
                </c:pt>
                <c:pt idx="112">
                  <c:v>-8.4687582009754596</c:v>
                </c:pt>
                <c:pt idx="113">
                  <c:v>-8.6628906920009872</c:v>
                </c:pt>
                <c:pt idx="114">
                  <c:v>-8.8613256071439235</c:v>
                </c:pt>
                <c:pt idx="115">
                  <c:v>-9.0641479855454214</c:v>
                </c:pt>
                <c:pt idx="116">
                  <c:v>-9.2714438233407126</c:v>
                </c:pt>
                <c:pt idx="117">
                  <c:v>-9.483300029910346</c:v>
                </c:pt>
                <c:pt idx="118">
                  <c:v>-9.699804379210871</c:v>
                </c:pt>
                <c:pt idx="119">
                  <c:v>-9.9210454558793675</c:v>
                </c:pt>
                <c:pt idx="120">
                  <c:v>-10.147112595799193</c:v>
                </c:pt>
                <c:pt idx="121">
                  <c:v>-10.378095820801857</c:v>
                </c:pt>
                <c:pt idx="122">
                  <c:v>-10.614085767169547</c:v>
                </c:pt>
                <c:pt idx="123">
                  <c:v>-10.855173607595873</c:v>
                </c:pt>
                <c:pt idx="124">
                  <c:v>-11.101450966249859</c:v>
                </c:pt>
                <c:pt idx="125">
                  <c:v>-11.353009826584078</c:v>
                </c:pt>
                <c:pt idx="126">
                  <c:v>-11.609942431521356</c:v>
                </c:pt>
                <c:pt idx="127">
                  <c:v>-11.872341175644868</c:v>
                </c:pt>
                <c:pt idx="128">
                  <c:v>-12.140298489020497</c:v>
                </c:pt>
                <c:pt idx="129">
                  <c:v>-12.413906712273374</c:v>
                </c:pt>
                <c:pt idx="130">
                  <c:v>-12.69325796254285</c:v>
                </c:pt>
                <c:pt idx="131">
                  <c:v>-12.978443989945665</c:v>
                </c:pt>
                <c:pt idx="132">
                  <c:v>-13.269556024178826</c:v>
                </c:pt>
                <c:pt idx="133">
                  <c:v>-13.566684610909634</c:v>
                </c:pt>
                <c:pt idx="134">
                  <c:v>-13.869919437606045</c:v>
                </c:pt>
                <c:pt idx="135">
                  <c:v>-14.179349148483466</c:v>
                </c:pt>
                <c:pt idx="136">
                  <c:v>-14.495061148262092</c:v>
                </c:pt>
                <c:pt idx="137">
                  <c:v>-14.817141394456421</c:v>
                </c:pt>
                <c:pt idx="138">
                  <c:v>-15.145674177947972</c:v>
                </c:pt>
                <c:pt idx="139">
                  <c:v>-15.480741891633148</c:v>
                </c:pt>
                <c:pt idx="140">
                  <c:v>-15.822424786975331</c:v>
                </c:pt>
                <c:pt idx="141">
                  <c:v>-16.17080071834669</c:v>
                </c:pt>
                <c:pt idx="142">
                  <c:v>-16.525944875093682</c:v>
                </c:pt>
                <c:pt idx="143">
                  <c:v>-16.887929501331783</c:v>
                </c:pt>
                <c:pt idx="144">
                  <c:v>-17.256823603540472</c:v>
                </c:pt>
                <c:pt idx="145">
                  <c:v>-17.632692646112329</c:v>
                </c:pt>
                <c:pt idx="146">
                  <c:v>-18.015598235094981</c:v>
                </c:pt>
                <c:pt idx="147">
                  <c:v>-18.405597790464228</c:v>
                </c:pt>
                <c:pt idx="148">
                  <c:v>-18.802744207367507</c:v>
                </c:pt>
                <c:pt idx="149">
                  <c:v>-19.207085506893321</c:v>
                </c:pt>
                <c:pt idx="150">
                  <c:v>-19.618664477042582</c:v>
                </c:pt>
                <c:pt idx="151">
                  <c:v>-20.037518304708062</c:v>
                </c:pt>
                <c:pt idx="152">
                  <c:v>-20.463678199606829</c:v>
                </c:pt>
                <c:pt idx="153">
                  <c:v>-20.897169011256878</c:v>
                </c:pt>
                <c:pt idx="154">
                  <c:v>-21.338008840238381</c:v>
                </c:pt>
                <c:pt idx="155">
                  <c:v>-21.786208645142835</c:v>
                </c:pt>
                <c:pt idx="156">
                  <c:v>-22.241771846771798</c:v>
                </c:pt>
                <c:pt idx="157">
                  <c:v>-22.704693931315994</c:v>
                </c:pt>
                <c:pt idx="158">
                  <c:v>-23.174962054412113</c:v>
                </c:pt>
                <c:pt idx="159">
                  <c:v>-23.652554648142441</c:v>
                </c:pt>
                <c:pt idx="160">
                  <c:v>-24.137441033209207</c:v>
                </c:pt>
                <c:pt idx="161">
                  <c:v>-24.629581038674573</c:v>
                </c:pt>
                <c:pt idx="162">
                  <c:v>-25.12892463181382</c:v>
                </c:pt>
                <c:pt idx="163">
                  <c:v>-25.63541156077121</c:v>
                </c:pt>
                <c:pt idx="164">
                  <c:v>-26.148971012841649</c:v>
                </c:pt>
                <c:pt idx="165">
                  <c:v>-26.669521291313735</c:v>
                </c:pt>
                <c:pt idx="166">
                  <c:v>-27.196969513909732</c:v>
                </c:pt>
                <c:pt idx="167">
                  <c:v>-27.731211335929768</c:v>
                </c:pt>
                <c:pt idx="168">
                  <c:v>-28.272130701254671</c:v>
                </c:pt>
                <c:pt idx="169">
                  <c:v>-28.819599624383507</c:v>
                </c:pt>
                <c:pt idx="170">
                  <c:v>-29.373478006666982</c:v>
                </c:pt>
                <c:pt idx="171">
                  <c:v>-29.933613489847723</c:v>
                </c:pt>
                <c:pt idx="172">
                  <c:v>-30.499841349936329</c:v>
                </c:pt>
                <c:pt idx="173">
                  <c:v>-31.071984434322275</c:v>
                </c:pt>
                <c:pt idx="174">
                  <c:v>-31.6498531448512</c:v>
                </c:pt>
                <c:pt idx="175">
                  <c:v>-32.233245469391683</c:v>
                </c:pt>
                <c:pt idx="176">
                  <c:v>-32.821947064156411</c:v>
                </c:pt>
                <c:pt idx="177">
                  <c:v>-33.415731388749208</c:v>
                </c:pt>
                <c:pt idx="178">
                  <c:v>-34.01435989556547</c:v>
                </c:pt>
                <c:pt idx="179">
                  <c:v>-34.617582274798011</c:v>
                </c:pt>
                <c:pt idx="180">
                  <c:v>-35.225136755880129</c:v>
                </c:pt>
                <c:pt idx="181">
                  <c:v>-35.836750465747151</c:v>
                </c:pt>
                <c:pt idx="182">
                  <c:v>-36.452139843820063</c:v>
                </c:pt>
                <c:pt idx="183">
                  <c:v>-37.071011113108938</c:v>
                </c:pt>
                <c:pt idx="184">
                  <c:v>-37.693060806313433</c:v>
                </c:pt>
                <c:pt idx="185">
                  <c:v>-38.317976345268711</c:v>
                </c:pt>
                <c:pt idx="186">
                  <c:v>-38.945436671549928</c:v>
                </c:pt>
                <c:pt idx="187">
                  <c:v>-39.575112925519562</c:v>
                </c:pt>
                <c:pt idx="188">
                  <c:v>-40.206669170588867</c:v>
                </c:pt>
                <c:pt idx="189">
                  <c:v>-40.839763158972026</c:v>
                </c:pt>
                <c:pt idx="190">
                  <c:v>-41.474047134749163</c:v>
                </c:pt>
                <c:pt idx="191">
                  <c:v>-42.109168669629113</c:v>
                </c:pt>
                <c:pt idx="192">
                  <c:v>-42.744771526431038</c:v>
                </c:pt>
                <c:pt idx="193">
                  <c:v>-43.380496544971905</c:v>
                </c:pt>
                <c:pt idx="194">
                  <c:v>-44.015982544788855</c:v>
                </c:pt>
                <c:pt idx="195">
                  <c:v>-44.650867238916746</c:v>
                </c:pt>
                <c:pt idx="196">
                  <c:v>-45.284788152815743</c:v>
                </c:pt>
                <c:pt idx="197">
                  <c:v>-45.917383542470603</c:v>
                </c:pt>
                <c:pt idx="198">
                  <c:v>-46.54829330570373</c:v>
                </c:pt>
                <c:pt idx="199">
                  <c:v>-47.177159880809157</c:v>
                </c:pt>
                <c:pt idx="200">
                  <c:v>-47.80362912677802</c:v>
                </c:pt>
                <c:pt idx="201">
                  <c:v>-48.42735117959419</c:v>
                </c:pt>
                <c:pt idx="202">
                  <c:v>-49.047981279360741</c:v>
                </c:pt>
                <c:pt idx="203">
                  <c:v>-49.665180563354262</c:v>
                </c:pt>
                <c:pt idx="204">
                  <c:v>-50.278616820495806</c:v>
                </c:pt>
                <c:pt idx="205">
                  <c:v>-50.887965203153534</c:v>
                </c:pt>
                <c:pt idx="206">
                  <c:v>-51.492908892672112</c:v>
                </c:pt>
                <c:pt idx="207">
                  <c:v>-52.093139715511228</c:v>
                </c:pt>
                <c:pt idx="208">
                  <c:v>-52.688358707399779</c:v>
                </c:pt>
                <c:pt idx="209">
                  <c:v>-53.278276623445699</c:v>
                </c:pt>
                <c:pt idx="210">
                  <c:v>-53.862614392666259</c:v>
                </c:pt>
                <c:pt idx="211">
                  <c:v>-54.441103515942878</c:v>
                </c:pt>
                <c:pt idx="212">
                  <c:v>-55.013486406911611</c:v>
                </c:pt>
                <c:pt idx="213">
                  <c:v>-55.579516675810467</c:v>
                </c:pt>
                <c:pt idx="214">
                  <c:v>-56.138959356768339</c:v>
                </c:pt>
                <c:pt idx="215">
                  <c:v>-56.691591079469426</c:v>
                </c:pt>
                <c:pt idx="216">
                  <c:v>-57.237200186536761</c:v>
                </c:pt>
                <c:pt idx="217">
                  <c:v>-57.775586798343099</c:v>
                </c:pt>
                <c:pt idx="218">
                  <c:v>-58.306562827298194</c:v>
                </c:pt>
                <c:pt idx="219">
                  <c:v>-58.829951943937857</c:v>
                </c:pt>
                <c:pt idx="220">
                  <c:v>-59.345589497393725</c:v>
                </c:pt>
                <c:pt idx="221">
                  <c:v>-59.853322393018431</c:v>
                </c:pt>
                <c:pt idx="222">
                  <c:v>-60.353008930103648</c:v>
                </c:pt>
                <c:pt idx="223">
                  <c:v>-60.844518602741786</c:v>
                </c:pt>
                <c:pt idx="224">
                  <c:v>-61.327731866962019</c:v>
                </c:pt>
                <c:pt idx="225">
                  <c:v>-61.80253987731259</c:v>
                </c:pt>
                <c:pt idx="226">
                  <c:v>-62.268844196064855</c:v>
                </c:pt>
                <c:pt idx="227">
                  <c:v>-62.726556478191561</c:v>
                </c:pt>
                <c:pt idx="228">
                  <c:v>-63.175598135214742</c:v>
                </c:pt>
                <c:pt idx="229">
                  <c:v>-63.615899980948321</c:v>
                </c:pt>
                <c:pt idx="230">
                  <c:v>-64.047401862044651</c:v>
                </c:pt>
                <c:pt idx="231">
                  <c:v>-64.470052276153282</c:v>
                </c:pt>
                <c:pt idx="232">
                  <c:v>-64.883807980350966</c:v>
                </c:pt>
                <c:pt idx="233">
                  <c:v>-65.288633592369024</c:v>
                </c:pt>
                <c:pt idx="234">
                  <c:v>-65.68450118697595</c:v>
                </c:pt>
                <c:pt idx="235">
                  <c:v>-66.071389889722923</c:v>
                </c:pt>
                <c:pt idx="236">
                  <c:v>-66.449285470088583</c:v>
                </c:pt>
                <c:pt idx="237">
                  <c:v>-66.818179935893141</c:v>
                </c:pt>
                <c:pt idx="238">
                  <c:v>-67.178071130685851</c:v>
                </c:pt>
                <c:pt idx="239">
                  <c:v>-67.528962335647279</c:v>
                </c:pt>
                <c:pt idx="240">
                  <c:v>-67.870861877382609</c:v>
                </c:pt>
                <c:pt idx="241">
                  <c:v>-68.203782742832885</c:v>
                </c:pt>
                <c:pt idx="242">
                  <c:v>-68.527742202375194</c:v>
                </c:pt>
                <c:pt idx="243">
                  <c:v>-68.842761442045983</c:v>
                </c:pt>
                <c:pt idx="244">
                  <c:v>-69.148865205682768</c:v>
                </c:pt>
                <c:pt idx="245">
                  <c:v>-69.446081447656582</c:v>
                </c:pt>
                <c:pt idx="246">
                  <c:v>-69.734440996745178</c:v>
                </c:pt>
                <c:pt idx="247">
                  <c:v>-70.013977231593444</c:v>
                </c:pt>
                <c:pt idx="248">
                  <c:v>-70.284725768099705</c:v>
                </c:pt>
                <c:pt idx="249">
                  <c:v>-70.54672415898213</c:v>
                </c:pt>
                <c:pt idx="250">
                  <c:v>-70.80001160569131</c:v>
                </c:pt>
                <c:pt idx="251">
                  <c:v>-71.044628682761299</c:v>
                </c:pt>
                <c:pt idx="252">
                  <c:v>-71.280617074626306</c:v>
                </c:pt>
                <c:pt idx="253">
                  <c:v>-71.50801932486948</c:v>
                </c:pt>
                <c:pt idx="254">
                  <c:v>-71.726878597818853</c:v>
                </c:pt>
                <c:pt idx="255">
                  <c:v>-71.937238452363474</c:v>
                </c:pt>
                <c:pt idx="256">
                  <c:v>-72.139142627818586</c:v>
                </c:pt>
                <c:pt idx="257">
                  <c:v>-72.332634841647319</c:v>
                </c:pt>
                <c:pt idx="258">
                  <c:v>-72.517758598808896</c:v>
                </c:pt>
                <c:pt idx="259">
                  <c:v>-72.694557012490847</c:v>
                </c:pt>
                <c:pt idx="260">
                  <c:v>-72.863072635964954</c:v>
                </c:pt>
                <c:pt idx="261">
                  <c:v>-73.023347305292944</c:v>
                </c:pt>
                <c:pt idx="262">
                  <c:v>-73.175421992604853</c:v>
                </c:pt>
                <c:pt idx="263">
                  <c:v>-73.319336669667067</c:v>
                </c:pt>
                <c:pt idx="264">
                  <c:v>-73.45513018145877</c:v>
                </c:pt>
                <c:pt idx="265">
                  <c:v>-73.582840129476807</c:v>
                </c:pt>
                <c:pt idx="266">
                  <c:v>-73.702502764497993</c:v>
                </c:pt>
                <c:pt idx="267">
                  <c:v>-73.814152888533599</c:v>
                </c:pt>
                <c:pt idx="268">
                  <c:v>-73.917823765723512</c:v>
                </c:pt>
                <c:pt idx="269">
                  <c:v>-74.013547041927993</c:v>
                </c:pt>
                <c:pt idx="270">
                  <c:v>-74.101352672793013</c:v>
                </c:pt>
                <c:pt idx="271">
                  <c:v>-74.181268860076685</c:v>
                </c:pt>
                <c:pt idx="272">
                  <c:v>-74.253321996044747</c:v>
                </c:pt>
                <c:pt idx="273">
                  <c:v>-74.317536615760773</c:v>
                </c:pt>
                <c:pt idx="274">
                  <c:v>-74.37393535711432</c:v>
                </c:pt>
                <c:pt idx="275">
                  <c:v>-74.422538928454586</c:v>
                </c:pt>
                <c:pt idx="276">
                  <c:v>-74.463366083711861</c:v>
                </c:pt>
                <c:pt idx="277">
                  <c:v>-74.496433604917542</c:v>
                </c:pt>
                <c:pt idx="278">
                  <c:v>-74.521756292049304</c:v>
                </c:pt>
                <c:pt idx="279">
                  <c:v>-74.539346960154205</c:v>
                </c:pt>
                <c:pt idx="280">
                  <c:v>-74.549216443723495</c:v>
                </c:pt>
                <c:pt idx="281">
                  <c:v>-74.551373608314535</c:v>
                </c:pt>
                <c:pt idx="282">
                  <c:v>-74.545825369440777</c:v>
                </c:pt>
                <c:pt idx="283">
                  <c:v>-74.532576718769533</c:v>
                </c:pt>
                <c:pt idx="284">
                  <c:v>-74.511630757693268</c:v>
                </c:pt>
                <c:pt idx="285">
                  <c:v>-74.482988738358628</c:v>
                </c:pt>
                <c:pt idx="286">
                  <c:v>-74.446650112263029</c:v>
                </c:pt>
                <c:pt idx="287">
                  <c:v>-74.402612586546226</c:v>
                </c:pt>
                <c:pt idx="288">
                  <c:v>-74.350872188127923</c:v>
                </c:pt>
                <c:pt idx="289">
                  <c:v>-74.29142333585834</c:v>
                </c:pt>
                <c:pt idx="290">
                  <c:v>-74.224258920873481</c:v>
                </c:pt>
                <c:pt idx="291">
                  <c:v>-74.149370395358403</c:v>
                </c:pt>
                <c:pt idx="292">
                  <c:v>-74.066747869942958</c:v>
                </c:pt>
                <c:pt idx="293">
                  <c:v>-73.976380219966927</c:v>
                </c:pt>
                <c:pt idx="294">
                  <c:v>-73.878255200867514</c:v>
                </c:pt>
                <c:pt idx="295">
                  <c:v>-73.772359572951316</c:v>
                </c:pt>
                <c:pt idx="296">
                  <c:v>-73.658679235824948</c:v>
                </c:pt>
                <c:pt idx="297">
                  <c:v>-73.537199372763993</c:v>
                </c:pt>
                <c:pt idx="298">
                  <c:v>-73.407904605306541</c:v>
                </c:pt>
                <c:pt idx="299">
                  <c:v>-73.270779158357058</c:v>
                </c:pt>
                <c:pt idx="300">
                  <c:v>-73.125807036086854</c:v>
                </c:pt>
                <c:pt idx="301">
                  <c:v>-72.972972208913305</c:v>
                </c:pt>
                <c:pt idx="302">
                  <c:v>-72.812258811826894</c:v>
                </c:pt>
                <c:pt idx="303">
                  <c:v>-72.643651354325598</c:v>
                </c:pt>
                <c:pt idx="304">
                  <c:v>-72.467134942199152</c:v>
                </c:pt>
                <c:pt idx="305">
                  <c:v>-72.282695511376588</c:v>
                </c:pt>
                <c:pt idx="306">
                  <c:v>-72.090320074029705</c:v>
                </c:pt>
                <c:pt idx="307">
                  <c:v>-71.889996977083968</c:v>
                </c:pt>
                <c:pt idx="308">
                  <c:v>-71.681716173250592</c:v>
                </c:pt>
                <c:pt idx="309">
                  <c:v>-71.465469504645597</c:v>
                </c:pt>
                <c:pt idx="310">
                  <c:v>-71.241250999004791</c:v>
                </c:pt>
                <c:pt idx="311">
                  <c:v>-71.009057178443911</c:v>
                </c:pt>
                <c:pt idx="312">
                  <c:v>-70.768887380637409</c:v>
                </c:pt>
                <c:pt idx="313">
                  <c:v>-70.520744092218195</c:v>
                </c:pt>
                <c:pt idx="314">
                  <c:v>-70.264633294104527</c:v>
                </c:pt>
                <c:pt idx="315">
                  <c:v>-70.00056481837089</c:v>
                </c:pt>
                <c:pt idx="316">
                  <c:v>-69.72855271617226</c:v>
                </c:pt>
                <c:pt idx="317">
                  <c:v>-69.44861563611579</c:v>
                </c:pt>
                <c:pt idx="318">
                  <c:v>-69.160777212354375</c:v>
                </c:pt>
                <c:pt idx="319">
                  <c:v>-68.86506646154605</c:v>
                </c:pt>
                <c:pt idx="320">
                  <c:v>-68.561518187678956</c:v>
                </c:pt>
                <c:pt idx="321">
                  <c:v>-68.250173393624507</c:v>
                </c:pt>
                <c:pt idx="322">
                  <c:v>-67.93107969811895</c:v>
                </c:pt>
                <c:pt idx="323">
                  <c:v>-67.604291756722134</c:v>
                </c:pt>
                <c:pt idx="324">
                  <c:v>-67.269871685133594</c:v>
                </c:pt>
                <c:pt idx="325">
                  <c:v>-66.927889483085039</c:v>
                </c:pt>
                <c:pt idx="326">
                  <c:v>-66.578423456856513</c:v>
                </c:pt>
                <c:pt idx="327">
                  <c:v>-66.221560638295756</c:v>
                </c:pt>
                <c:pt idx="328">
                  <c:v>-65.857397198059118</c:v>
                </c:pt>
                <c:pt idx="329">
                  <c:v>-65.486038850629654</c:v>
                </c:pt>
                <c:pt idx="330">
                  <c:v>-65.107601248514442</c:v>
                </c:pt>
                <c:pt idx="331">
                  <c:v>-64.722210362884397</c:v>
                </c:pt>
                <c:pt idx="332">
                  <c:v>-64.330002847788805</c:v>
                </c:pt>
                <c:pt idx="333">
                  <c:v>-63.931126384962909</c:v>
                </c:pt>
                <c:pt idx="334">
                  <c:v>-63.525740006158529</c:v>
                </c:pt>
                <c:pt idx="335">
                  <c:v>-63.114014389855996</c:v>
                </c:pt>
                <c:pt idx="336">
                  <c:v>-62.696132129168703</c:v>
                </c:pt>
                <c:pt idx="337">
                  <c:v>-62.272287967747431</c:v>
                </c:pt>
                <c:pt idx="338">
                  <c:v>-61.842689000500386</c:v>
                </c:pt>
                <c:pt idx="339">
                  <c:v>-61.40755483600725</c:v>
                </c:pt>
                <c:pt idx="340">
                  <c:v>-60.967117717596082</c:v>
                </c:pt>
                <c:pt idx="341">
                  <c:v>-60.521622600183306</c:v>
                </c:pt>
                <c:pt idx="342">
                  <c:v>-60.07132718015562</c:v>
                </c:pt>
                <c:pt idx="343">
                  <c:v>-59.616501875790092</c:v>
                </c:pt>
                <c:pt idx="344">
                  <c:v>-59.157429755965872</c:v>
                </c:pt>
                <c:pt idx="345">
                  <c:v>-58.694406415229359</c:v>
                </c:pt>
                <c:pt idx="346">
                  <c:v>-58.22773979362276</c:v>
                </c:pt>
                <c:pt idx="347">
                  <c:v>-57.757749940060819</c:v>
                </c:pt>
                <c:pt idx="348">
                  <c:v>-57.284768718474005</c:v>
                </c:pt>
                <c:pt idx="349">
                  <c:v>-56.809139456380827</c:v>
                </c:pt>
                <c:pt idx="350">
                  <c:v>-56.331216536041275</c:v>
                </c:pt>
                <c:pt idx="351">
                  <c:v>-55.851364928838187</c:v>
                </c:pt>
                <c:pt idx="352">
                  <c:v>-55.369959674061427</c:v>
                </c:pt>
                <c:pt idx="353">
                  <c:v>-54.88738530379041</c:v>
                </c:pt>
                <c:pt idx="354">
                  <c:v>-54.404035216099494</c:v>
                </c:pt>
                <c:pt idx="355">
                  <c:v>-53.920310999336877</c:v>
                </c:pt>
                <c:pt idx="356">
                  <c:v>-53.436621710719699</c:v>
                </c:pt>
                <c:pt idx="357">
                  <c:v>-52.953383112985705</c:v>
                </c:pt>
                <c:pt idx="358">
                  <c:v>-52.471016873271743</c:v>
                </c:pt>
                <c:pt idx="359">
                  <c:v>-51.989949728808782</c:v>
                </c:pt>
                <c:pt idx="360">
                  <c:v>-51.510612624376165</c:v>
                </c:pt>
                <c:pt idx="361">
                  <c:v>-51.033439826767122</c:v>
                </c:pt>
                <c:pt idx="362">
                  <c:v>-50.558868021752446</c:v>
                </c:pt>
                <c:pt idx="363">
                  <c:v>-50.087335399217395</c:v>
                </c:pt>
                <c:pt idx="364">
                  <c:v>-49.619280732252399</c:v>
                </c:pt>
                <c:pt idx="365">
                  <c:v>-49.155142456017423</c:v>
                </c:pt>
                <c:pt idx="366">
                  <c:v>-48.695357752158131</c:v>
                </c:pt>
                <c:pt idx="367">
                  <c:v>-48.240361644469765</c:v>
                </c:pt>
                <c:pt idx="368">
                  <c:v>-47.790586111299994</c:v>
                </c:pt>
                <c:pt idx="369">
                  <c:v>-47.346459219962149</c:v>
                </c:pt>
                <c:pt idx="370">
                  <c:v>-46.908404288124053</c:v>
                </c:pt>
                <c:pt idx="371">
                  <c:v>-46.476839076767071</c:v>
                </c:pt>
                <c:pt idx="372">
                  <c:v>-46.05217501891044</c:v>
                </c:pt>
                <c:pt idx="373">
                  <c:v>-45.634816487840936</c:v>
                </c:pt>
                <c:pt idx="374">
                  <c:v>-45.225160108094265</c:v>
                </c:pt>
                <c:pt idx="375">
                  <c:v>-44.823594111927314</c:v>
                </c:pt>
                <c:pt idx="376">
                  <c:v>-44.430497743482178</c:v>
                </c:pt>
                <c:pt idx="377">
                  <c:v>-44.046240712297148</c:v>
                </c:pt>
                <c:pt idx="378">
                  <c:v>-43.671182697288572</c:v>
                </c:pt>
                <c:pt idx="379">
                  <c:v>-43.305672901765583</c:v>
                </c:pt>
                <c:pt idx="380">
                  <c:v>-42.950049659544632</c:v>
                </c:pt>
                <c:pt idx="381">
                  <c:v>-42.604640091698471</c:v>
                </c:pt>
                <c:pt idx="382">
                  <c:v>-42.269759813018332</c:v>
                </c:pt>
                <c:pt idx="383">
                  <c:v>-41.945712686811746</c:v>
                </c:pt>
                <c:pt idx="384">
                  <c:v>-41.632790626252742</c:v>
                </c:pt>
                <c:pt idx="385">
                  <c:v>-41.331273440135853</c:v>
                </c:pt>
                <c:pt idx="386">
                  <c:v>-41.041428720548211</c:v>
                </c:pt>
                <c:pt idx="387">
                  <c:v>-40.763511769711123</c:v>
                </c:pt>
                <c:pt idx="388">
                  <c:v>-40.497765562982416</c:v>
                </c:pt>
                <c:pt idx="389">
                  <c:v>-40.244420744839807</c:v>
                </c:pt>
                <c:pt idx="390">
                  <c:v>-40.003695654504959</c:v>
                </c:pt>
                <c:pt idx="391">
                  <c:v>-39.775796377775094</c:v>
                </c:pt>
                <c:pt idx="392">
                  <c:v>-39.560916821562699</c:v>
                </c:pt>
                <c:pt idx="393">
                  <c:v>-39.359238807618063</c:v>
                </c:pt>
                <c:pt idx="394">
                  <c:v>-39.170932181947428</c:v>
                </c:pt>
                <c:pt idx="395">
                  <c:v>-38.996154936461899</c:v>
                </c:pt>
                <c:pt idx="396">
                  <c:v>-38.83505333950324</c:v>
                </c:pt>
                <c:pt idx="397">
                  <c:v>-38.687762071987464</c:v>
                </c:pt>
                <c:pt idx="398">
                  <c:v>-38.554404366063608</c:v>
                </c:pt>
                <c:pt idx="399">
                  <c:v>-38.435092143332866</c:v>
                </c:pt>
                <c:pt idx="400">
                  <c:v>-38.32992614986847</c:v>
                </c:pt>
                <c:pt idx="401">
                  <c:v>-38.23899608548107</c:v>
                </c:pt>
                <c:pt idx="402">
                  <c:v>-38.1623807248818</c:v>
                </c:pt>
                <c:pt idx="403">
                  <c:v>-38.100148028639069</c:v>
                </c:pt>
                <c:pt idx="404">
                  <c:v>-38.052355242061935</c:v>
                </c:pt>
                <c:pt idx="405">
                  <c:v>-38.019048980398914</c:v>
                </c:pt>
                <c:pt idx="406">
                  <c:v>-38.000265298997462</c:v>
                </c:pt>
                <c:pt idx="407">
                  <c:v>-37.996029747339932</c:v>
                </c:pt>
                <c:pt idx="408">
                  <c:v>-38.006357406142932</c:v>
                </c:pt>
                <c:pt idx="409">
                  <c:v>-38.031252906975368</c:v>
                </c:pt>
                <c:pt idx="410">
                  <c:v>-38.070710434138192</c:v>
                </c:pt>
                <c:pt idx="411">
                  <c:v>-38.124713708812919</c:v>
                </c:pt>
                <c:pt idx="412">
                  <c:v>-38.193235955776643</c:v>
                </c:pt>
                <c:pt idx="413">
                  <c:v>-38.276239853249777</c:v>
                </c:pt>
                <c:pt idx="414">
                  <c:v>-38.373677466718888</c:v>
                </c:pt>
                <c:pt idx="415">
                  <c:v>-38.485490167846763</c:v>
                </c:pt>
                <c:pt idx="416">
                  <c:v>-38.611608539854693</c:v>
                </c:pt>
                <c:pt idx="417">
                  <c:v>-38.751952271007958</c:v>
                </c:pt>
                <c:pt idx="418">
                  <c:v>-38.906430038103586</c:v>
                </c:pt>
                <c:pt idx="419">
                  <c:v>-39.074939382087784</c:v>
                </c:pt>
                <c:pt idx="420">
                  <c:v>-39.257366578171862</c:v>
                </c:pt>
                <c:pt idx="421">
                  <c:v>-39.453586503025548</c:v>
                </c:pt>
                <c:pt idx="422">
                  <c:v>-39.663462501832043</c:v>
                </c:pt>
                <c:pt idx="423">
                  <c:v>-39.886846258170877</c:v>
                </c:pt>
                <c:pt idx="424">
                  <c:v>-40.12357766985501</c:v>
                </c:pt>
                <c:pt idx="425">
                  <c:v>-40.373484733991219</c:v>
                </c:pt>
                <c:pt idx="426">
                  <c:v>-40.636383444635648</c:v>
                </c:pt>
                <c:pt idx="427">
                  <c:v>-40.91207770650778</c:v>
                </c:pt>
                <c:pt idx="428">
                  <c:v>-41.200359268266475</c:v>
                </c:pt>
                <c:pt idx="429">
                  <c:v>-41.501007678874977</c:v>
                </c:pt>
                <c:pt idx="430">
                  <c:v>-41.813790270543699</c:v>
                </c:pt>
                <c:pt idx="431">
                  <c:v>-42.138462171692169</c:v>
                </c:pt>
                <c:pt idx="432">
                  <c:v>-42.474766353250089</c:v>
                </c:pt>
                <c:pt idx="433">
                  <c:v>-42.822433711478077</c:v>
                </c:pt>
                <c:pt idx="434">
                  <c:v>-43.181183190279953</c:v>
                </c:pt>
                <c:pt idx="435">
                  <c:v>-43.550721945756635</c:v>
                </c:pt>
                <c:pt idx="436">
                  <c:v>-43.930745555443892</c:v>
                </c:pt>
                <c:pt idx="437">
                  <c:v>-44.320938274363172</c:v>
                </c:pt>
                <c:pt idx="438">
                  <c:v>-44.72097333963233</c:v>
                </c:pt>
                <c:pt idx="439">
                  <c:v>-45.130513324975269</c:v>
                </c:pt>
                <c:pt idx="440">
                  <c:v>-45.549210546018038</c:v>
                </c:pt>
                <c:pt idx="441">
                  <c:v>-45.976707516786327</c:v>
                </c:pt>
                <c:pt idx="442">
                  <c:v>-46.412637457299951</c:v>
                </c:pt>
                <c:pt idx="443">
                  <c:v>-46.856624851648824</c:v>
                </c:pt>
                <c:pt idx="444">
                  <c:v>-47.308286055388074</c:v>
                </c:pt>
                <c:pt idx="445">
                  <c:v>-47.767229950540553</c:v>
                </c:pt>
                <c:pt idx="446">
                  <c:v>-48.233058645967255</c:v>
                </c:pt>
                <c:pt idx="447">
                  <c:v>-48.705368220315549</c:v>
                </c:pt>
                <c:pt idx="448">
                  <c:v>-49.183749504256362</c:v>
                </c:pt>
                <c:pt idx="449">
                  <c:v>-49.667788898233766</c:v>
                </c:pt>
                <c:pt idx="450">
                  <c:v>-50.157069221491653</c:v>
                </c:pt>
                <c:pt idx="451">
                  <c:v>-50.651170587750052</c:v>
                </c:pt>
                <c:pt idx="452">
                  <c:v>-51.14967130254027</c:v>
                </c:pt>
                <c:pt idx="453">
                  <c:v>-51.652148776909343</c:v>
                </c:pt>
                <c:pt idx="454">
                  <c:v>-52.158180451976747</c:v>
                </c:pt>
                <c:pt idx="455">
                  <c:v>-52.667344728648168</c:v>
                </c:pt>
                <c:pt idx="456">
                  <c:v>-53.179221896702579</c:v>
                </c:pt>
                <c:pt idx="457">
                  <c:v>-53.693395057430799</c:v>
                </c:pt>
                <c:pt idx="458">
                  <c:v>-54.209451034064713</c:v>
                </c:pt>
                <c:pt idx="459">
                  <c:v>-54.726981264332217</c:v>
                </c:pt>
                <c:pt idx="460">
                  <c:v>-55.245582669678157</c:v>
                </c:pt>
                <c:pt idx="461">
                  <c:v>-55.76485849592521</c:v>
                </c:pt>
                <c:pt idx="462">
                  <c:v>-56.284419120465799</c:v>
                </c:pt>
                <c:pt idx="463">
                  <c:v>-56.803882821442699</c:v>
                </c:pt>
                <c:pt idx="464">
                  <c:v>-57.322876504775664</c:v>
                </c:pt>
                <c:pt idx="465">
                  <c:v>-57.841036385357697</c:v>
                </c:pt>
                <c:pt idx="466">
                  <c:v>-58.358008619211425</c:v>
                </c:pt>
                <c:pt idx="467">
                  <c:v>-58.873449883917317</c:v>
                </c:pt>
                <c:pt idx="468">
                  <c:v>-59.387027905134921</c:v>
                </c:pt>
                <c:pt idx="469">
                  <c:v>-59.898421927572478</c:v>
                </c:pt>
                <c:pt idx="470">
                  <c:v>-60.407323129287562</c:v>
                </c:pt>
                <c:pt idx="471">
                  <c:v>-60.913434978714704</c:v>
                </c:pt>
                <c:pt idx="472">
                  <c:v>-61.41647353432127</c:v>
                </c:pt>
                <c:pt idx="473">
                  <c:v>-61.916167687269684</c:v>
                </c:pt>
                <c:pt idx="474">
                  <c:v>-62.412259347919907</c:v>
                </c:pt>
                <c:pt idx="475">
                  <c:v>-62.904503577410964</c:v>
                </c:pt>
                <c:pt idx="476">
                  <c:v>-63.392668665965203</c:v>
                </c:pt>
                <c:pt idx="477">
                  <c:v>-63.876536159870135</c:v>
                </c:pt>
                <c:pt idx="478">
                  <c:v>-64.355900839420983</c:v>
                </c:pt>
                <c:pt idx="479">
                  <c:v>-64.830570650346814</c:v>
                </c:pt>
                <c:pt idx="480">
                  <c:v>-65.300366591461724</c:v>
                </c:pt>
                <c:pt idx="481">
                  <c:v>-65.765122561455101</c:v>
                </c:pt>
                <c:pt idx="482">
                  <c:v>-66.224685167861963</c:v>
                </c:pt>
                <c:pt idx="483">
                  <c:v>-66.678913501345079</c:v>
                </c:pt>
                <c:pt idx="484">
                  <c:v>-67.12767887847005</c:v>
                </c:pt>
                <c:pt idx="485">
                  <c:v>-67.57086455616934</c:v>
                </c:pt>
                <c:pt idx="486">
                  <c:v>-68.008365421082118</c:v>
                </c:pt>
                <c:pt idx="487">
                  <c:v>-68.440087656896068</c:v>
                </c:pt>
                <c:pt idx="488">
                  <c:v>-68.865948392761112</c:v>
                </c:pt>
                <c:pt idx="489">
                  <c:v>-69.285875335736492</c:v>
                </c:pt>
                <c:pt idx="490">
                  <c:v>-69.699806390128799</c:v>
                </c:pt>
                <c:pt idx="491">
                  <c:v>-70.107689266439067</c:v>
                </c:pt>
                <c:pt idx="492">
                  <c:v>-70.509481082497686</c:v>
                </c:pt>
                <c:pt idx="493">
                  <c:v>-70.905147959211902</c:v>
                </c:pt>
                <c:pt idx="494">
                  <c:v>-71.294664613186569</c:v>
                </c:pt>
                <c:pt idx="495">
                  <c:v>-71.678013948313819</c:v>
                </c:pt>
                <c:pt idx="496">
                  <c:v>-72.055186648263202</c:v>
                </c:pt>
                <c:pt idx="497">
                  <c:v>-72.426180771623891</c:v>
                </c:pt>
                <c:pt idx="498">
                  <c:v>-72.791001351296785</c:v>
                </c:pt>
                <c:pt idx="499">
                  <c:v>-73.149659999560967</c:v>
                </c:pt>
                <c:pt idx="500">
                  <c:v>-73.502174520080985</c:v>
                </c:pt>
                <c:pt idx="501">
                  <c:v>-73.848568527972745</c:v>
                </c:pt>
                <c:pt idx="502">
                  <c:v>-74.188871078891566</c:v>
                </c:pt>
                <c:pt idx="503">
                  <c:v>-74.523116307969573</c:v>
                </c:pt>
                <c:pt idx="504">
                  <c:v>-74.851343079302055</c:v>
                </c:pt>
                <c:pt idx="505">
                  <c:v>-75.173594646547983</c:v>
                </c:pt>
                <c:pt idx="506">
                  <c:v>-75.489918325109002</c:v>
                </c:pt>
                <c:pt idx="507">
                  <c:v>-75.800365176231907</c:v>
                </c:pt>
                <c:pt idx="508">
                  <c:v>-76.104989703291253</c:v>
                </c:pt>
                <c:pt idx="509">
                  <c:v>-76.403849560415352</c:v>
                </c:pt>
                <c:pt idx="510">
                  <c:v>-76.697005273538736</c:v>
                </c:pt>
                <c:pt idx="511">
                  <c:v>-76.984519973892901</c:v>
                </c:pt>
                <c:pt idx="512">
                  <c:v>-77.266459143880681</c:v>
                </c:pt>
                <c:pt idx="513">
                  <c:v>-77.542890375221987</c:v>
                </c:pt>
                <c:pt idx="514">
                  <c:v>-77.813883139210546</c:v>
                </c:pt>
                <c:pt idx="515">
                  <c:v>-78.079508568873266</c:v>
                </c:pt>
                <c:pt idx="516">
                  <c:v>-78.339839252790114</c:v>
                </c:pt>
                <c:pt idx="517">
                  <c:v>-78.594949040297664</c:v>
                </c:pt>
                <c:pt idx="518">
                  <c:v>-78.844912857772002</c:v>
                </c:pt>
                <c:pt idx="519">
                  <c:v>-79.089806535668927</c:v>
                </c:pt>
                <c:pt idx="520">
                  <c:v>-79.329706645975037</c:v>
                </c:pt>
                <c:pt idx="521">
                  <c:v>-79.564690349717154</c:v>
                </c:pt>
                <c:pt idx="522">
                  <c:v>-79.794835254160304</c:v>
                </c:pt>
                <c:pt idx="523">
                  <c:v>-80.020219279323939</c:v>
                </c:pt>
                <c:pt idx="524">
                  <c:v>-80.240920533437858</c:v>
                </c:pt>
                <c:pt idx="525">
                  <c:v>-80.457017196961587</c:v>
                </c:pt>
                <c:pt idx="526">
                  <c:v>-80.668587414786501</c:v>
                </c:pt>
                <c:pt idx="527">
                  <c:v>-80.875709196251307</c:v>
                </c:pt>
                <c:pt idx="528">
                  <c:v>-81.078460322597934</c:v>
                </c:pt>
                <c:pt idx="529">
                  <c:v>-81.276918261505898</c:v>
                </c:pt>
                <c:pt idx="530">
                  <c:v>-81.47116008834891</c:v>
                </c:pt>
                <c:pt idx="531">
                  <c:v>-81.661262413826847</c:v>
                </c:pt>
                <c:pt idx="532">
                  <c:v>-81.847301317634063</c:v>
                </c:pt>
                <c:pt idx="533">
                  <c:v>-82.029352287837298</c:v>
                </c:pt>
                <c:pt idx="534">
                  <c:v>-82.207490165643392</c:v>
                </c:pt>
                <c:pt idx="535">
                  <c:v>-82.381789095253183</c:v>
                </c:pt>
                <c:pt idx="536">
                  <c:v>-82.552322478502447</c:v>
                </c:pt>
                <c:pt idx="537">
                  <c:v>-82.719162934010143</c:v>
                </c:pt>
                <c:pt idx="538">
                  <c:v>-82.882382260557492</c:v>
                </c:pt>
                <c:pt idx="539">
                  <c:v>-83.042051404439192</c:v>
                </c:pt>
                <c:pt idx="540">
                  <c:v>-83.198240430537041</c:v>
                </c:pt>
                <c:pt idx="541">
                  <c:v>-83.351018496876947</c:v>
                </c:pt>
              </c:numCache>
            </c:numRef>
          </c:yVal>
          <c:smooth val="1"/>
          <c:extLst>
            <c:ext xmlns:c16="http://schemas.microsoft.com/office/drawing/2014/chart" uri="{C3380CC4-5D6E-409C-BE32-E72D297353CC}">
              <c16:uniqueId val="{00000001-F7C0-4EEE-87E3-EE720F12A204}"/>
            </c:ext>
          </c:extLst>
        </c:ser>
        <c:dLbls>
          <c:showLegendKey val="0"/>
          <c:showVal val="0"/>
          <c:showCatName val="0"/>
          <c:showSerName val="0"/>
          <c:showPercent val="0"/>
          <c:showBubbleSize val="0"/>
        </c:dLbls>
        <c:axId val="555313792"/>
        <c:axId val="555312256"/>
      </c:scatterChart>
      <c:valAx>
        <c:axId val="555304064"/>
        <c:scaling>
          <c:logBase val="10"/>
          <c:orientation val="minMax"/>
          <c:max val="2200000"/>
          <c:min val="10"/>
        </c:scaling>
        <c:delete val="0"/>
        <c:axPos val="b"/>
        <c:minorGridlines/>
        <c:title>
          <c:tx>
            <c:rich>
              <a:bodyPr/>
              <a:lstStyle/>
              <a:p>
                <a:pPr>
                  <a:defRPr/>
                </a:pPr>
                <a:r>
                  <a:rPr lang="en-US"/>
                  <a:t>Frequency</a:t>
                </a:r>
                <a:r>
                  <a:rPr lang="en-US" baseline="0"/>
                  <a:t> (Hz)</a:t>
                </a:r>
                <a:endParaRPr lang="en-US"/>
              </a:p>
            </c:rich>
          </c:tx>
          <c:overlay val="0"/>
        </c:title>
        <c:numFmt formatCode="0" sourceLinked="0"/>
        <c:majorTickMark val="out"/>
        <c:minorTickMark val="none"/>
        <c:tickLblPos val="low"/>
        <c:crossAx val="555305984"/>
        <c:crosses val="autoZero"/>
        <c:crossBetween val="midCat"/>
      </c:valAx>
      <c:valAx>
        <c:axId val="555305984"/>
        <c:scaling>
          <c:orientation val="minMax"/>
          <c:max val="40"/>
          <c:min val="-40"/>
        </c:scaling>
        <c:delete val="0"/>
        <c:axPos val="l"/>
        <c:majorGridlines/>
        <c:minorGridlines/>
        <c:title>
          <c:tx>
            <c:rich>
              <a:bodyPr rot="-5400000" vert="horz"/>
              <a:lstStyle/>
              <a:p>
                <a:pPr>
                  <a:defRPr/>
                </a:pPr>
                <a:r>
                  <a:rPr lang="en-US"/>
                  <a:t>Gain</a:t>
                </a:r>
                <a:r>
                  <a:rPr lang="en-US" baseline="0"/>
                  <a:t> (dB)</a:t>
                </a:r>
                <a:endParaRPr lang="en-US"/>
              </a:p>
            </c:rich>
          </c:tx>
          <c:overlay val="0"/>
        </c:title>
        <c:numFmt formatCode="General" sourceLinked="0"/>
        <c:majorTickMark val="out"/>
        <c:minorTickMark val="none"/>
        <c:tickLblPos val="nextTo"/>
        <c:crossAx val="555304064"/>
        <c:crosses val="autoZero"/>
        <c:crossBetween val="midCat"/>
        <c:majorUnit val="20"/>
        <c:minorUnit val="10"/>
      </c:valAx>
      <c:valAx>
        <c:axId val="555312256"/>
        <c:scaling>
          <c:orientation val="minMax"/>
          <c:max val="180"/>
          <c:min val="-180"/>
        </c:scaling>
        <c:delete val="0"/>
        <c:axPos val="r"/>
        <c:numFmt formatCode="General" sourceLinked="1"/>
        <c:majorTickMark val="out"/>
        <c:minorTickMark val="none"/>
        <c:tickLblPos val="nextTo"/>
        <c:crossAx val="555313792"/>
        <c:crosses val="max"/>
        <c:crossBetween val="midCat"/>
        <c:majorUnit val="90"/>
        <c:minorUnit val="45"/>
      </c:valAx>
      <c:valAx>
        <c:axId val="555313792"/>
        <c:scaling>
          <c:logBase val="10"/>
          <c:orientation val="minMax"/>
        </c:scaling>
        <c:delete val="1"/>
        <c:axPos val="b"/>
        <c:numFmt formatCode="0.00" sourceLinked="1"/>
        <c:majorTickMark val="out"/>
        <c:minorTickMark val="none"/>
        <c:tickLblPos val="nextTo"/>
        <c:crossAx val="555312256"/>
        <c:crosses val="autoZero"/>
        <c:crossBetween val="midCat"/>
      </c:valAx>
    </c:plotArea>
    <c:legend>
      <c:legendPos val="r"/>
      <c:layout>
        <c:manualLayout>
          <c:xMode val="edge"/>
          <c:yMode val="edge"/>
          <c:x val="0.79880558209512509"/>
          <c:y val="0.14321997959862004"/>
          <c:w val="0.13459449276057311"/>
          <c:h val="0.10691609861199437"/>
        </c:manualLayout>
      </c:layout>
      <c:overlay val="1"/>
      <c:spPr>
        <a:solidFill>
          <a:schemeClr val="bg1"/>
        </a:solidFill>
      </c:spPr>
    </c:legend>
    <c:plotVisOnly val="1"/>
    <c:dispBlanksAs val="gap"/>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baseline="0"/>
              <a:t>DCM Control Loop Transfer Function</a:t>
            </a:r>
          </a:p>
        </c:rich>
      </c:tx>
      <c:overlay val="0"/>
    </c:title>
    <c:autoTitleDeleted val="0"/>
    <c:plotArea>
      <c:layout/>
      <c:scatterChart>
        <c:scatterStyle val="smoothMarker"/>
        <c:varyColors val="0"/>
        <c:ser>
          <c:idx val="0"/>
          <c:order val="0"/>
          <c:spPr>
            <a:ln w="38100">
              <a:solidFill>
                <a:srgbClr val="FF0000"/>
              </a:solidFill>
            </a:ln>
          </c:spPr>
          <c:marker>
            <c:symbol val="none"/>
          </c:marker>
          <c:xVal>
            <c:numRef>
              <c:f>Loop_Modeling!$O$19:$O$560</c:f>
              <c:numCache>
                <c:formatCode>0.00</c:formatCode>
                <c:ptCount val="542"/>
                <c:pt idx="0">
                  <c:v>10.232929922807543</c:v>
                </c:pt>
                <c:pt idx="1">
                  <c:v>10.471285480509</c:v>
                </c:pt>
                <c:pt idx="2">
                  <c:v>10.715193052376069</c:v>
                </c:pt>
                <c:pt idx="3">
                  <c:v>10.964781961431854</c:v>
                </c:pt>
                <c:pt idx="4">
                  <c:v>11.220184543019636</c:v>
                </c:pt>
                <c:pt idx="5">
                  <c:v>11.481536214968834</c:v>
                </c:pt>
                <c:pt idx="6">
                  <c:v>11.748975549395301</c:v>
                </c:pt>
                <c:pt idx="7">
                  <c:v>12.022644346174133</c:v>
                </c:pt>
                <c:pt idx="8">
                  <c:v>12.302687708123818</c:v>
                </c:pt>
                <c:pt idx="9">
                  <c:v>12.58925411794168</c:v>
                </c:pt>
                <c:pt idx="10">
                  <c:v>12.882495516931346</c:v>
                </c:pt>
                <c:pt idx="11">
                  <c:v>13.182567385564075</c:v>
                </c:pt>
                <c:pt idx="12">
                  <c:v>13.489628825916535</c:v>
                </c:pt>
                <c:pt idx="13">
                  <c:v>13.803842646028857</c:v>
                </c:pt>
                <c:pt idx="14">
                  <c:v>14.125375446227544</c:v>
                </c:pt>
                <c:pt idx="15">
                  <c:v>14.454397707459275</c:v>
                </c:pt>
                <c:pt idx="16">
                  <c:v>14.791083881682074</c:v>
                </c:pt>
                <c:pt idx="17">
                  <c:v>15.135612484362087</c:v>
                </c:pt>
                <c:pt idx="18">
                  <c:v>15.488166189124817</c:v>
                </c:pt>
                <c:pt idx="19">
                  <c:v>15.848931924611136</c:v>
                </c:pt>
                <c:pt idx="20">
                  <c:v>16.218100973589298</c:v>
                </c:pt>
                <c:pt idx="21">
                  <c:v>16.595869074375614</c:v>
                </c:pt>
                <c:pt idx="22">
                  <c:v>16.982436524617448</c:v>
                </c:pt>
                <c:pt idx="23">
                  <c:v>17.378008287493756</c:v>
                </c:pt>
                <c:pt idx="24">
                  <c:v>17.782794100389236</c:v>
                </c:pt>
                <c:pt idx="25">
                  <c:v>18.197008586099841</c:v>
                </c:pt>
                <c:pt idx="26">
                  <c:v>18.62087136662868</c:v>
                </c:pt>
                <c:pt idx="27">
                  <c:v>19.054607179632477</c:v>
                </c:pt>
                <c:pt idx="28">
                  <c:v>19.498445997580465</c:v>
                </c:pt>
                <c:pt idx="29">
                  <c:v>19.952623149688804</c:v>
                </c:pt>
                <c:pt idx="30">
                  <c:v>20.4173794466953</c:v>
                </c:pt>
                <c:pt idx="31">
                  <c:v>20.8929613085404</c:v>
                </c:pt>
                <c:pt idx="32">
                  <c:v>21.379620895022335</c:v>
                </c:pt>
                <c:pt idx="33">
                  <c:v>21.877616239495538</c:v>
                </c:pt>
                <c:pt idx="34">
                  <c:v>22.387211385683404</c:v>
                </c:pt>
                <c:pt idx="35">
                  <c:v>22.908676527677727</c:v>
                </c:pt>
                <c:pt idx="36">
                  <c:v>23.442288153199236</c:v>
                </c:pt>
                <c:pt idx="37">
                  <c:v>23.988329190194907</c:v>
                </c:pt>
                <c:pt idx="38">
                  <c:v>24.547089156850316</c:v>
                </c:pt>
                <c:pt idx="39">
                  <c:v>25.118864315095799</c:v>
                </c:pt>
                <c:pt idx="40">
                  <c:v>25.703957827688647</c:v>
                </c:pt>
                <c:pt idx="41">
                  <c:v>26.302679918953825</c:v>
                </c:pt>
                <c:pt idx="42">
                  <c:v>26.915348039269158</c:v>
                </c:pt>
                <c:pt idx="43">
                  <c:v>27.542287033381665</c:v>
                </c:pt>
                <c:pt idx="44">
                  <c:v>28.183829312644548</c:v>
                </c:pt>
                <c:pt idx="45">
                  <c:v>28.840315031266066</c:v>
                </c:pt>
                <c:pt idx="46">
                  <c:v>29.512092266663863</c:v>
                </c:pt>
                <c:pt idx="47">
                  <c:v>30.199517204020164</c:v>
                </c:pt>
                <c:pt idx="48">
                  <c:v>30.902954325135919</c:v>
                </c:pt>
                <c:pt idx="49">
                  <c:v>31.622776601683803</c:v>
                </c:pt>
                <c:pt idx="50">
                  <c:v>32.359365692962832</c:v>
                </c:pt>
                <c:pt idx="51">
                  <c:v>33.113112148259127</c:v>
                </c:pt>
                <c:pt idx="52">
                  <c:v>33.884415613920268</c:v>
                </c:pt>
                <c:pt idx="53">
                  <c:v>34.67368504525318</c:v>
                </c:pt>
                <c:pt idx="54">
                  <c:v>35.481338923357555</c:v>
                </c:pt>
                <c:pt idx="55">
                  <c:v>36.307805477010156</c:v>
                </c:pt>
                <c:pt idx="56">
                  <c:v>37.15352290971726</c:v>
                </c:pt>
                <c:pt idx="57">
                  <c:v>38.018939632056139</c:v>
                </c:pt>
                <c:pt idx="58">
                  <c:v>38.904514499428053</c:v>
                </c:pt>
                <c:pt idx="59">
                  <c:v>39.810717055349755</c:v>
                </c:pt>
                <c:pt idx="60">
                  <c:v>40.738027780411279</c:v>
                </c:pt>
                <c:pt idx="61">
                  <c:v>41.686938347033561</c:v>
                </c:pt>
                <c:pt idx="62">
                  <c:v>42.657951880159267</c:v>
                </c:pt>
                <c:pt idx="63">
                  <c:v>43.651583224016633</c:v>
                </c:pt>
                <c:pt idx="64">
                  <c:v>44.668359215096324</c:v>
                </c:pt>
                <c:pt idx="65">
                  <c:v>45.70881896148753</c:v>
                </c:pt>
                <c:pt idx="66">
                  <c:v>46.773514128719818</c:v>
                </c:pt>
                <c:pt idx="67">
                  <c:v>47.863009232263877</c:v>
                </c:pt>
                <c:pt idx="68">
                  <c:v>48.977881936844632</c:v>
                </c:pt>
                <c:pt idx="69">
                  <c:v>50.118723362727238</c:v>
                </c:pt>
                <c:pt idx="70">
                  <c:v>51.28613839913649</c:v>
                </c:pt>
                <c:pt idx="71">
                  <c:v>52.480746024977286</c:v>
                </c:pt>
                <c:pt idx="72">
                  <c:v>53.703179637025293</c:v>
                </c:pt>
                <c:pt idx="73">
                  <c:v>54.95408738576247</c:v>
                </c:pt>
                <c:pt idx="74">
                  <c:v>56.234132519034915</c:v>
                </c:pt>
                <c:pt idx="75">
                  <c:v>57.543993733715695</c:v>
                </c:pt>
                <c:pt idx="76">
                  <c:v>58.884365535558949</c:v>
                </c:pt>
                <c:pt idx="77">
                  <c:v>60.255958607435822</c:v>
                </c:pt>
                <c:pt idx="78">
                  <c:v>61.659500186148257</c:v>
                </c:pt>
                <c:pt idx="79">
                  <c:v>63.095734448019364</c:v>
                </c:pt>
                <c:pt idx="80">
                  <c:v>64.565422903465588</c:v>
                </c:pt>
                <c:pt idx="81">
                  <c:v>66.069344800759623</c:v>
                </c:pt>
                <c:pt idx="82">
                  <c:v>67.60829753919819</c:v>
                </c:pt>
                <c:pt idx="83">
                  <c:v>69.183097091893657</c:v>
                </c:pt>
                <c:pt idx="84">
                  <c:v>70.794578438413865</c:v>
                </c:pt>
                <c:pt idx="85">
                  <c:v>72.443596007499011</c:v>
                </c:pt>
                <c:pt idx="86">
                  <c:v>74.131024130091816</c:v>
                </c:pt>
                <c:pt idx="87">
                  <c:v>75.857757502918361</c:v>
                </c:pt>
                <c:pt idx="88">
                  <c:v>77.624711662869217</c:v>
                </c:pt>
                <c:pt idx="89">
                  <c:v>79.432823472428197</c:v>
                </c:pt>
                <c:pt idx="90">
                  <c:v>81.283051616409963</c:v>
                </c:pt>
                <c:pt idx="91">
                  <c:v>83.176377110267126</c:v>
                </c:pt>
                <c:pt idx="92">
                  <c:v>85.113803820237734</c:v>
                </c:pt>
                <c:pt idx="93">
                  <c:v>87.096358995608071</c:v>
                </c:pt>
                <c:pt idx="94">
                  <c:v>89.125093813374562</c:v>
                </c:pt>
                <c:pt idx="95">
                  <c:v>91.201083935590972</c:v>
                </c:pt>
                <c:pt idx="96">
                  <c:v>93.325430079699174</c:v>
                </c:pt>
                <c:pt idx="97">
                  <c:v>95.499258602143655</c:v>
                </c:pt>
                <c:pt idx="98">
                  <c:v>97.723722095581124</c:v>
                </c:pt>
                <c:pt idx="99">
                  <c:v>100</c:v>
                </c:pt>
                <c:pt idx="100">
                  <c:v>102.32929922807544</c:v>
                </c:pt>
                <c:pt idx="101">
                  <c:v>104.71285480508998</c:v>
                </c:pt>
                <c:pt idx="102">
                  <c:v>107.15193052376065</c:v>
                </c:pt>
                <c:pt idx="103">
                  <c:v>109.64781961431861</c:v>
                </c:pt>
                <c:pt idx="104">
                  <c:v>112.20184543019634</c:v>
                </c:pt>
                <c:pt idx="105">
                  <c:v>114.81536214968835</c:v>
                </c:pt>
                <c:pt idx="106">
                  <c:v>117.48975549395293</c:v>
                </c:pt>
                <c:pt idx="107">
                  <c:v>120.22644346174135</c:v>
                </c:pt>
                <c:pt idx="108">
                  <c:v>123.02687708123821</c:v>
                </c:pt>
                <c:pt idx="109">
                  <c:v>125.89254117941677</c:v>
                </c:pt>
                <c:pt idx="110">
                  <c:v>128.82495516931343</c:v>
                </c:pt>
                <c:pt idx="111">
                  <c:v>131.82567385564084</c:v>
                </c:pt>
                <c:pt idx="112">
                  <c:v>134.89628825916537</c:v>
                </c:pt>
                <c:pt idx="113">
                  <c:v>138.0384264602886</c:v>
                </c:pt>
                <c:pt idx="114">
                  <c:v>141.25375446227542</c:v>
                </c:pt>
                <c:pt idx="115">
                  <c:v>144.54397707459285</c:v>
                </c:pt>
                <c:pt idx="116">
                  <c:v>147.91083881682084</c:v>
                </c:pt>
                <c:pt idx="117">
                  <c:v>151.3561248436209</c:v>
                </c:pt>
                <c:pt idx="118">
                  <c:v>154.8816618912482</c:v>
                </c:pt>
                <c:pt idx="119">
                  <c:v>158.48931924611153</c:v>
                </c:pt>
                <c:pt idx="120">
                  <c:v>162.18100973589304</c:v>
                </c:pt>
                <c:pt idx="121">
                  <c:v>165.95869074375622</c:v>
                </c:pt>
                <c:pt idx="122">
                  <c:v>169.82436524617444</c:v>
                </c:pt>
                <c:pt idx="123">
                  <c:v>173.78008287493768</c:v>
                </c:pt>
                <c:pt idx="124">
                  <c:v>177.82794100389242</c:v>
                </c:pt>
                <c:pt idx="125">
                  <c:v>181.9700858609983</c:v>
                </c:pt>
                <c:pt idx="126">
                  <c:v>186.20871366628685</c:v>
                </c:pt>
                <c:pt idx="127">
                  <c:v>190.54607179632498</c:v>
                </c:pt>
                <c:pt idx="128">
                  <c:v>194.98445997580458</c:v>
                </c:pt>
                <c:pt idx="129">
                  <c:v>199.52623149688802</c:v>
                </c:pt>
                <c:pt idx="130">
                  <c:v>204.17379446695315</c:v>
                </c:pt>
                <c:pt idx="131">
                  <c:v>208.92961308540396</c:v>
                </c:pt>
                <c:pt idx="132">
                  <c:v>213.79620895022339</c:v>
                </c:pt>
                <c:pt idx="133">
                  <c:v>218.77616239495524</c:v>
                </c:pt>
                <c:pt idx="134">
                  <c:v>223.87211385683412</c:v>
                </c:pt>
                <c:pt idx="135">
                  <c:v>229.08676527677744</c:v>
                </c:pt>
                <c:pt idx="136">
                  <c:v>234.42288153199232</c:v>
                </c:pt>
                <c:pt idx="137">
                  <c:v>239.88329190194912</c:v>
                </c:pt>
                <c:pt idx="138">
                  <c:v>245.4708915685033</c:v>
                </c:pt>
                <c:pt idx="139">
                  <c:v>251.18864315095806</c:v>
                </c:pt>
                <c:pt idx="140">
                  <c:v>257.03957827688663</c:v>
                </c:pt>
                <c:pt idx="141">
                  <c:v>263.02679918953817</c:v>
                </c:pt>
                <c:pt idx="142">
                  <c:v>269.15348039269179</c:v>
                </c:pt>
                <c:pt idx="143">
                  <c:v>275.42287033381683</c:v>
                </c:pt>
                <c:pt idx="144">
                  <c:v>281.83829312644554</c:v>
                </c:pt>
                <c:pt idx="145">
                  <c:v>288.40315031266073</c:v>
                </c:pt>
                <c:pt idx="146">
                  <c:v>295.12092266663871</c:v>
                </c:pt>
                <c:pt idx="147">
                  <c:v>301.99517204020168</c:v>
                </c:pt>
                <c:pt idx="148">
                  <c:v>309.02954325135937</c:v>
                </c:pt>
                <c:pt idx="149">
                  <c:v>316.22776601683825</c:v>
                </c:pt>
                <c:pt idx="150">
                  <c:v>323.59365692962825</c:v>
                </c:pt>
                <c:pt idx="151">
                  <c:v>331.13112148259137</c:v>
                </c:pt>
                <c:pt idx="152">
                  <c:v>338.84415613920277</c:v>
                </c:pt>
                <c:pt idx="153">
                  <c:v>346.73685045253183</c:v>
                </c:pt>
                <c:pt idx="154">
                  <c:v>354.81338923357566</c:v>
                </c:pt>
                <c:pt idx="155">
                  <c:v>363.07805477010152</c:v>
                </c:pt>
                <c:pt idx="156">
                  <c:v>371.53522909717265</c:v>
                </c:pt>
                <c:pt idx="157">
                  <c:v>380.18939632056163</c:v>
                </c:pt>
                <c:pt idx="158">
                  <c:v>389.04514499428063</c:v>
                </c:pt>
                <c:pt idx="159">
                  <c:v>398.10717055349761</c:v>
                </c:pt>
                <c:pt idx="160">
                  <c:v>407.38027780411272</c:v>
                </c:pt>
                <c:pt idx="161">
                  <c:v>416.86938347033572</c:v>
                </c:pt>
                <c:pt idx="162">
                  <c:v>426.57951880159294</c:v>
                </c:pt>
                <c:pt idx="163">
                  <c:v>436.51583224016622</c:v>
                </c:pt>
                <c:pt idx="164">
                  <c:v>446.68359215096331</c:v>
                </c:pt>
                <c:pt idx="165">
                  <c:v>457.0881896148756</c:v>
                </c:pt>
                <c:pt idx="166">
                  <c:v>467.7351412871983</c:v>
                </c:pt>
                <c:pt idx="167">
                  <c:v>478.63009232263886</c:v>
                </c:pt>
                <c:pt idx="168">
                  <c:v>489.77881936844625</c:v>
                </c:pt>
                <c:pt idx="169">
                  <c:v>501.18723362727269</c:v>
                </c:pt>
                <c:pt idx="170">
                  <c:v>512.86138399136519</c:v>
                </c:pt>
                <c:pt idx="171">
                  <c:v>524.80746024977248</c:v>
                </c:pt>
                <c:pt idx="172">
                  <c:v>537.03179637025301</c:v>
                </c:pt>
                <c:pt idx="173">
                  <c:v>549.54087385762534</c:v>
                </c:pt>
                <c:pt idx="174">
                  <c:v>562.34132519034927</c:v>
                </c:pt>
                <c:pt idx="175">
                  <c:v>575.43993733715706</c:v>
                </c:pt>
                <c:pt idx="176">
                  <c:v>588.84365535558959</c:v>
                </c:pt>
                <c:pt idx="177">
                  <c:v>602.55958607435832</c:v>
                </c:pt>
                <c:pt idx="178">
                  <c:v>616.59500186148273</c:v>
                </c:pt>
                <c:pt idx="179">
                  <c:v>630.95734448019323</c:v>
                </c:pt>
                <c:pt idx="180">
                  <c:v>645.65422903465594</c:v>
                </c:pt>
                <c:pt idx="181">
                  <c:v>660.69344800759643</c:v>
                </c:pt>
                <c:pt idx="182">
                  <c:v>676.08297539198213</c:v>
                </c:pt>
                <c:pt idx="183">
                  <c:v>691.83097091893671</c:v>
                </c:pt>
                <c:pt idx="184">
                  <c:v>707.94578438413873</c:v>
                </c:pt>
                <c:pt idx="185">
                  <c:v>724.43596007499025</c:v>
                </c:pt>
                <c:pt idx="186">
                  <c:v>741.31024130091828</c:v>
                </c:pt>
                <c:pt idx="187">
                  <c:v>758.57757502918378</c:v>
                </c:pt>
                <c:pt idx="188">
                  <c:v>776.24711662869231</c:v>
                </c:pt>
                <c:pt idx="189">
                  <c:v>794.32823472428208</c:v>
                </c:pt>
                <c:pt idx="190">
                  <c:v>812.83051616409978</c:v>
                </c:pt>
                <c:pt idx="191">
                  <c:v>831.7637711026714</c:v>
                </c:pt>
                <c:pt idx="192">
                  <c:v>851.13803820237763</c:v>
                </c:pt>
                <c:pt idx="193">
                  <c:v>870.96358995608091</c:v>
                </c:pt>
                <c:pt idx="194">
                  <c:v>891.25093813374656</c:v>
                </c:pt>
                <c:pt idx="195">
                  <c:v>912.01083935590987</c:v>
                </c:pt>
                <c:pt idx="196">
                  <c:v>933.25430079699106</c:v>
                </c:pt>
                <c:pt idx="197">
                  <c:v>954.99258602143675</c:v>
                </c:pt>
                <c:pt idx="198">
                  <c:v>977.23722095581138</c:v>
                </c:pt>
                <c:pt idx="199">
                  <c:v>1000</c:v>
                </c:pt>
                <c:pt idx="200">
                  <c:v>1023.2929922807547</c:v>
                </c:pt>
                <c:pt idx="201">
                  <c:v>1047.1285480509</c:v>
                </c:pt>
                <c:pt idx="202">
                  <c:v>1071.5193052376069</c:v>
                </c:pt>
                <c:pt idx="203">
                  <c:v>1096.4781961431863</c:v>
                </c:pt>
                <c:pt idx="204">
                  <c:v>1122.0184543019636</c:v>
                </c:pt>
                <c:pt idx="205">
                  <c:v>1148.1536214968839</c:v>
                </c:pt>
                <c:pt idx="206">
                  <c:v>1174.8975549395295</c:v>
                </c:pt>
                <c:pt idx="207">
                  <c:v>1202.2644346174138</c:v>
                </c:pt>
                <c:pt idx="208">
                  <c:v>1230.2687708123824</c:v>
                </c:pt>
                <c:pt idx="209">
                  <c:v>1258.925411794168</c:v>
                </c:pt>
                <c:pt idx="210">
                  <c:v>1288.2495516931347</c:v>
                </c:pt>
                <c:pt idx="211">
                  <c:v>1318.2567385564089</c:v>
                </c:pt>
                <c:pt idx="212">
                  <c:v>1348.9628825916541</c:v>
                </c:pt>
                <c:pt idx="213">
                  <c:v>1380.3842646028863</c:v>
                </c:pt>
                <c:pt idx="214">
                  <c:v>1412.5375446227545</c:v>
                </c:pt>
                <c:pt idx="215">
                  <c:v>1445.4397707459289</c:v>
                </c:pt>
                <c:pt idx="216">
                  <c:v>1479.1083881682086</c:v>
                </c:pt>
                <c:pt idx="217">
                  <c:v>1513.5612484362093</c:v>
                </c:pt>
                <c:pt idx="218">
                  <c:v>1548.8166189124822</c:v>
                </c:pt>
                <c:pt idx="219">
                  <c:v>1584.8931924611156</c:v>
                </c:pt>
                <c:pt idx="220">
                  <c:v>1621.8100973589308</c:v>
                </c:pt>
                <c:pt idx="221">
                  <c:v>1659.5869074375626</c:v>
                </c:pt>
                <c:pt idx="222">
                  <c:v>1698.2436524617447</c:v>
                </c:pt>
                <c:pt idx="223">
                  <c:v>1737.8008287493772</c:v>
                </c:pt>
                <c:pt idx="224">
                  <c:v>1778.2794100389244</c:v>
                </c:pt>
                <c:pt idx="225">
                  <c:v>1819.7008586099832</c:v>
                </c:pt>
                <c:pt idx="226">
                  <c:v>1862.0871366628687</c:v>
                </c:pt>
                <c:pt idx="227">
                  <c:v>1905.4607179632501</c:v>
                </c:pt>
                <c:pt idx="228">
                  <c:v>1949.8445997580463</c:v>
                </c:pt>
                <c:pt idx="229">
                  <c:v>1995.2623149688804</c:v>
                </c:pt>
                <c:pt idx="230">
                  <c:v>2041.7379446695318</c:v>
                </c:pt>
                <c:pt idx="231">
                  <c:v>2089.2961308540398</c:v>
                </c:pt>
                <c:pt idx="232">
                  <c:v>2137.9620895022344</c:v>
                </c:pt>
                <c:pt idx="233">
                  <c:v>2187.7616239495528</c:v>
                </c:pt>
                <c:pt idx="234">
                  <c:v>2238.7211385683418</c:v>
                </c:pt>
                <c:pt idx="235">
                  <c:v>2290.8676527677749</c:v>
                </c:pt>
                <c:pt idx="236">
                  <c:v>2344.2288153199238</c:v>
                </c:pt>
                <c:pt idx="237">
                  <c:v>2398.8329190194918</c:v>
                </c:pt>
                <c:pt idx="238">
                  <c:v>2454.7089156850338</c:v>
                </c:pt>
                <c:pt idx="239">
                  <c:v>2511.8864315095811</c:v>
                </c:pt>
                <c:pt idx="240">
                  <c:v>2570.3957827688669</c:v>
                </c:pt>
                <c:pt idx="241">
                  <c:v>2630.2679918953822</c:v>
                </c:pt>
                <c:pt idx="242">
                  <c:v>2691.5348039269184</c:v>
                </c:pt>
                <c:pt idx="243">
                  <c:v>2754.228703338169</c:v>
                </c:pt>
                <c:pt idx="244">
                  <c:v>2818.3829312644561</c:v>
                </c:pt>
                <c:pt idx="245">
                  <c:v>2884.0315031266077</c:v>
                </c:pt>
                <c:pt idx="246">
                  <c:v>2951.2092266663876</c:v>
                </c:pt>
                <c:pt idx="247">
                  <c:v>3019.9517204020176</c:v>
                </c:pt>
                <c:pt idx="248">
                  <c:v>3090.295432513592</c:v>
                </c:pt>
                <c:pt idx="249">
                  <c:v>3162.2776601683804</c:v>
                </c:pt>
                <c:pt idx="250">
                  <c:v>3235.9365692962833</c:v>
                </c:pt>
                <c:pt idx="251">
                  <c:v>3311.3112148259115</c:v>
                </c:pt>
                <c:pt idx="252">
                  <c:v>3388.4415613920314</c:v>
                </c:pt>
                <c:pt idx="253">
                  <c:v>3467.3685045253224</c:v>
                </c:pt>
                <c:pt idx="254">
                  <c:v>3548.1338923357539</c:v>
                </c:pt>
                <c:pt idx="255">
                  <c:v>3630.7805477010188</c:v>
                </c:pt>
                <c:pt idx="256">
                  <c:v>3715.352290971724</c:v>
                </c:pt>
                <c:pt idx="257">
                  <c:v>3801.8939632056172</c:v>
                </c:pt>
                <c:pt idx="258">
                  <c:v>3890.451449942811</c:v>
                </c:pt>
                <c:pt idx="259">
                  <c:v>3981.0717055349769</c:v>
                </c:pt>
                <c:pt idx="260">
                  <c:v>4073.8027780411317</c:v>
                </c:pt>
                <c:pt idx="261">
                  <c:v>4168.6938347033583</c:v>
                </c:pt>
                <c:pt idx="262">
                  <c:v>4265.7951880159299</c:v>
                </c:pt>
                <c:pt idx="263">
                  <c:v>4365.1583224016631</c:v>
                </c:pt>
                <c:pt idx="264">
                  <c:v>4466.8359215096343</c:v>
                </c:pt>
                <c:pt idx="265">
                  <c:v>4570.8818961487532</c:v>
                </c:pt>
                <c:pt idx="266">
                  <c:v>4677.3514128719844</c:v>
                </c:pt>
                <c:pt idx="267">
                  <c:v>4786.3009232263848</c:v>
                </c:pt>
                <c:pt idx="268">
                  <c:v>4897.7881936844633</c:v>
                </c:pt>
                <c:pt idx="269">
                  <c:v>5011.8723362727324</c:v>
                </c:pt>
                <c:pt idx="270">
                  <c:v>5128.6138399136489</c:v>
                </c:pt>
                <c:pt idx="271">
                  <c:v>5248.0746024977261</c:v>
                </c:pt>
                <c:pt idx="272">
                  <c:v>5370.3179637025269</c:v>
                </c:pt>
                <c:pt idx="273">
                  <c:v>5495.4087385762541</c:v>
                </c:pt>
                <c:pt idx="274">
                  <c:v>5623.4132519034993</c:v>
                </c:pt>
                <c:pt idx="275">
                  <c:v>5754.399373371567</c:v>
                </c:pt>
                <c:pt idx="276">
                  <c:v>5888.4365535558973</c:v>
                </c:pt>
                <c:pt idx="277">
                  <c:v>6025.595860743585</c:v>
                </c:pt>
                <c:pt idx="278">
                  <c:v>6165.9500186148289</c:v>
                </c:pt>
                <c:pt idx="279">
                  <c:v>6309.5734448019384</c:v>
                </c:pt>
                <c:pt idx="280">
                  <c:v>6456.5422903465615</c:v>
                </c:pt>
                <c:pt idx="281">
                  <c:v>6606.9344800759654</c:v>
                </c:pt>
                <c:pt idx="282">
                  <c:v>6760.8297539198229</c:v>
                </c:pt>
                <c:pt idx="283">
                  <c:v>6918.3097091893687</c:v>
                </c:pt>
                <c:pt idx="284">
                  <c:v>7079.4578438413828</c:v>
                </c:pt>
                <c:pt idx="285">
                  <c:v>7244.3596007499036</c:v>
                </c:pt>
                <c:pt idx="286">
                  <c:v>7413.1024130091773</c:v>
                </c:pt>
                <c:pt idx="287">
                  <c:v>7585.7757502918394</c:v>
                </c:pt>
                <c:pt idx="288">
                  <c:v>7762.4711662869322</c:v>
                </c:pt>
                <c:pt idx="289">
                  <c:v>7943.2823472428154</c:v>
                </c:pt>
                <c:pt idx="290">
                  <c:v>8128.3051616410066</c:v>
                </c:pt>
                <c:pt idx="291">
                  <c:v>8317.6377110267094</c:v>
                </c:pt>
                <c:pt idx="292">
                  <c:v>8511.3803820237772</c:v>
                </c:pt>
                <c:pt idx="293">
                  <c:v>8709.6358995608189</c:v>
                </c:pt>
                <c:pt idx="294">
                  <c:v>8912.5093813374679</c:v>
                </c:pt>
                <c:pt idx="295">
                  <c:v>9120.1083935591087</c:v>
                </c:pt>
                <c:pt idx="296">
                  <c:v>9332.5430079699217</c:v>
                </c:pt>
                <c:pt idx="297">
                  <c:v>9549.9258602143691</c:v>
                </c:pt>
                <c:pt idx="298">
                  <c:v>9772.3722095581161</c:v>
                </c:pt>
                <c:pt idx="299">
                  <c:v>10000</c:v>
                </c:pt>
                <c:pt idx="300">
                  <c:v>10232.929922807549</c:v>
                </c:pt>
                <c:pt idx="301">
                  <c:v>10471.285480509003</c:v>
                </c:pt>
                <c:pt idx="302">
                  <c:v>10715.193052376071</c:v>
                </c:pt>
                <c:pt idx="303">
                  <c:v>10964.781961431856</c:v>
                </c:pt>
                <c:pt idx="304">
                  <c:v>11220.184543019639</c:v>
                </c:pt>
                <c:pt idx="305">
                  <c:v>11481.536214968832</c:v>
                </c:pt>
                <c:pt idx="306">
                  <c:v>11748.975549395318</c:v>
                </c:pt>
                <c:pt idx="307">
                  <c:v>12022.644346174151</c:v>
                </c:pt>
                <c:pt idx="308">
                  <c:v>12302.687708123816</c:v>
                </c:pt>
                <c:pt idx="309">
                  <c:v>12589.254117941671</c:v>
                </c:pt>
                <c:pt idx="310">
                  <c:v>12882.49551693136</c:v>
                </c:pt>
                <c:pt idx="311">
                  <c:v>13182.567385564091</c:v>
                </c:pt>
                <c:pt idx="312">
                  <c:v>13489.628825916556</c:v>
                </c:pt>
                <c:pt idx="313">
                  <c:v>13803.842646028841</c:v>
                </c:pt>
                <c:pt idx="314">
                  <c:v>14125.375446227561</c:v>
                </c:pt>
                <c:pt idx="315">
                  <c:v>14454.397707459291</c:v>
                </c:pt>
                <c:pt idx="316">
                  <c:v>14791.083881682089</c:v>
                </c:pt>
                <c:pt idx="317">
                  <c:v>15135.612484362096</c:v>
                </c:pt>
                <c:pt idx="318">
                  <c:v>15488.166189124853</c:v>
                </c:pt>
                <c:pt idx="319">
                  <c:v>15848.931924611146</c:v>
                </c:pt>
                <c:pt idx="320">
                  <c:v>16218.100973589309</c:v>
                </c:pt>
                <c:pt idx="321">
                  <c:v>16595.869074375616</c:v>
                </c:pt>
                <c:pt idx="322">
                  <c:v>16982.436524617482</c:v>
                </c:pt>
                <c:pt idx="323">
                  <c:v>17378.008287493791</c:v>
                </c:pt>
                <c:pt idx="324">
                  <c:v>17782.794100389234</c:v>
                </c:pt>
                <c:pt idx="325">
                  <c:v>18197.008586099837</c:v>
                </c:pt>
                <c:pt idx="326">
                  <c:v>18620.871366628675</c:v>
                </c:pt>
                <c:pt idx="327">
                  <c:v>19054.607179632505</c:v>
                </c:pt>
                <c:pt idx="328">
                  <c:v>19498.445997580486</c:v>
                </c:pt>
                <c:pt idx="329">
                  <c:v>19952.623149688792</c:v>
                </c:pt>
                <c:pt idx="330">
                  <c:v>20417.379446695286</c:v>
                </c:pt>
                <c:pt idx="331">
                  <c:v>20892.961308540423</c:v>
                </c:pt>
                <c:pt idx="332">
                  <c:v>21379.620895022348</c:v>
                </c:pt>
                <c:pt idx="333">
                  <c:v>21877.61623949555</c:v>
                </c:pt>
                <c:pt idx="334">
                  <c:v>22387.211385683382</c:v>
                </c:pt>
                <c:pt idx="335">
                  <c:v>22908.676527677751</c:v>
                </c:pt>
                <c:pt idx="336">
                  <c:v>23442.288153199243</c:v>
                </c:pt>
                <c:pt idx="337">
                  <c:v>23988.329190194923</c:v>
                </c:pt>
                <c:pt idx="338">
                  <c:v>24547.089156850321</c:v>
                </c:pt>
                <c:pt idx="339">
                  <c:v>25118.86431509586</c:v>
                </c:pt>
                <c:pt idx="340">
                  <c:v>25703.95782768865</c:v>
                </c:pt>
                <c:pt idx="341">
                  <c:v>26302.679918953829</c:v>
                </c:pt>
                <c:pt idx="342">
                  <c:v>26915.348039269167</c:v>
                </c:pt>
                <c:pt idx="343">
                  <c:v>27542.287033381719</c:v>
                </c:pt>
                <c:pt idx="344">
                  <c:v>28183.829312644593</c:v>
                </c:pt>
                <c:pt idx="345">
                  <c:v>28840.315031266062</c:v>
                </c:pt>
                <c:pt idx="346">
                  <c:v>29512.092266663854</c:v>
                </c:pt>
                <c:pt idx="347">
                  <c:v>30199.517204020212</c:v>
                </c:pt>
                <c:pt idx="348">
                  <c:v>30902.954325135954</c:v>
                </c:pt>
                <c:pt idx="349">
                  <c:v>31622.77660168384</c:v>
                </c:pt>
                <c:pt idx="350">
                  <c:v>32359.365692962871</c:v>
                </c:pt>
                <c:pt idx="351">
                  <c:v>33113.11214825909</c:v>
                </c:pt>
                <c:pt idx="352">
                  <c:v>33884.41561392029</c:v>
                </c:pt>
                <c:pt idx="353">
                  <c:v>34673.685045253202</c:v>
                </c:pt>
                <c:pt idx="354">
                  <c:v>35481.33892335758</c:v>
                </c:pt>
                <c:pt idx="355">
                  <c:v>36307.805477010232</c:v>
                </c:pt>
                <c:pt idx="356">
                  <c:v>37153.522909717351</c:v>
                </c:pt>
                <c:pt idx="357">
                  <c:v>38018.939632056143</c:v>
                </c:pt>
                <c:pt idx="358">
                  <c:v>38904.514499428085</c:v>
                </c:pt>
                <c:pt idx="359">
                  <c:v>39810.717055349742</c:v>
                </c:pt>
                <c:pt idx="360">
                  <c:v>40738.027780411358</c:v>
                </c:pt>
                <c:pt idx="361">
                  <c:v>41686.938347033625</c:v>
                </c:pt>
                <c:pt idx="362">
                  <c:v>42657.951880159271</c:v>
                </c:pt>
                <c:pt idx="363">
                  <c:v>43651.583224016598</c:v>
                </c:pt>
                <c:pt idx="364">
                  <c:v>44668.359215096389</c:v>
                </c:pt>
                <c:pt idx="365">
                  <c:v>45708.818961487581</c:v>
                </c:pt>
                <c:pt idx="366">
                  <c:v>46773.514128719893</c:v>
                </c:pt>
                <c:pt idx="367">
                  <c:v>47863.009232263823</c:v>
                </c:pt>
                <c:pt idx="368">
                  <c:v>48977.881936844598</c:v>
                </c:pt>
                <c:pt idx="369">
                  <c:v>50118.723362727294</c:v>
                </c:pt>
                <c:pt idx="370">
                  <c:v>51286.138399136544</c:v>
                </c:pt>
                <c:pt idx="371">
                  <c:v>52480.746024977314</c:v>
                </c:pt>
                <c:pt idx="372">
                  <c:v>53703.179637025423</c:v>
                </c:pt>
                <c:pt idx="373">
                  <c:v>54954.087385762505</c:v>
                </c:pt>
                <c:pt idx="374">
                  <c:v>56234.132519034953</c:v>
                </c:pt>
                <c:pt idx="375">
                  <c:v>57543.993733715732</c:v>
                </c:pt>
                <c:pt idx="376">
                  <c:v>58884.365535558936</c:v>
                </c:pt>
                <c:pt idx="377">
                  <c:v>60255.95860743591</c:v>
                </c:pt>
                <c:pt idx="378">
                  <c:v>61659.500186148245</c:v>
                </c:pt>
                <c:pt idx="379">
                  <c:v>63095.734448019342</c:v>
                </c:pt>
                <c:pt idx="380">
                  <c:v>64565.422903465682</c:v>
                </c:pt>
                <c:pt idx="381">
                  <c:v>66069.344800759733</c:v>
                </c:pt>
                <c:pt idx="382">
                  <c:v>67608.297539198305</c:v>
                </c:pt>
                <c:pt idx="383">
                  <c:v>69183.097091893651</c:v>
                </c:pt>
                <c:pt idx="384">
                  <c:v>70794.578438413781</c:v>
                </c:pt>
                <c:pt idx="385">
                  <c:v>72443.596007499116</c:v>
                </c:pt>
                <c:pt idx="386">
                  <c:v>74131.024130091857</c:v>
                </c:pt>
                <c:pt idx="387">
                  <c:v>75857.757502918481</c:v>
                </c:pt>
                <c:pt idx="388">
                  <c:v>77624.711662869129</c:v>
                </c:pt>
                <c:pt idx="389">
                  <c:v>79432.823472428237</c:v>
                </c:pt>
                <c:pt idx="390">
                  <c:v>81283.051616410012</c:v>
                </c:pt>
                <c:pt idx="391">
                  <c:v>83176.377110267174</c:v>
                </c:pt>
                <c:pt idx="392">
                  <c:v>85113.803820237721</c:v>
                </c:pt>
                <c:pt idx="393">
                  <c:v>87096.358995608127</c:v>
                </c:pt>
                <c:pt idx="394">
                  <c:v>89125.093813374609</c:v>
                </c:pt>
                <c:pt idx="395">
                  <c:v>91201.083935591028</c:v>
                </c:pt>
                <c:pt idx="396">
                  <c:v>93325.430079699145</c:v>
                </c:pt>
                <c:pt idx="397">
                  <c:v>95499.258602143804</c:v>
                </c:pt>
                <c:pt idx="398">
                  <c:v>97723.722095581266</c:v>
                </c:pt>
                <c:pt idx="399">
                  <c:v>100000</c:v>
                </c:pt>
                <c:pt idx="400">
                  <c:v>102329.29922807543</c:v>
                </c:pt>
                <c:pt idx="401">
                  <c:v>104712.85480508996</c:v>
                </c:pt>
                <c:pt idx="402">
                  <c:v>107151.93052376082</c:v>
                </c:pt>
                <c:pt idx="403">
                  <c:v>109647.81961431868</c:v>
                </c:pt>
                <c:pt idx="404">
                  <c:v>112201.84543019651</c:v>
                </c:pt>
                <c:pt idx="405">
                  <c:v>114815.36214968823</c:v>
                </c:pt>
                <c:pt idx="406">
                  <c:v>117489.75549395311</c:v>
                </c:pt>
                <c:pt idx="407">
                  <c:v>120226.44346174144</c:v>
                </c:pt>
                <c:pt idx="408">
                  <c:v>123026.87708123829</c:v>
                </c:pt>
                <c:pt idx="409">
                  <c:v>125892.54117941685</c:v>
                </c:pt>
                <c:pt idx="410">
                  <c:v>128824.95516931375</c:v>
                </c:pt>
                <c:pt idx="411">
                  <c:v>131825.67385564081</c:v>
                </c:pt>
                <c:pt idx="412">
                  <c:v>134896.28825916545</c:v>
                </c:pt>
                <c:pt idx="413">
                  <c:v>138038.42646028858</c:v>
                </c:pt>
                <c:pt idx="414">
                  <c:v>141253.75446227577</c:v>
                </c:pt>
                <c:pt idx="415">
                  <c:v>144543.97707459307</c:v>
                </c:pt>
                <c:pt idx="416">
                  <c:v>147910.83881682079</c:v>
                </c:pt>
                <c:pt idx="417">
                  <c:v>151356.12484362084</c:v>
                </c:pt>
                <c:pt idx="418">
                  <c:v>154881.66189124843</c:v>
                </c:pt>
                <c:pt idx="419">
                  <c:v>158489.31924611164</c:v>
                </c:pt>
                <c:pt idx="420">
                  <c:v>162181.00973589328</c:v>
                </c:pt>
                <c:pt idx="421">
                  <c:v>165958.69074375604</c:v>
                </c:pt>
                <c:pt idx="422">
                  <c:v>169824.36524617471</c:v>
                </c:pt>
                <c:pt idx="423">
                  <c:v>173780.0828749378</c:v>
                </c:pt>
                <c:pt idx="424">
                  <c:v>177827.94100389251</c:v>
                </c:pt>
                <c:pt idx="425">
                  <c:v>181970.08586099857</c:v>
                </c:pt>
                <c:pt idx="426">
                  <c:v>186208.71366628664</c:v>
                </c:pt>
                <c:pt idx="427">
                  <c:v>190546.07179632492</c:v>
                </c:pt>
                <c:pt idx="428">
                  <c:v>194984.45997580473</c:v>
                </c:pt>
                <c:pt idx="429">
                  <c:v>199526.23149688813</c:v>
                </c:pt>
                <c:pt idx="430">
                  <c:v>204173.79446695308</c:v>
                </c:pt>
                <c:pt idx="431">
                  <c:v>208929.61308540447</c:v>
                </c:pt>
                <c:pt idx="432">
                  <c:v>213796.20895022334</c:v>
                </c:pt>
                <c:pt idx="433">
                  <c:v>218776.16239495538</c:v>
                </c:pt>
                <c:pt idx="434">
                  <c:v>223872.11385683404</c:v>
                </c:pt>
                <c:pt idx="435">
                  <c:v>229086.76527677779</c:v>
                </c:pt>
                <c:pt idx="436">
                  <c:v>234422.88153199267</c:v>
                </c:pt>
                <c:pt idx="437">
                  <c:v>239883.29190194907</c:v>
                </c:pt>
                <c:pt idx="438">
                  <c:v>245470.89156850305</c:v>
                </c:pt>
                <c:pt idx="439">
                  <c:v>251188.64315095844</c:v>
                </c:pt>
                <c:pt idx="440">
                  <c:v>257039.57827688678</c:v>
                </c:pt>
                <c:pt idx="441">
                  <c:v>263026.79918953858</c:v>
                </c:pt>
                <c:pt idx="442">
                  <c:v>269153.48039269145</c:v>
                </c:pt>
                <c:pt idx="443">
                  <c:v>275422.87033381703</c:v>
                </c:pt>
                <c:pt idx="444">
                  <c:v>281838.29312644573</c:v>
                </c:pt>
                <c:pt idx="445">
                  <c:v>288403.1503126609</c:v>
                </c:pt>
                <c:pt idx="446">
                  <c:v>295120.92266663886</c:v>
                </c:pt>
                <c:pt idx="447">
                  <c:v>301995.17204020242</c:v>
                </c:pt>
                <c:pt idx="448">
                  <c:v>309029.54325135931</c:v>
                </c:pt>
                <c:pt idx="449">
                  <c:v>316227.7660168382</c:v>
                </c:pt>
                <c:pt idx="450">
                  <c:v>323593.65692962846</c:v>
                </c:pt>
                <c:pt idx="451">
                  <c:v>331131.12148259126</c:v>
                </c:pt>
                <c:pt idx="452">
                  <c:v>338844.15613920329</c:v>
                </c:pt>
                <c:pt idx="453">
                  <c:v>346736.85045253241</c:v>
                </c:pt>
                <c:pt idx="454">
                  <c:v>354813.38923357555</c:v>
                </c:pt>
                <c:pt idx="455">
                  <c:v>363078.05477010203</c:v>
                </c:pt>
                <c:pt idx="456">
                  <c:v>371535.2290971732</c:v>
                </c:pt>
                <c:pt idx="457">
                  <c:v>380189.39632056188</c:v>
                </c:pt>
                <c:pt idx="458">
                  <c:v>389045.14499428123</c:v>
                </c:pt>
                <c:pt idx="459">
                  <c:v>398107.17055349716</c:v>
                </c:pt>
                <c:pt idx="460">
                  <c:v>407380.27780411334</c:v>
                </c:pt>
                <c:pt idx="461">
                  <c:v>416869.38347033598</c:v>
                </c:pt>
                <c:pt idx="462">
                  <c:v>426579.51880159322</c:v>
                </c:pt>
                <c:pt idx="463">
                  <c:v>436515.83224016649</c:v>
                </c:pt>
                <c:pt idx="464">
                  <c:v>446683.59215096442</c:v>
                </c:pt>
                <c:pt idx="465">
                  <c:v>457088.18961487547</c:v>
                </c:pt>
                <c:pt idx="466">
                  <c:v>467735.14128719864</c:v>
                </c:pt>
                <c:pt idx="467">
                  <c:v>478630.09232263872</c:v>
                </c:pt>
                <c:pt idx="468">
                  <c:v>489778.81936844654</c:v>
                </c:pt>
                <c:pt idx="469">
                  <c:v>501187.23362727347</c:v>
                </c:pt>
                <c:pt idx="470">
                  <c:v>512861.38399136515</c:v>
                </c:pt>
                <c:pt idx="471">
                  <c:v>524807.46024977288</c:v>
                </c:pt>
                <c:pt idx="472">
                  <c:v>537031.7963702539</c:v>
                </c:pt>
                <c:pt idx="473">
                  <c:v>549540.87385762564</c:v>
                </c:pt>
                <c:pt idx="474">
                  <c:v>562341.32519035018</c:v>
                </c:pt>
                <c:pt idx="475">
                  <c:v>575439.93733715697</c:v>
                </c:pt>
                <c:pt idx="476">
                  <c:v>588843.65535558888</c:v>
                </c:pt>
                <c:pt idx="477">
                  <c:v>602559.58607435878</c:v>
                </c:pt>
                <c:pt idx="478">
                  <c:v>616595.00186148309</c:v>
                </c:pt>
                <c:pt idx="479">
                  <c:v>630957.34448019415</c:v>
                </c:pt>
                <c:pt idx="480">
                  <c:v>645654.22903465747</c:v>
                </c:pt>
                <c:pt idx="481">
                  <c:v>660693.44800759677</c:v>
                </c:pt>
                <c:pt idx="482">
                  <c:v>676082.97539198259</c:v>
                </c:pt>
                <c:pt idx="483">
                  <c:v>691830.97091893724</c:v>
                </c:pt>
                <c:pt idx="484">
                  <c:v>707945.78438413853</c:v>
                </c:pt>
                <c:pt idx="485">
                  <c:v>724435.96007499192</c:v>
                </c:pt>
                <c:pt idx="486">
                  <c:v>741310.24130091805</c:v>
                </c:pt>
                <c:pt idx="487">
                  <c:v>758577.57502918423</c:v>
                </c:pt>
                <c:pt idx="488">
                  <c:v>776247.11662869214</c:v>
                </c:pt>
                <c:pt idx="489">
                  <c:v>794328.23472428333</c:v>
                </c:pt>
                <c:pt idx="490">
                  <c:v>812830.51616410096</c:v>
                </c:pt>
                <c:pt idx="491">
                  <c:v>831763.77110267128</c:v>
                </c:pt>
                <c:pt idx="492">
                  <c:v>851138.03820237669</c:v>
                </c:pt>
                <c:pt idx="493">
                  <c:v>870963.58995608077</c:v>
                </c:pt>
                <c:pt idx="494">
                  <c:v>891250.93813374708</c:v>
                </c:pt>
                <c:pt idx="495">
                  <c:v>912010.83935591124</c:v>
                </c:pt>
                <c:pt idx="496">
                  <c:v>933254.30079699249</c:v>
                </c:pt>
                <c:pt idx="497">
                  <c:v>954992.58602143743</c:v>
                </c:pt>
                <c:pt idx="498">
                  <c:v>977237.22095581202</c:v>
                </c:pt>
                <c:pt idx="499">
                  <c:v>1000000</c:v>
                </c:pt>
                <c:pt idx="500">
                  <c:v>1023292.9922807553</c:v>
                </c:pt>
                <c:pt idx="501">
                  <c:v>1047128.5480509007</c:v>
                </c:pt>
                <c:pt idx="502">
                  <c:v>1071519.3052376076</c:v>
                </c:pt>
                <c:pt idx="503">
                  <c:v>1096478.196143186</c:v>
                </c:pt>
                <c:pt idx="504">
                  <c:v>1122018.4543019643</c:v>
                </c:pt>
                <c:pt idx="505">
                  <c:v>1148153.6214968837</c:v>
                </c:pt>
                <c:pt idx="506">
                  <c:v>1174897.5549395324</c:v>
                </c:pt>
                <c:pt idx="507">
                  <c:v>1202264.4346174158</c:v>
                </c:pt>
                <c:pt idx="508">
                  <c:v>1230268.770812382</c:v>
                </c:pt>
                <c:pt idx="509">
                  <c:v>1258925.4117941677</c:v>
                </c:pt>
                <c:pt idx="510">
                  <c:v>1288249.5516931366</c:v>
                </c:pt>
                <c:pt idx="511">
                  <c:v>1318256.7385564097</c:v>
                </c:pt>
                <c:pt idx="512">
                  <c:v>1348962.8825916562</c:v>
                </c:pt>
                <c:pt idx="513">
                  <c:v>1380384.2646028849</c:v>
                </c:pt>
                <c:pt idx="514">
                  <c:v>1412537.5446227565</c:v>
                </c:pt>
                <c:pt idx="515">
                  <c:v>1445439.7707459298</c:v>
                </c:pt>
                <c:pt idx="516">
                  <c:v>1479108.3881682095</c:v>
                </c:pt>
                <c:pt idx="517">
                  <c:v>1513561.2484362102</c:v>
                </c:pt>
                <c:pt idx="518">
                  <c:v>1548816.6189124861</c:v>
                </c:pt>
                <c:pt idx="519">
                  <c:v>1584893.1924611153</c:v>
                </c:pt>
                <c:pt idx="520">
                  <c:v>1621810.0973589318</c:v>
                </c:pt>
                <c:pt idx="521">
                  <c:v>1659586.9074375622</c:v>
                </c:pt>
                <c:pt idx="522">
                  <c:v>1698243.6524617488</c:v>
                </c:pt>
                <c:pt idx="523">
                  <c:v>1737800.8287493798</c:v>
                </c:pt>
                <c:pt idx="524">
                  <c:v>1778279.4100389241</c:v>
                </c:pt>
                <c:pt idx="525">
                  <c:v>1819700.8586099846</c:v>
                </c:pt>
                <c:pt idx="526">
                  <c:v>1862087.1366628683</c:v>
                </c:pt>
                <c:pt idx="527">
                  <c:v>1905460.7179632513</c:v>
                </c:pt>
                <c:pt idx="528">
                  <c:v>1949844.5997580495</c:v>
                </c:pt>
                <c:pt idx="529">
                  <c:v>1995262.31496888</c:v>
                </c:pt>
                <c:pt idx="530">
                  <c:v>2041737.9446695296</c:v>
                </c:pt>
                <c:pt idx="531">
                  <c:v>2089296.1308540432</c:v>
                </c:pt>
                <c:pt idx="532">
                  <c:v>2137962.0895022359</c:v>
                </c:pt>
                <c:pt idx="533">
                  <c:v>2187761.6239495561</c:v>
                </c:pt>
                <c:pt idx="534">
                  <c:v>2238721.1385683389</c:v>
                </c:pt>
                <c:pt idx="535">
                  <c:v>2290867.6527677765</c:v>
                </c:pt>
                <c:pt idx="536">
                  <c:v>2344228.8153199251</c:v>
                </c:pt>
                <c:pt idx="537">
                  <c:v>2398832.9190194933</c:v>
                </c:pt>
                <c:pt idx="538">
                  <c:v>2454708.915685033</c:v>
                </c:pt>
                <c:pt idx="539">
                  <c:v>2511886.431509587</c:v>
                </c:pt>
                <c:pt idx="540">
                  <c:v>2570395.782768866</c:v>
                </c:pt>
                <c:pt idx="541">
                  <c:v>2630267.9918953842</c:v>
                </c:pt>
              </c:numCache>
            </c:numRef>
          </c:xVal>
          <c:yVal>
            <c:numRef>
              <c:f>Loop_Modeling!$BJ$19:$BJ$560</c:f>
              <c:numCache>
                <c:formatCode>0.000</c:formatCode>
                <c:ptCount val="542"/>
                <c:pt idx="0">
                  <c:v>74.489668549385598</c:v>
                </c:pt>
                <c:pt idx="1">
                  <c:v>74.289653107366746</c:v>
                </c:pt>
                <c:pt idx="2">
                  <c:v>74.089636937735861</c:v>
                </c:pt>
                <c:pt idx="3">
                  <c:v>73.88962000621585</c:v>
                </c:pt>
                <c:pt idx="4">
                  <c:v>73.689602276915721</c:v>
                </c:pt>
                <c:pt idx="5">
                  <c:v>73.489583712254301</c:v>
                </c:pt>
                <c:pt idx="6">
                  <c:v>73.289564272881137</c:v>
                </c:pt>
                <c:pt idx="7">
                  <c:v>73.089543917592835</c:v>
                </c:pt>
                <c:pt idx="8">
                  <c:v>72.889522603246306</c:v>
                </c:pt>
                <c:pt idx="9">
                  <c:v>72.689500284667346</c:v>
                </c:pt>
                <c:pt idx="10">
                  <c:v>72.489476914555041</c:v>
                </c:pt>
                <c:pt idx="11">
                  <c:v>72.289452443382032</c:v>
                </c:pt>
                <c:pt idx="12">
                  <c:v>72.089426819289486</c:v>
                </c:pt>
                <c:pt idx="13">
                  <c:v>71.889399987977939</c:v>
                </c:pt>
                <c:pt idx="14">
                  <c:v>71.68937189259205</c:v>
                </c:pt>
                <c:pt idx="15">
                  <c:v>71.489342473600971</c:v>
                </c:pt>
                <c:pt idx="16">
                  <c:v>71.289311668672298</c:v>
                </c:pt>
                <c:pt idx="17">
                  <c:v>71.089279412540648</c:v>
                </c:pt>
                <c:pt idx="18">
                  <c:v>70.88924563686956</c:v>
                </c:pt>
                <c:pt idx="19">
                  <c:v>70.689210270107708</c:v>
                </c:pt>
                <c:pt idx="20">
                  <c:v>70.48917323733744</c:v>
                </c:pt>
                <c:pt idx="21">
                  <c:v>70.289134460117012</c:v>
                </c:pt>
                <c:pt idx="22">
                  <c:v>70.089093856315145</c:v>
                </c:pt>
                <c:pt idx="23">
                  <c:v>69.889051339937566</c:v>
                </c:pt>
                <c:pt idx="24">
                  <c:v>69.689006820945963</c:v>
                </c:pt>
                <c:pt idx="25">
                  <c:v>69.488960205068182</c:v>
                </c:pt>
                <c:pt idx="26">
                  <c:v>69.288911393599577</c:v>
                </c:pt>
                <c:pt idx="27">
                  <c:v>69.088860283195089</c:v>
                </c:pt>
                <c:pt idx="28">
                  <c:v>68.88880676565168</c:v>
                </c:pt>
                <c:pt idx="29">
                  <c:v>68.688750727680656</c:v>
                </c:pt>
                <c:pt idx="30">
                  <c:v>68.488692050669187</c:v>
                </c:pt>
                <c:pt idx="31">
                  <c:v>68.288630610430943</c:v>
                </c:pt>
                <c:pt idx="32">
                  <c:v>68.088566276945002</c:v>
                </c:pt>
                <c:pt idx="33">
                  <c:v>67.888498914082504</c:v>
                </c:pt>
                <c:pt idx="34">
                  <c:v>67.688428379320868</c:v>
                </c:pt>
                <c:pt idx="35">
                  <c:v>67.488354523444443</c:v>
                </c:pt>
                <c:pt idx="36">
                  <c:v>67.288277190231412</c:v>
                </c:pt>
                <c:pt idx="37">
                  <c:v>67.088196216126164</c:v>
                </c:pt>
                <c:pt idx="38">
                  <c:v>66.888111429896327</c:v>
                </c:pt>
                <c:pt idx="39">
                  <c:v>66.688022652274086</c:v>
                </c:pt>
                <c:pt idx="40">
                  <c:v>66.48792969558076</c:v>
                </c:pt>
                <c:pt idx="41">
                  <c:v>66.287832363334047</c:v>
                </c:pt>
                <c:pt idx="42">
                  <c:v>66.087730449837196</c:v>
                </c:pt>
                <c:pt idx="43">
                  <c:v>65.887623739748832</c:v>
                </c:pt>
                <c:pt idx="44">
                  <c:v>65.687512007633615</c:v>
                </c:pt>
                <c:pt idx="45">
                  <c:v>65.487395017491551</c:v>
                </c:pt>
                <c:pt idx="46">
                  <c:v>65.287272522265795</c:v>
                </c:pt>
                <c:pt idx="47">
                  <c:v>65.087144263327971</c:v>
                </c:pt>
                <c:pt idx="48">
                  <c:v>64.887009969939655</c:v>
                </c:pt>
                <c:pt idx="49">
                  <c:v>64.686869358689549</c:v>
                </c:pt>
                <c:pt idx="50">
                  <c:v>64.48672213290385</c:v>
                </c:pt>
                <c:pt idx="51">
                  <c:v>64.286567982030988</c:v>
                </c:pt>
                <c:pt idx="52">
                  <c:v>64.08640658099732</c:v>
                </c:pt>
                <c:pt idx="53">
                  <c:v>63.886237589533494</c:v>
                </c:pt>
                <c:pt idx="54">
                  <c:v>63.686060651470541</c:v>
                </c:pt>
                <c:pt idx="55">
                  <c:v>63.485875394003564</c:v>
                </c:pt>
                <c:pt idx="56">
                  <c:v>63.285681426921983</c:v>
                </c:pt>
                <c:pt idx="57">
                  <c:v>63.085478341805377</c:v>
                </c:pt>
                <c:pt idx="58">
                  <c:v>62.885265711182072</c:v>
                </c:pt>
                <c:pt idx="59">
                  <c:v>62.685043087650584</c:v>
                </c:pt>
                <c:pt idx="60">
                  <c:v>62.484810002961026</c:v>
                </c:pt>
                <c:pt idx="61">
                  <c:v>62.284565967055244</c:v>
                </c:pt>
                <c:pt idx="62">
                  <c:v>62.084310467063872</c:v>
                </c:pt>
                <c:pt idx="63">
                  <c:v>61.88404296625886</c:v>
                </c:pt>
                <c:pt idx="64">
                  <c:v>61.683762902958719</c:v>
                </c:pt>
                <c:pt idx="65">
                  <c:v>61.483469689385075</c:v>
                </c:pt>
                <c:pt idx="66">
                  <c:v>61.283162710469156</c:v>
                </c:pt>
                <c:pt idx="67">
                  <c:v>61.082841322604821</c:v>
                </c:pt>
                <c:pt idx="68">
                  <c:v>60.882504852346251</c:v>
                </c:pt>
                <c:pt idx="69">
                  <c:v>60.682152595049644</c:v>
                </c:pt>
                <c:pt idx="70">
                  <c:v>60.481783813453845</c:v>
                </c:pt>
                <c:pt idx="71">
                  <c:v>60.281397736200184</c:v>
                </c:pt>
                <c:pt idx="72">
                  <c:v>60.080993556287694</c:v>
                </c:pt>
                <c:pt idx="73">
                  <c:v>59.880570429460548</c:v>
                </c:pt>
                <c:pt idx="74">
                  <c:v>59.68012747252746</c:v>
                </c:pt>
                <c:pt idx="75">
                  <c:v>59.479663761607796</c:v>
                </c:pt>
                <c:pt idx="76">
                  <c:v>59.279178330303139</c:v>
                </c:pt>
                <c:pt idx="77">
                  <c:v>59.078670167791159</c:v>
                </c:pt>
                <c:pt idx="78">
                  <c:v>58.878138216838984</c:v>
                </c:pt>
                <c:pt idx="79">
                  <c:v>58.677581371732977</c:v>
                </c:pt>
                <c:pt idx="80">
                  <c:v>58.476998476122077</c:v>
                </c:pt>
                <c:pt idx="81">
                  <c:v>58.276388320771574</c:v>
                </c:pt>
                <c:pt idx="82">
                  <c:v>58.075749641224128</c:v>
                </c:pt>
                <c:pt idx="83">
                  <c:v>57.875081115365688</c:v>
                </c:pt>
                <c:pt idx="84">
                  <c:v>57.674381360891608</c:v>
                </c:pt>
                <c:pt idx="85">
                  <c:v>57.473648932671615</c:v>
                </c:pt>
                <c:pt idx="86">
                  <c:v>57.272882320008769</c:v>
                </c:pt>
                <c:pt idx="87">
                  <c:v>57.072079943790264</c:v>
                </c:pt>
                <c:pt idx="88">
                  <c:v>56.871240153527005</c:v>
                </c:pt>
                <c:pt idx="89">
                  <c:v>56.670361224277322</c:v>
                </c:pt>
                <c:pt idx="90">
                  <c:v>56.469441353453746</c:v>
                </c:pt>
                <c:pt idx="91">
                  <c:v>56.268478657508254</c:v>
                </c:pt>
                <c:pt idx="92">
                  <c:v>56.067471168493569</c:v>
                </c:pt>
                <c:pt idx="93">
                  <c:v>55.866416830497492</c:v>
                </c:pt>
                <c:pt idx="94">
                  <c:v>55.6653134959478</c:v>
                </c:pt>
                <c:pt idx="95">
                  <c:v>55.464158921784374</c:v>
                </c:pt>
                <c:pt idx="96">
                  <c:v>55.262950765497266</c:v>
                </c:pt>
                <c:pt idx="97">
                  <c:v>55.061686581027146</c:v>
                </c:pt>
                <c:pt idx="98">
                  <c:v>54.860363814527339</c:v>
                </c:pt>
                <c:pt idx="99">
                  <c:v>54.658979799985175</c:v>
                </c:pt>
                <c:pt idx="100">
                  <c:v>54.457531754701556</c:v>
                </c:pt>
                <c:pt idx="101">
                  <c:v>54.256016774627646</c:v>
                </c:pt>
                <c:pt idx="102">
                  <c:v>54.054431829558631</c:v>
                </c:pt>
                <c:pt idx="103">
                  <c:v>53.852773758184057</c:v>
                </c:pt>
                <c:pt idx="104">
                  <c:v>53.651039262995994</c:v>
                </c:pt>
                <c:pt idx="105">
                  <c:v>53.449224905055402</c:v>
                </c:pt>
                <c:pt idx="106">
                  <c:v>53.247327098620254</c:v>
                </c:pt>
                <c:pt idx="107">
                  <c:v>53.04534210563601</c:v>
                </c:pt>
                <c:pt idx="108">
                  <c:v>52.843266030094583</c:v>
                </c:pt>
                <c:pt idx="109">
                  <c:v>52.641094812264413</c:v>
                </c:pt>
                <c:pt idx="110">
                  <c:v>52.438824222799063</c:v>
                </c:pt>
                <c:pt idx="111">
                  <c:v>52.236449856730125</c:v>
                </c:pt>
                <c:pt idx="112">
                  <c:v>52.033967127353534</c:v>
                </c:pt>
                <c:pt idx="113">
                  <c:v>51.83137126001899</c:v>
                </c:pt>
                <c:pt idx="114">
                  <c:v>51.628657285833903</c:v>
                </c:pt>
                <c:pt idx="115">
                  <c:v>51.425820035294478</c:v>
                </c:pt>
                <c:pt idx="116">
                  <c:v>51.222854131860089</c:v>
                </c:pt>
                <c:pt idx="117">
                  <c:v>51.019753985486972</c:v>
                </c:pt>
                <c:pt idx="118">
                  <c:v>50.816513786141606</c:v>
                </c:pt>
                <c:pt idx="119">
                  <c:v>50.613127497314196</c:v>
                </c:pt>
                <c:pt idx="120">
                  <c:v>50.409588849558617</c:v>
                </c:pt>
                <c:pt idx="121">
                  <c:v>50.205891334084036</c:v>
                </c:pt>
                <c:pt idx="122">
                  <c:v>50.002028196429499</c:v>
                </c:pt>
                <c:pt idx="123">
                  <c:v>49.797992430254936</c:v>
                </c:pt>
                <c:pt idx="124">
                  <c:v>49.593776771284567</c:v>
                </c:pt>
                <c:pt idx="125">
                  <c:v>49.389373691444391</c:v>
                </c:pt>
                <c:pt idx="126">
                  <c:v>49.184775393236762</c:v>
                </c:pt>
                <c:pt idx="127">
                  <c:v>48.979973804401752</c:v>
                </c:pt>
                <c:pt idx="128">
                  <c:v>48.774960572917209</c:v>
                </c:pt>
                <c:pt idx="129">
                  <c:v>48.569727062394499</c:v>
                </c:pt>
                <c:pt idx="130">
                  <c:v>48.364264347933172</c:v>
                </c:pt>
                <c:pt idx="131">
                  <c:v>48.158563212499537</c:v>
                </c:pt>
                <c:pt idx="132">
                  <c:v>47.952614143902899</c:v>
                </c:pt>
                <c:pt idx="133">
                  <c:v>47.746407332445045</c:v>
                </c:pt>
                <c:pt idx="134">
                  <c:v>47.539932669326426</c:v>
                </c:pt>
                <c:pt idx="135">
                  <c:v>47.333179745896445</c:v>
                </c:pt>
                <c:pt idx="136">
                  <c:v>47.126137853841492</c:v>
                </c:pt>
                <c:pt idx="137">
                  <c:v>46.918795986409506</c:v>
                </c:pt>
                <c:pt idx="138">
                  <c:v>46.711142840775167</c:v>
                </c:pt>
                <c:pt idx="139">
                  <c:v>46.503166821655839</c:v>
                </c:pt>
                <c:pt idx="140">
                  <c:v>46.294856046292594</c:v>
                </c:pt>
                <c:pt idx="141">
                  <c:v>46.086198350915886</c:v>
                </c:pt>
                <c:pt idx="142">
                  <c:v>45.877181298820027</c:v>
                </c:pt>
                <c:pt idx="143">
                  <c:v>45.667792190175483</c:v>
                </c:pt>
                <c:pt idx="144">
                  <c:v>45.458018073708743</c:v>
                </c:pt>
                <c:pt idx="145">
                  <c:v>45.247845760385246</c:v>
                </c:pt>
                <c:pt idx="146">
                  <c:v>45.037261839231697</c:v>
                </c:pt>
                <c:pt idx="147">
                  <c:v>44.826252695433375</c:v>
                </c:pt>
                <c:pt idx="148">
                  <c:v>44.614804530844943</c:v>
                </c:pt>
                <c:pt idx="149">
                  <c:v>44.402903387047765</c:v>
                </c:pt>
                <c:pt idx="150">
                  <c:v>44.190535171087447</c:v>
                </c:pt>
                <c:pt idx="151">
                  <c:v>43.977685684017445</c:v>
                </c:pt>
                <c:pt idx="152">
                  <c:v>43.764340652369341</c:v>
                </c:pt>
                <c:pt idx="153">
                  <c:v>43.550485762661715</c:v>
                </c:pt>
                <c:pt idx="154">
                  <c:v>43.33610669904759</c:v>
                </c:pt>
                <c:pt idx="155">
                  <c:v>43.121189184187905</c:v>
                </c:pt>
                <c:pt idx="156">
                  <c:v>42.905719023421717</c:v>
                </c:pt>
                <c:pt idx="157">
                  <c:v>42.689682152285187</c:v>
                </c:pt>
                <c:pt idx="158">
                  <c:v>42.473064687409831</c:v>
                </c:pt>
                <c:pt idx="159">
                  <c:v>42.255852980805706</c:v>
                </c:pt>
                <c:pt idx="160">
                  <c:v>42.038033677506419</c:v>
                </c:pt>
                <c:pt idx="161">
                  <c:v>41.81959377652386</c:v>
                </c:pt>
                <c:pt idx="162">
                  <c:v>41.600520695023697</c:v>
                </c:pt>
                <c:pt idx="163">
                  <c:v>41.380802335598403</c:v>
                </c:pt>
                <c:pt idx="164">
                  <c:v>41.160427156471222</c:v>
                </c:pt>
                <c:pt idx="165">
                  <c:v>40.93938424442478</c:v>
                </c:pt>
                <c:pt idx="166">
                  <c:v>40.717663390200023</c:v>
                </c:pt>
                <c:pt idx="167">
                  <c:v>40.495255166065519</c:v>
                </c:pt>
                <c:pt idx="168">
                  <c:v>40.272151005205991</c:v>
                </c:pt>
                <c:pt idx="169">
                  <c:v>40.048343282530602</c:v>
                </c:pt>
                <c:pt idx="170">
                  <c:v>39.823825396449195</c:v>
                </c:pt>
                <c:pt idx="171">
                  <c:v>39.598591851112992</c:v>
                </c:pt>
                <c:pt idx="172">
                  <c:v>39.372638338569615</c:v>
                </c:pt>
                <c:pt idx="173">
                  <c:v>39.145961820228344</c:v>
                </c:pt>
                <c:pt idx="174">
                  <c:v>38.918560606993232</c:v>
                </c:pt>
                <c:pt idx="175">
                  <c:v>38.690434437372716</c:v>
                </c:pt>
                <c:pt idx="176">
                  <c:v>38.461584552842446</c:v>
                </c:pt>
                <c:pt idx="177">
                  <c:v>38.232013769703734</c:v>
                </c:pt>
                <c:pt idx="178">
                  <c:v>38.001726546658226</c:v>
                </c:pt>
                <c:pt idx="179">
                  <c:v>37.770729047299092</c:v>
                </c:pt>
                <c:pt idx="180">
                  <c:v>37.539029196715177</c:v>
                </c:pt>
                <c:pt idx="181">
                  <c:v>37.306636731404993</c:v>
                </c:pt>
                <c:pt idx="182">
                  <c:v>37.0735632417096</c:v>
                </c:pt>
                <c:pt idx="183">
                  <c:v>36.839822205998956</c:v>
                </c:pt>
                <c:pt idx="184">
                  <c:v>36.605429015882301</c:v>
                </c:pt>
                <c:pt idx="185">
                  <c:v>36.370400991759453</c:v>
                </c:pt>
                <c:pt idx="186">
                  <c:v>36.134757388092638</c:v>
                </c:pt>
                <c:pt idx="187">
                  <c:v>35.898519387850513</c:v>
                </c:pt>
                <c:pt idx="188">
                  <c:v>35.661710085659792</c:v>
                </c:pt>
                <c:pt idx="189">
                  <c:v>35.424354459295152</c:v>
                </c:pt>
                <c:pt idx="190">
                  <c:v>35.186479329246836</c:v>
                </c:pt>
                <c:pt idx="191">
                  <c:v>34.94811330621647</c:v>
                </c:pt>
                <c:pt idx="192">
                  <c:v>34.709286726516318</c:v>
                </c:pt>
                <c:pt idx="193">
                  <c:v>34.470031575476128</c:v>
                </c:pt>
                <c:pt idx="194">
                  <c:v>34.230381399093019</c:v>
                </c:pt>
                <c:pt idx="195">
                  <c:v>33.990371204295201</c:v>
                </c:pt>
                <c:pt idx="196">
                  <c:v>33.750037348325421</c:v>
                </c:pt>
                <c:pt idx="197">
                  <c:v>33.509417417880826</c:v>
                </c:pt>
                <c:pt idx="198">
                  <c:v>33.268550098774554</c:v>
                </c:pt>
                <c:pt idx="199">
                  <c:v>33.027475037004393</c:v>
                </c:pt>
                <c:pt idx="200">
                  <c:v>32.786232692224402</c:v>
                </c:pt>
                <c:pt idx="201">
                  <c:v>32.544864184715479</c:v>
                </c:pt>
                <c:pt idx="202">
                  <c:v>32.303411137037315</c:v>
                </c:pt>
                <c:pt idx="203">
                  <c:v>32.061915511616135</c:v>
                </c:pt>
                <c:pt idx="204">
                  <c:v>31.820419445575688</c:v>
                </c:pt>
                <c:pt idx="205">
                  <c:v>31.578965084159229</c:v>
                </c:pt>
                <c:pt idx="206">
                  <c:v>31.337594414107496</c:v>
                </c:pt>
                <c:pt idx="207">
                  <c:v>31.096349098358921</c:v>
                </c:pt>
                <c:pt idx="208">
                  <c:v>30.855270313421144</c:v>
                </c:pt>
                <c:pt idx="209">
                  <c:v>30.614398590725209</c:v>
                </c:pt>
                <c:pt idx="210">
                  <c:v>30.373773663220756</c:v>
                </c:pt>
                <c:pt idx="211">
                  <c:v>30.133434318401072</c:v>
                </c:pt>
                <c:pt idx="212">
                  <c:v>29.893418258859853</c:v>
                </c:pt>
                <c:pt idx="213">
                  <c:v>29.653761971383421</c:v>
                </c:pt>
                <c:pt idx="214">
                  <c:v>29.414500605472526</c:v>
                </c:pt>
                <c:pt idx="215">
                  <c:v>29.175667862066955</c:v>
                </c:pt>
                <c:pt idx="216">
                  <c:v>28.937295893120304</c:v>
                </c:pt>
                <c:pt idx="217">
                  <c:v>28.699415212539151</c:v>
                </c:pt>
                <c:pt idx="218">
                  <c:v>28.462054618868009</c:v>
                </c:pt>
                <c:pt idx="219">
                  <c:v>28.225241129965092</c:v>
                </c:pt>
                <c:pt idx="220">
                  <c:v>27.988999929782391</c:v>
                </c:pt>
                <c:pt idx="221">
                  <c:v>27.753354327234309</c:v>
                </c:pt>
                <c:pt idx="222">
                  <c:v>27.518325727014709</c:v>
                </c:pt>
                <c:pt idx="223">
                  <c:v>27.283933612109422</c:v>
                </c:pt>
                <c:pt idx="224">
                  <c:v>27.050195537641983</c:v>
                </c:pt>
                <c:pt idx="225">
                  <c:v>26.817127135596309</c:v>
                </c:pt>
                <c:pt idx="226">
                  <c:v>26.584742129872183</c:v>
                </c:pt>
                <c:pt idx="227">
                  <c:v>26.353052361058683</c:v>
                </c:pt>
                <c:pt idx="228">
                  <c:v>26.122067820248155</c:v>
                </c:pt>
                <c:pt idx="229">
                  <c:v>25.891796691162416</c:v>
                </c:pt>
                <c:pt idx="230">
                  <c:v>25.66224539983024</c:v>
                </c:pt>
                <c:pt idx="231">
                  <c:v>25.433418671025901</c:v>
                </c:pt>
                <c:pt idx="232">
                  <c:v>25.205319590667621</c:v>
                </c:pt>
                <c:pt idx="233">
                  <c:v>24.977949673371015</c:v>
                </c:pt>
                <c:pt idx="234">
                  <c:v>24.751308934359688</c:v>
                </c:pt>
                <c:pt idx="235">
                  <c:v>24.525395964951208</c:v>
                </c:pt>
                <c:pt idx="236">
                  <c:v>24.300208010859453</c:v>
                </c:pt>
                <c:pt idx="237">
                  <c:v>24.075741052589091</c:v>
                </c:pt>
                <c:pt idx="238">
                  <c:v>23.851989887228264</c:v>
                </c:pt>
                <c:pt idx="239">
                  <c:v>23.628948210993663</c:v>
                </c:pt>
                <c:pt idx="240">
                  <c:v>23.406608701923219</c:v>
                </c:pt>
                <c:pt idx="241">
                  <c:v>23.184963102161369</c:v>
                </c:pt>
                <c:pt idx="242">
                  <c:v>22.964002299332151</c:v>
                </c:pt>
                <c:pt idx="243">
                  <c:v>22.743716406544117</c:v>
                </c:pt>
                <c:pt idx="244">
                  <c:v>22.524094840625981</c:v>
                </c:pt>
                <c:pt idx="245">
                  <c:v>22.305126398237576</c:v>
                </c:pt>
                <c:pt idx="246">
                  <c:v>22.086799329554697</c:v>
                </c:pt>
                <c:pt idx="247">
                  <c:v>21.869101409271185</c:v>
                </c:pt>
                <c:pt idx="248">
                  <c:v>21.652020004707492</c:v>
                </c:pt>
                <c:pt idx="249">
                  <c:v>21.435542140859756</c:v>
                </c:pt>
                <c:pt idx="250">
                  <c:v>21.219654562261979</c:v>
                </c:pt>
                <c:pt idx="251">
                  <c:v>21.004343791572524</c:v>
                </c:pt>
                <c:pt idx="252">
                  <c:v>20.789596184828781</c:v>
                </c:pt>
                <c:pt idx="253">
                  <c:v>20.575397983348317</c:v>
                </c:pt>
                <c:pt idx="254">
                  <c:v>20.361735362279379</c:v>
                </c:pt>
                <c:pt idx="255">
                  <c:v>20.148594475830791</c:v>
                </c:pt>
                <c:pt idx="256">
                  <c:v>19.935961499232359</c:v>
                </c:pt>
                <c:pt idx="257">
                  <c:v>19.723822667496901</c:v>
                </c:pt>
                <c:pt idx="258">
                  <c:v>19.512164311069473</c:v>
                </c:pt>
                <c:pt idx="259">
                  <c:v>19.300972888465154</c:v>
                </c:pt>
                <c:pt idx="260">
                  <c:v>19.090235016006073</c:v>
                </c:pt>
                <c:pt idx="261">
                  <c:v>18.879937494778481</c:v>
                </c:pt>
                <c:pt idx="262">
                  <c:v>18.670067334936949</c:v>
                </c:pt>
                <c:pt idx="263">
                  <c:v>18.460611777487198</c:v>
                </c:pt>
                <c:pt idx="264">
                  <c:v>18.25155831368383</c:v>
                </c:pt>
                <c:pt idx="265">
                  <c:v>18.042894702178607</c:v>
                </c:pt>
                <c:pt idx="266">
                  <c:v>17.834608984057066</c:v>
                </c:pt>
                <c:pt idx="267">
                  <c:v>17.626689495899772</c:v>
                </c:pt>
                <c:pt idx="268">
                  <c:v>17.419124881002279</c:v>
                </c:pt>
                <c:pt idx="269">
                  <c:v>17.211904098884986</c:v>
                </c:pt>
                <c:pt idx="270">
                  <c:v>17.005016433221559</c:v>
                </c:pt>
                <c:pt idx="271">
                  <c:v>16.798451498309184</c:v>
                </c:pt>
                <c:pt idx="272">
                  <c:v>16.592199244199904</c:v>
                </c:pt>
                <c:pt idx="273">
                  <c:v>16.386249960606214</c:v>
                </c:pt>
                <c:pt idx="274">
                  <c:v>16.180594279691437</c:v>
                </c:pt>
                <c:pt idx="275">
                  <c:v>15.975223177846416</c:v>
                </c:pt>
                <c:pt idx="276">
                  <c:v>15.770127976549658</c:v>
                </c:pt>
                <c:pt idx="277">
                  <c:v>15.565300342403363</c:v>
                </c:pt>
                <c:pt idx="278">
                  <c:v>15.360732286430785</c:v>
                </c:pt>
                <c:pt idx="279">
                  <c:v>15.156416162713715</c:v>
                </c:pt>
                <c:pt idx="280">
                  <c:v>14.952344666444962</c:v>
                </c:pt>
                <c:pt idx="281">
                  <c:v>14.748510831463719</c:v>
                </c:pt>
                <c:pt idx="282">
                  <c:v>14.544908027336342</c:v>
                </c:pt>
                <c:pt idx="283">
                  <c:v>14.341529956039253</c:v>
                </c:pt>
                <c:pt idx="284">
                  <c:v>14.138370648297089</c:v>
                </c:pt>
                <c:pt idx="285">
                  <c:v>13.935424459620585</c:v>
                </c:pt>
                <c:pt idx="286">
                  <c:v>13.732686066087325</c:v>
                </c:pt>
                <c:pt idx="287">
                  <c:v>13.530150459901849</c:v>
                </c:pt>
                <c:pt idx="288">
                  <c:v>13.327812944766166</c:v>
                </c:pt>
                <c:pt idx="289">
                  <c:v>13.125669131089218</c:v>
                </c:pt>
                <c:pt idx="290">
                  <c:v>12.923714931057752</c:v>
                </c:pt>
                <c:pt idx="291">
                  <c:v>12.721946553588278</c:v>
                </c:pt>
                <c:pt idx="292">
                  <c:v>12.520360499173748</c:v>
                </c:pt>
                <c:pt idx="293">
                  <c:v>12.318953554637551</c:v>
                </c:pt>
                <c:pt idx="294">
                  <c:v>12.117722787801613</c:v>
                </c:pt>
                <c:pt idx="295">
                  <c:v>11.916665542071357</c:v>
                </c:pt>
                <c:pt idx="296">
                  <c:v>11.715779430940758</c:v>
                </c:pt>
                <c:pt idx="297">
                  <c:v>11.515062332410849</c:v>
                </c:pt>
                <c:pt idx="298">
                  <c:v>11.314512383319169</c:v>
                </c:pt>
                <c:pt idx="299">
                  <c:v>11.114127973569934</c:v>
                </c:pt>
                <c:pt idx="300">
                  <c:v>10.913907740252897</c:v>
                </c:pt>
                <c:pt idx="301">
                  <c:v>10.713850561637265</c:v>
                </c:pt>
                <c:pt idx="302">
                  <c:v>10.513955551023638</c:v>
                </c:pt>
                <c:pt idx="303">
                  <c:v>10.314222050435324</c:v>
                </c:pt>
                <c:pt idx="304">
                  <c:v>10.11464962412756</c:v>
                </c:pt>
                <c:pt idx="305">
                  <c:v>9.9152380518914693</c:v>
                </c:pt>
                <c:pt idx="306">
                  <c:v>9.7159873221282425</c:v>
                </c:pt>
                <c:pt idx="307">
                  <c:v>9.5168976246681094</c:v>
                </c:pt>
                <c:pt idx="308">
                  <c:v>9.3179693433048527</c:v>
                </c:pt>
                <c:pt idx="309">
                  <c:v>9.1192030480202408</c:v>
                </c:pt>
                <c:pt idx="310">
                  <c:v>8.9205994868676228</c:v>
                </c:pt>
                <c:pt idx="311">
                  <c:v>8.722159577487032</c:v>
                </c:pt>
                <c:pt idx="312">
                  <c:v>8.5238843982224974</c:v>
                </c:pt>
                <c:pt idx="313">
                  <c:v>8.3257751788140251</c:v>
                </c:pt>
                <c:pt idx="314">
                  <c:v>8.1278332906372057</c:v>
                </c:pt>
                <c:pt idx="315">
                  <c:v>7.9300602364659163</c:v>
                </c:pt>
                <c:pt idx="316">
                  <c:v>7.7324576397337372</c:v>
                </c:pt>
                <c:pt idx="317">
                  <c:v>7.5350272332761916</c:v>
                </c:pt>
                <c:pt idx="318">
                  <c:v>7.3377708475356309</c:v>
                </c:pt>
                <c:pt idx="319">
                  <c:v>7.1406903982173251</c:v>
                </c:pt>
                <c:pt idx="320">
                  <c:v>6.94378787338837</c:v>
                </c:pt>
                <c:pt idx="321">
                  <c:v>6.7470653200203277</c:v>
                </c:pt>
                <c:pt idx="322">
                  <c:v>6.5505248299761973</c:v>
                </c:pt>
                <c:pt idx="323">
                  <c:v>6.3541685254581139</c:v>
                </c:pt>
                <c:pt idx="324">
                  <c:v>6.1579985439327931</c:v>
                </c:pt>
                <c:pt idx="325">
                  <c:v>5.9620170225660445</c:v>
                </c:pt>
                <c:pt idx="326">
                  <c:v>5.7662260822024525</c:v>
                </c:pt>
                <c:pt idx="327">
                  <c:v>5.5706278109420388</c:v>
                </c:pt>
                <c:pt idx="328">
                  <c:v>5.3752242473724543</c:v>
                </c:pt>
                <c:pt idx="329">
                  <c:v>5.1800173635273348</c:v>
                </c:pt>
                <c:pt idx="330">
                  <c:v>4.9850090476575959</c:v>
                </c:pt>
                <c:pt idx="331">
                  <c:v>4.7902010869089642</c:v>
                </c:pt>
                <c:pt idx="332">
                  <c:v>4.5955951500160532</c:v>
                </c:pt>
                <c:pt idx="333">
                  <c:v>4.401192770135002</c:v>
                </c:pt>
                <c:pt idx="334">
                  <c:v>4.2069953279478769</c:v>
                </c:pt>
                <c:pt idx="335">
                  <c:v>4.0130040351852259</c:v>
                </c:pt>
                <c:pt idx="336">
                  <c:v>3.8192199187259463</c:v>
                </c:pt>
                <c:pt idx="337">
                  <c:v>3.6256438054407307</c:v>
                </c:pt>
                <c:pt idx="338">
                  <c:v>3.4322763079589964</c:v>
                </c:pt>
                <c:pt idx="339">
                  <c:v>3.2391178115431432</c:v>
                </c:pt>
                <c:pt idx="340">
                  <c:v>3.0461684622641223</c:v>
                </c:pt>
                <c:pt idx="341">
                  <c:v>2.8534281566718351</c:v>
                </c:pt>
                <c:pt idx="342">
                  <c:v>2.6608965331602548</c:v>
                </c:pt>
                <c:pt idx="343">
                  <c:v>2.4685729652229842</c:v>
                </c:pt>
                <c:pt idx="344">
                  <c:v>2.276456556792767</c:v>
                </c:pt>
                <c:pt idx="345">
                  <c:v>2.084546139850703</c:v>
                </c:pt>
                <c:pt idx="346">
                  <c:v>1.8928402744831674</c:v>
                </c:pt>
                <c:pt idx="347">
                  <c:v>1.7013372515477938</c:v>
                </c:pt>
                <c:pt idx="348">
                  <c:v>1.5100350980971078</c:v>
                </c:pt>
                <c:pt idx="349">
                  <c:v>1.3189315856849335</c:v>
                </c:pt>
                <c:pt idx="350">
                  <c:v>1.1280242416623949</c:v>
                </c:pt>
                <c:pt idx="351">
                  <c:v>0.93731036353790942</c:v>
                </c:pt>
                <c:pt idx="352">
                  <c:v>0.74678703645465028</c:v>
                </c:pt>
                <c:pt idx="353">
                  <c:v>0.5564511538027217</c:v>
                </c:pt>
                <c:pt idx="354">
                  <c:v>0.36629944095180605</c:v>
                </c:pt>
                <c:pt idx="355">
                  <c:v>0.1763284820577293</c:v>
                </c:pt>
                <c:pt idx="356">
                  <c:v>-1.3465250139800438E-2</c:v>
                </c:pt>
                <c:pt idx="357">
                  <c:v>-0.20308536164594193</c:v>
                </c:pt>
                <c:pt idx="358">
                  <c:v>-0.39253550181668917</c:v>
                </c:pt>
                <c:pt idx="359">
                  <c:v>-0.58181932542764869</c:v>
                </c:pt>
                <c:pt idx="360">
                  <c:v>-0.77094045242123777</c:v>
                </c:pt>
                <c:pt idx="361">
                  <c:v>-0.95990242557690231</c:v>
                </c:pt>
                <c:pt idx="362">
                  <c:v>-1.1487086663747099</c:v>
                </c:pt>
                <c:pt idx="363">
                  <c:v>-1.3373624293450397</c:v>
                </c:pt>
                <c:pt idx="364">
                  <c:v>-1.5258667552134033</c:v>
                </c:pt>
                <c:pt idx="365">
                  <c:v>-1.714224423163988</c:v>
                </c:pt>
                <c:pt idx="366">
                  <c:v>-1.9024379025531581</c:v>
                </c:pt>
                <c:pt idx="367">
                  <c:v>-2.0905093044082457</c:v>
                </c:pt>
                <c:pt idx="368">
                  <c:v>-2.2784403330427407</c:v>
                </c:pt>
                <c:pt idx="369">
                  <c:v>-2.4662322381158051</c:v>
                </c:pt>
                <c:pt idx="370">
                  <c:v>-2.6538857674493039</c:v>
                </c:pt>
                <c:pt idx="371">
                  <c:v>-2.8414011209015335</c:v>
                </c:pt>
                <c:pt idx="372">
                  <c:v>-3.0287779055739072</c:v>
                </c:pt>
                <c:pt idx="373">
                  <c:v>-3.2160150926079596</c:v>
                </c:pt>
                <c:pt idx="374">
                  <c:v>-3.4031109757969489</c:v>
                </c:pt>
                <c:pt idx="375">
                  <c:v>-3.5900631322107124</c:v>
                </c:pt>
                <c:pt idx="376">
                  <c:v>-3.7768683850033695</c:v>
                </c:pt>
                <c:pt idx="377">
                  <c:v>-3.9635227685354915</c:v>
                </c:pt>
                <c:pt idx="378">
                  <c:v>-4.1500214959154462</c:v>
                </c:pt>
                <c:pt idx="379">
                  <c:v>-4.3363589290304452</c:v>
                </c:pt>
                <c:pt idx="380">
                  <c:v>-4.5225285511068529</c:v>
                </c:pt>
                <c:pt idx="381">
                  <c:v>-4.7085229418092114</c:v>
                </c:pt>
                <c:pt idx="382">
                  <c:v>-4.8943337548622559</c:v>
                </c:pt>
                <c:pt idx="383">
                  <c:v>-5.0799516981523896</c:v>
                </c:pt>
                <c:pt idx="384">
                  <c:v>-5.2653665162468046</c:v>
                </c:pt>
                <c:pt idx="385">
                  <c:v>-5.4505669752450405</c:v>
                </c:pt>
                <c:pt idx="386">
                  <c:v>-5.6355408498682316</c:v>
                </c:pt>
                <c:pt idx="387">
                  <c:v>-5.8202749126749609</c:v>
                </c:pt>
                <c:pt idx="388">
                  <c:v>-6.0047549252873891</c:v>
                </c:pt>
                <c:pt idx="389">
                  <c:v>-6.1889656315056785</c:v>
                </c:pt>
                <c:pt idx="390">
                  <c:v>-6.372890752189039</c:v>
                </c:pt>
                <c:pt idx="391">
                  <c:v>-6.5565129817825172</c:v>
                </c:pt>
                <c:pt idx="392">
                  <c:v>-6.739813986377027</c:v>
                </c:pt>
                <c:pt idx="393">
                  <c:v>-6.9227744031951719</c:v>
                </c:pt>
                <c:pt idx="394">
                  <c:v>-7.1053738414108158</c:v>
                </c:pt>
                <c:pt idx="395">
                  <c:v>-7.2875908842200721</c:v>
                </c:pt>
                <c:pt idx="396">
                  <c:v>-7.4694030920989931</c:v>
                </c:pt>
                <c:pt idx="397">
                  <c:v>-7.6507870072016928</c:v>
                </c:pt>
                <c:pt idx="398">
                  <c:v>-7.8317181588677984</c:v>
                </c:pt>
                <c:pt idx="399">
                  <c:v>-8.012171070231723</c:v>
                </c:pt>
                <c:pt idx="400">
                  <c:v>-8.1921192659428446</c:v>
                </c:pt>
                <c:pt idx="401">
                  <c:v>-8.3715352810302335</c:v>
                </c:pt>
                <c:pt idx="402">
                  <c:v>-8.5503906709630595</c:v>
                </c:pt>
                <c:pt idx="403">
                  <c:v>-8.7286560229794379</c:v>
                </c:pt>
                <c:pt idx="404">
                  <c:v>-8.9063009687772663</c:v>
                </c:pt>
                <c:pt idx="405">
                  <c:v>-9.0832941986786953</c:v>
                </c:pt>
                <c:pt idx="406">
                  <c:v>-9.2596034773988283</c:v>
                </c:pt>
                <c:pt idx="407">
                  <c:v>-9.4351956615625898</c:v>
                </c:pt>
                <c:pt idx="408">
                  <c:v>-9.6100367191368949</c:v>
                </c:pt>
                <c:pt idx="409">
                  <c:v>-9.7840917509466134</c:v>
                </c:pt>
                <c:pt idx="410">
                  <c:v>-9.9573250144670631</c:v>
                </c:pt>
                <c:pt idx="411">
                  <c:v>-10.129699950082582</c:v>
                </c:pt>
                <c:pt idx="412">
                  <c:v>-10.30117921001867</c:v>
                </c:pt>
                <c:pt idx="413">
                  <c:v>-10.47172469014818</c:v>
                </c:pt>
                <c:pt idx="414">
                  <c:v>-10.641297564882159</c:v>
                </c:pt>
                <c:pt idx="415">
                  <c:v>-10.809858325347392</c:v>
                </c:pt>
                <c:pt idx="416">
                  <c:v>-10.977366821051708</c:v>
                </c:pt>
                <c:pt idx="417">
                  <c:v>-11.143782305226368</c:v>
                </c:pt>
                <c:pt idx="418">
                  <c:v>-11.309063484023296</c:v>
                </c:pt>
                <c:pt idx="419">
                  <c:v>-11.473168569731673</c:v>
                </c:pt>
                <c:pt idx="420">
                  <c:v>-11.636055338153808</c:v>
                </c:pt>
                <c:pt idx="421">
                  <c:v>-11.797681190260413</c:v>
                </c:pt>
                <c:pt idx="422">
                  <c:v>-11.958003218218201</c:v>
                </c:pt>
                <c:pt idx="423">
                  <c:v>-12.116978275847446</c:v>
                </c:pt>
                <c:pt idx="424">
                  <c:v>-12.274563053538303</c:v>
                </c:pt>
                <c:pt idx="425">
                  <c:v>-12.430714157610424</c:v>
                </c:pt>
                <c:pt idx="426">
                  <c:v>-12.585388194063116</c:v>
                </c:pt>
                <c:pt idx="427">
                  <c:v>-12.738541856614187</c:v>
                </c:pt>
                <c:pt idx="428">
                  <c:v>-12.89013201888131</c:v>
                </c:pt>
                <c:pt idx="429">
                  <c:v>-13.040115830508068</c:v>
                </c:pt>
                <c:pt idx="430">
                  <c:v>-13.188450816982398</c:v>
                </c:pt>
                <c:pt idx="431">
                  <c:v>-13.335094982846654</c:v>
                </c:pt>
                <c:pt idx="432">
                  <c:v>-13.480006917939747</c:v>
                </c:pt>
                <c:pt idx="433">
                  <c:v>-13.623145906259671</c:v>
                </c:pt>
                <c:pt idx="434">
                  <c:v>-13.764472036981923</c:v>
                </c:pt>
                <c:pt idx="435">
                  <c:v>-13.90394631711751</c:v>
                </c:pt>
                <c:pt idx="436">
                  <c:v>-14.04153078524158</c:v>
                </c:pt>
                <c:pt idx="437">
                  <c:v>-14.177188625685119</c:v>
                </c:pt>
                <c:pt idx="438">
                  <c:v>-14.310884282534413</c:v>
                </c:pt>
                <c:pt idx="439">
                  <c:v>-14.442583572749449</c:v>
                </c:pt>
                <c:pt idx="440">
                  <c:v>-14.572253797682862</c:v>
                </c:pt>
                <c:pt idx="441">
                  <c:v>-14.69986385225762</c:v>
                </c:pt>
                <c:pt idx="442">
                  <c:v>-14.825384331046145</c:v>
                </c:pt>
                <c:pt idx="443">
                  <c:v>-14.948787630486889</c:v>
                </c:pt>
                <c:pt idx="444">
                  <c:v>-15.070048046477019</c:v>
                </c:pt>
                <c:pt idx="445">
                  <c:v>-15.189141866590994</c:v>
                </c:pt>
                <c:pt idx="446">
                  <c:v>-15.306047456195071</c:v>
                </c:pt>
                <c:pt idx="447">
                  <c:v>-15.420745337759909</c:v>
                </c:pt>
                <c:pt idx="448">
                  <c:v>-15.533218262712317</c:v>
                </c:pt>
                <c:pt idx="449">
                  <c:v>-15.643451275218128</c:v>
                </c:pt>
                <c:pt idx="450">
                  <c:v>-15.751431767343755</c:v>
                </c:pt>
                <c:pt idx="451">
                  <c:v>-15.857149525114263</c:v>
                </c:pt>
                <c:pt idx="452">
                  <c:v>-15.960596765055424</c:v>
                </c:pt>
                <c:pt idx="453">
                  <c:v>-16.061768160890008</c:v>
                </c:pt>
                <c:pt idx="454">
                  <c:v>-16.160660860141455</c:v>
                </c:pt>
                <c:pt idx="455">
                  <c:v>-16.257274490488573</c:v>
                </c:pt>
                <c:pt idx="456">
                  <c:v>-16.351611155804644</c:v>
                </c:pt>
                <c:pt idx="457">
                  <c:v>-16.443675421908392</c:v>
                </c:pt>
                <c:pt idx="458">
                  <c:v>-16.533474292144714</c:v>
                </c:pt>
                <c:pt idx="459">
                  <c:v>-16.621017173004638</c:v>
                </c:pt>
                <c:pt idx="460">
                  <c:v>-16.706315830080179</c:v>
                </c:pt>
                <c:pt idx="461">
                  <c:v>-16.789384334733747</c:v>
                </c:pt>
                <c:pt idx="462">
                  <c:v>-16.870239001937723</c:v>
                </c:pt>
                <c:pt idx="463">
                  <c:v>-16.948898319810187</c:v>
                </c:pt>
                <c:pt idx="464">
                  <c:v>-17.025382871437067</c:v>
                </c:pt>
                <c:pt idx="465">
                  <c:v>-17.099715249622754</c:v>
                </c:pt>
                <c:pt idx="466">
                  <c:v>-17.171919965259683</c:v>
                </c:pt>
                <c:pt idx="467">
                  <c:v>-17.242023350040427</c:v>
                </c:pt>
                <c:pt idx="468">
                  <c:v>-17.310053454264693</c:v>
                </c:pt>
                <c:pt idx="469">
                  <c:v>-17.376039940508065</c:v>
                </c:pt>
                <c:pt idx="470">
                  <c:v>-17.440013973930604</c:v>
                </c:pt>
                <c:pt idx="471">
                  <c:v>-17.502008109996808</c:v>
                </c:pt>
                <c:pt idx="472">
                  <c:v>-17.562056180372327</c:v>
                </c:pt>
                <c:pt idx="473">
                  <c:v>-17.620193177743715</c:v>
                </c:pt>
                <c:pt idx="474">
                  <c:v>-17.676455140279931</c:v>
                </c:pt>
                <c:pt idx="475">
                  <c:v>-17.730879036424252</c:v>
                </c:pt>
                <c:pt idx="476">
                  <c:v>-17.783502650668595</c:v>
                </c:pt>
                <c:pt idx="477">
                  <c:v>-17.834364470915361</c:v>
                </c:pt>
                <c:pt idx="478">
                  <c:v>-17.883503577991139</c:v>
                </c:pt>
                <c:pt idx="479">
                  <c:v>-17.930959537823593</c:v>
                </c:pt>
                <c:pt idx="480">
                  <c:v>-17.976772296741739</c:v>
                </c:pt>
                <c:pt idx="481">
                  <c:v>-18.020982080309501</c:v>
                </c:pt>
                <c:pt idx="482">
                  <c:v>-18.063629296046852</c:v>
                </c:pt>
                <c:pt idx="483">
                  <c:v>-18.104754440340272</c:v>
                </c:pt>
                <c:pt idx="484">
                  <c:v>-18.144398009795911</c:v>
                </c:pt>
                <c:pt idx="485">
                  <c:v>-18.182600417232269</c:v>
                </c:pt>
                <c:pt idx="486">
                  <c:v>-18.2194019124662</c:v>
                </c:pt>
                <c:pt idx="487">
                  <c:v>-18.254842507999108</c:v>
                </c:pt>
                <c:pt idx="488">
                  <c:v>-18.288961909664309</c:v>
                </c:pt>
                <c:pt idx="489">
                  <c:v>-18.321799452260272</c:v>
                </c:pt>
                <c:pt idx="490">
                  <c:v>-18.353394040154893</c:v>
                </c:pt>
                <c:pt idx="491">
                  <c:v>-18.383784092814885</c:v>
                </c:pt>
                <c:pt idx="492">
                  <c:v>-18.413007495180938</c:v>
                </c:pt>
                <c:pt idx="493">
                  <c:v>-18.441101552787739</c:v>
                </c:pt>
                <c:pt idx="494">
                  <c:v>-18.468102951499638</c:v>
                </c:pt>
                <c:pt idx="495">
                  <c:v>-18.494047721716395</c:v>
                </c:pt>
                <c:pt idx="496">
                  <c:v>-18.518971206884665</c:v>
                </c:pt>
                <c:pt idx="497">
                  <c:v>-18.542908036138574</c:v>
                </c:pt>
                <c:pt idx="498">
                  <c:v>-18.565892100881729</c:v>
                </c:pt>
                <c:pt idx="499">
                  <c:v>-18.587956535112479</c:v>
                </c:pt>
                <c:pt idx="500">
                  <c:v>-18.609133699292297</c:v>
                </c:pt>
                <c:pt idx="501">
                  <c:v>-18.629455167550756</c:v>
                </c:pt>
                <c:pt idx="502">
                  <c:v>-18.64895171801955</c:v>
                </c:pt>
                <c:pt idx="503">
                  <c:v>-18.667653326088395</c:v>
                </c:pt>
                <c:pt idx="504">
                  <c:v>-18.685589160379273</c:v>
                </c:pt>
                <c:pt idx="505">
                  <c:v>-18.702787581233995</c:v>
                </c:pt>
                <c:pt idx="506">
                  <c:v>-18.719276141520965</c:v>
                </c:pt>
                <c:pt idx="507">
                  <c:v>-18.735081589565809</c:v>
                </c:pt>
                <c:pt idx="508">
                  <c:v>-18.750229874023006</c:v>
                </c:pt>
                <c:pt idx="509">
                  <c:v>-18.764746150506312</c:v>
                </c:pt>
                <c:pt idx="510">
                  <c:v>-18.778654789809725</c:v>
                </c:pt>
                <c:pt idx="511">
                  <c:v>-18.791979387553887</c:v>
                </c:pt>
                <c:pt idx="512">
                  <c:v>-18.804742775101214</c:v>
                </c:pt>
                <c:pt idx="513">
                  <c:v>-18.816967031596224</c:v>
                </c:pt>
                <c:pt idx="514">
                  <c:v>-18.828673496989552</c:v>
                </c:pt>
                <c:pt idx="515">
                  <c:v>-18.839882785916167</c:v>
                </c:pt>
                <c:pt idx="516">
                  <c:v>-18.850614802307501</c:v>
                </c:pt>
                <c:pt idx="517">
                  <c:v>-18.86088875462162</c:v>
                </c:pt>
                <c:pt idx="518">
                  <c:v>-18.870723171588999</c:v>
                </c:pt>
                <c:pt idx="519">
                  <c:v>-18.880135918372801</c:v>
                </c:pt>
                <c:pt idx="520">
                  <c:v>-18.889144213057882</c:v>
                </c:pt>
                <c:pt idx="521">
                  <c:v>-18.897764643381123</c:v>
                </c:pt>
                <c:pt idx="522">
                  <c:v>-18.906013183632211</c:v>
                </c:pt>
                <c:pt idx="523">
                  <c:v>-18.91390521165161</c:v>
                </c:pt>
                <c:pt idx="524">
                  <c:v>-18.921455525866474</c:v>
                </c:pt>
                <c:pt idx="525">
                  <c:v>-18.928678362304101</c:v>
                </c:pt>
                <c:pt idx="526">
                  <c:v>-18.935587411537803</c:v>
                </c:pt>
                <c:pt idx="527">
                  <c:v>-18.942195835511136</c:v>
                </c:pt>
                <c:pt idx="528">
                  <c:v>-18.948516284207479</c:v>
                </c:pt>
                <c:pt idx="529">
                  <c:v>-18.954560912124201</c:v>
                </c:pt>
                <c:pt idx="530">
                  <c:v>-18.960341394522736</c:v>
                </c:pt>
                <c:pt idx="531">
                  <c:v>-18.965868943421842</c:v>
                </c:pt>
                <c:pt idx="532">
                  <c:v>-18.971154323317485</c:v>
                </c:pt>
                <c:pt idx="533">
                  <c:v>-18.97620786660093</c:v>
                </c:pt>
                <c:pt idx="534">
                  <c:v>-18.9810394886631</c:v>
                </c:pt>
                <c:pt idx="535">
                  <c:v>-18.985658702668598</c:v>
                </c:pt>
                <c:pt idx="536">
                  <c:v>-18.990074633986708</c:v>
                </c:pt>
                <c:pt idx="537">
                  <c:v>-18.9942960342714</c:v>
                </c:pt>
                <c:pt idx="538">
                  <c:v>-18.998331295182176</c:v>
                </c:pt>
                <c:pt idx="539">
                  <c:v>-19.002188461740733</c:v>
                </c:pt>
                <c:pt idx="540">
                  <c:v>-19.005875245319981</c:v>
                </c:pt>
                <c:pt idx="541">
                  <c:v>-19.009399036262934</c:v>
                </c:pt>
              </c:numCache>
            </c:numRef>
          </c:yVal>
          <c:smooth val="1"/>
          <c:extLst>
            <c:ext xmlns:c16="http://schemas.microsoft.com/office/drawing/2014/chart" uri="{C3380CC4-5D6E-409C-BE32-E72D297353CC}">
              <c16:uniqueId val="{00000000-F11A-4C29-9835-786B9CEC5C6A}"/>
            </c:ext>
          </c:extLst>
        </c:ser>
        <c:dLbls>
          <c:showLegendKey val="0"/>
          <c:showVal val="0"/>
          <c:showCatName val="0"/>
          <c:showSerName val="0"/>
          <c:showPercent val="0"/>
          <c:showBubbleSize val="0"/>
        </c:dLbls>
        <c:axId val="555344640"/>
        <c:axId val="555346560"/>
      </c:scatterChart>
      <c:scatterChart>
        <c:scatterStyle val="smoothMarker"/>
        <c:varyColors val="0"/>
        <c:ser>
          <c:idx val="1"/>
          <c:order val="1"/>
          <c:spPr>
            <a:ln w="38100">
              <a:solidFill>
                <a:schemeClr val="tx1">
                  <a:lumMod val="95000"/>
                  <a:lumOff val="5000"/>
                </a:schemeClr>
              </a:solidFill>
              <a:prstDash val="sysDash"/>
            </a:ln>
          </c:spPr>
          <c:marker>
            <c:symbol val="none"/>
          </c:marker>
          <c:xVal>
            <c:numRef>
              <c:f>Loop_Modeling!$O$19:$O$560</c:f>
              <c:numCache>
                <c:formatCode>0.00</c:formatCode>
                <c:ptCount val="542"/>
                <c:pt idx="0">
                  <c:v>10.232929922807543</c:v>
                </c:pt>
                <c:pt idx="1">
                  <c:v>10.471285480509</c:v>
                </c:pt>
                <c:pt idx="2">
                  <c:v>10.715193052376069</c:v>
                </c:pt>
                <c:pt idx="3">
                  <c:v>10.964781961431854</c:v>
                </c:pt>
                <c:pt idx="4">
                  <c:v>11.220184543019636</c:v>
                </c:pt>
                <c:pt idx="5">
                  <c:v>11.481536214968834</c:v>
                </c:pt>
                <c:pt idx="6">
                  <c:v>11.748975549395301</c:v>
                </c:pt>
                <c:pt idx="7">
                  <c:v>12.022644346174133</c:v>
                </c:pt>
                <c:pt idx="8">
                  <c:v>12.302687708123818</c:v>
                </c:pt>
                <c:pt idx="9">
                  <c:v>12.58925411794168</c:v>
                </c:pt>
                <c:pt idx="10">
                  <c:v>12.882495516931346</c:v>
                </c:pt>
                <c:pt idx="11">
                  <c:v>13.182567385564075</c:v>
                </c:pt>
                <c:pt idx="12">
                  <c:v>13.489628825916535</c:v>
                </c:pt>
                <c:pt idx="13">
                  <c:v>13.803842646028857</c:v>
                </c:pt>
                <c:pt idx="14">
                  <c:v>14.125375446227544</c:v>
                </c:pt>
                <c:pt idx="15">
                  <c:v>14.454397707459275</c:v>
                </c:pt>
                <c:pt idx="16">
                  <c:v>14.791083881682074</c:v>
                </c:pt>
                <c:pt idx="17">
                  <c:v>15.135612484362087</c:v>
                </c:pt>
                <c:pt idx="18">
                  <c:v>15.488166189124817</c:v>
                </c:pt>
                <c:pt idx="19">
                  <c:v>15.848931924611136</c:v>
                </c:pt>
                <c:pt idx="20">
                  <c:v>16.218100973589298</c:v>
                </c:pt>
                <c:pt idx="21">
                  <c:v>16.595869074375614</c:v>
                </c:pt>
                <c:pt idx="22">
                  <c:v>16.982436524617448</c:v>
                </c:pt>
                <c:pt idx="23">
                  <c:v>17.378008287493756</c:v>
                </c:pt>
                <c:pt idx="24">
                  <c:v>17.782794100389236</c:v>
                </c:pt>
                <c:pt idx="25">
                  <c:v>18.197008586099841</c:v>
                </c:pt>
                <c:pt idx="26">
                  <c:v>18.62087136662868</c:v>
                </c:pt>
                <c:pt idx="27">
                  <c:v>19.054607179632477</c:v>
                </c:pt>
                <c:pt idx="28">
                  <c:v>19.498445997580465</c:v>
                </c:pt>
                <c:pt idx="29">
                  <c:v>19.952623149688804</c:v>
                </c:pt>
                <c:pt idx="30">
                  <c:v>20.4173794466953</c:v>
                </c:pt>
                <c:pt idx="31">
                  <c:v>20.8929613085404</c:v>
                </c:pt>
                <c:pt idx="32">
                  <c:v>21.379620895022335</c:v>
                </c:pt>
                <c:pt idx="33">
                  <c:v>21.877616239495538</c:v>
                </c:pt>
                <c:pt idx="34">
                  <c:v>22.387211385683404</c:v>
                </c:pt>
                <c:pt idx="35">
                  <c:v>22.908676527677727</c:v>
                </c:pt>
                <c:pt idx="36">
                  <c:v>23.442288153199236</c:v>
                </c:pt>
                <c:pt idx="37">
                  <c:v>23.988329190194907</c:v>
                </c:pt>
                <c:pt idx="38">
                  <c:v>24.547089156850316</c:v>
                </c:pt>
                <c:pt idx="39">
                  <c:v>25.118864315095799</c:v>
                </c:pt>
                <c:pt idx="40">
                  <c:v>25.703957827688647</c:v>
                </c:pt>
                <c:pt idx="41">
                  <c:v>26.302679918953825</c:v>
                </c:pt>
                <c:pt idx="42">
                  <c:v>26.915348039269158</c:v>
                </c:pt>
                <c:pt idx="43">
                  <c:v>27.542287033381665</c:v>
                </c:pt>
                <c:pt idx="44">
                  <c:v>28.183829312644548</c:v>
                </c:pt>
                <c:pt idx="45">
                  <c:v>28.840315031266066</c:v>
                </c:pt>
                <c:pt idx="46">
                  <c:v>29.512092266663863</c:v>
                </c:pt>
                <c:pt idx="47">
                  <c:v>30.199517204020164</c:v>
                </c:pt>
                <c:pt idx="48">
                  <c:v>30.902954325135919</c:v>
                </c:pt>
                <c:pt idx="49">
                  <c:v>31.622776601683803</c:v>
                </c:pt>
                <c:pt idx="50">
                  <c:v>32.359365692962832</c:v>
                </c:pt>
                <c:pt idx="51">
                  <c:v>33.113112148259127</c:v>
                </c:pt>
                <c:pt idx="52">
                  <c:v>33.884415613920268</c:v>
                </c:pt>
                <c:pt idx="53">
                  <c:v>34.67368504525318</c:v>
                </c:pt>
                <c:pt idx="54">
                  <c:v>35.481338923357555</c:v>
                </c:pt>
                <c:pt idx="55">
                  <c:v>36.307805477010156</c:v>
                </c:pt>
                <c:pt idx="56">
                  <c:v>37.15352290971726</c:v>
                </c:pt>
                <c:pt idx="57">
                  <c:v>38.018939632056139</c:v>
                </c:pt>
                <c:pt idx="58">
                  <c:v>38.904514499428053</c:v>
                </c:pt>
                <c:pt idx="59">
                  <c:v>39.810717055349755</c:v>
                </c:pt>
                <c:pt idx="60">
                  <c:v>40.738027780411279</c:v>
                </c:pt>
                <c:pt idx="61">
                  <c:v>41.686938347033561</c:v>
                </c:pt>
                <c:pt idx="62">
                  <c:v>42.657951880159267</c:v>
                </c:pt>
                <c:pt idx="63">
                  <c:v>43.651583224016633</c:v>
                </c:pt>
                <c:pt idx="64">
                  <c:v>44.668359215096324</c:v>
                </c:pt>
                <c:pt idx="65">
                  <c:v>45.70881896148753</c:v>
                </c:pt>
                <c:pt idx="66">
                  <c:v>46.773514128719818</c:v>
                </c:pt>
                <c:pt idx="67">
                  <c:v>47.863009232263877</c:v>
                </c:pt>
                <c:pt idx="68">
                  <c:v>48.977881936844632</c:v>
                </c:pt>
                <c:pt idx="69">
                  <c:v>50.118723362727238</c:v>
                </c:pt>
                <c:pt idx="70">
                  <c:v>51.28613839913649</c:v>
                </c:pt>
                <c:pt idx="71">
                  <c:v>52.480746024977286</c:v>
                </c:pt>
                <c:pt idx="72">
                  <c:v>53.703179637025293</c:v>
                </c:pt>
                <c:pt idx="73">
                  <c:v>54.95408738576247</c:v>
                </c:pt>
                <c:pt idx="74">
                  <c:v>56.234132519034915</c:v>
                </c:pt>
                <c:pt idx="75">
                  <c:v>57.543993733715695</c:v>
                </c:pt>
                <c:pt idx="76">
                  <c:v>58.884365535558949</c:v>
                </c:pt>
                <c:pt idx="77">
                  <c:v>60.255958607435822</c:v>
                </c:pt>
                <c:pt idx="78">
                  <c:v>61.659500186148257</c:v>
                </c:pt>
                <c:pt idx="79">
                  <c:v>63.095734448019364</c:v>
                </c:pt>
                <c:pt idx="80">
                  <c:v>64.565422903465588</c:v>
                </c:pt>
                <c:pt idx="81">
                  <c:v>66.069344800759623</c:v>
                </c:pt>
                <c:pt idx="82">
                  <c:v>67.60829753919819</c:v>
                </c:pt>
                <c:pt idx="83">
                  <c:v>69.183097091893657</c:v>
                </c:pt>
                <c:pt idx="84">
                  <c:v>70.794578438413865</c:v>
                </c:pt>
                <c:pt idx="85">
                  <c:v>72.443596007499011</c:v>
                </c:pt>
                <c:pt idx="86">
                  <c:v>74.131024130091816</c:v>
                </c:pt>
                <c:pt idx="87">
                  <c:v>75.857757502918361</c:v>
                </c:pt>
                <c:pt idx="88">
                  <c:v>77.624711662869217</c:v>
                </c:pt>
                <c:pt idx="89">
                  <c:v>79.432823472428197</c:v>
                </c:pt>
                <c:pt idx="90">
                  <c:v>81.283051616409963</c:v>
                </c:pt>
                <c:pt idx="91">
                  <c:v>83.176377110267126</c:v>
                </c:pt>
                <c:pt idx="92">
                  <c:v>85.113803820237734</c:v>
                </c:pt>
                <c:pt idx="93">
                  <c:v>87.096358995608071</c:v>
                </c:pt>
                <c:pt idx="94">
                  <c:v>89.125093813374562</c:v>
                </c:pt>
                <c:pt idx="95">
                  <c:v>91.201083935590972</c:v>
                </c:pt>
                <c:pt idx="96">
                  <c:v>93.325430079699174</c:v>
                </c:pt>
                <c:pt idx="97">
                  <c:v>95.499258602143655</c:v>
                </c:pt>
                <c:pt idx="98">
                  <c:v>97.723722095581124</c:v>
                </c:pt>
                <c:pt idx="99">
                  <c:v>100</c:v>
                </c:pt>
                <c:pt idx="100">
                  <c:v>102.32929922807544</c:v>
                </c:pt>
                <c:pt idx="101">
                  <c:v>104.71285480508998</c:v>
                </c:pt>
                <c:pt idx="102">
                  <c:v>107.15193052376065</c:v>
                </c:pt>
                <c:pt idx="103">
                  <c:v>109.64781961431861</c:v>
                </c:pt>
                <c:pt idx="104">
                  <c:v>112.20184543019634</c:v>
                </c:pt>
                <c:pt idx="105">
                  <c:v>114.81536214968835</c:v>
                </c:pt>
                <c:pt idx="106">
                  <c:v>117.48975549395293</c:v>
                </c:pt>
                <c:pt idx="107">
                  <c:v>120.22644346174135</c:v>
                </c:pt>
                <c:pt idx="108">
                  <c:v>123.02687708123821</c:v>
                </c:pt>
                <c:pt idx="109">
                  <c:v>125.89254117941677</c:v>
                </c:pt>
                <c:pt idx="110">
                  <c:v>128.82495516931343</c:v>
                </c:pt>
                <c:pt idx="111">
                  <c:v>131.82567385564084</c:v>
                </c:pt>
                <c:pt idx="112">
                  <c:v>134.89628825916537</c:v>
                </c:pt>
                <c:pt idx="113">
                  <c:v>138.0384264602886</c:v>
                </c:pt>
                <c:pt idx="114">
                  <c:v>141.25375446227542</c:v>
                </c:pt>
                <c:pt idx="115">
                  <c:v>144.54397707459285</c:v>
                </c:pt>
                <c:pt idx="116">
                  <c:v>147.91083881682084</c:v>
                </c:pt>
                <c:pt idx="117">
                  <c:v>151.3561248436209</c:v>
                </c:pt>
                <c:pt idx="118">
                  <c:v>154.8816618912482</c:v>
                </c:pt>
                <c:pt idx="119">
                  <c:v>158.48931924611153</c:v>
                </c:pt>
                <c:pt idx="120">
                  <c:v>162.18100973589304</c:v>
                </c:pt>
                <c:pt idx="121">
                  <c:v>165.95869074375622</c:v>
                </c:pt>
                <c:pt idx="122">
                  <c:v>169.82436524617444</c:v>
                </c:pt>
                <c:pt idx="123">
                  <c:v>173.78008287493768</c:v>
                </c:pt>
                <c:pt idx="124">
                  <c:v>177.82794100389242</c:v>
                </c:pt>
                <c:pt idx="125">
                  <c:v>181.9700858609983</c:v>
                </c:pt>
                <c:pt idx="126">
                  <c:v>186.20871366628685</c:v>
                </c:pt>
                <c:pt idx="127">
                  <c:v>190.54607179632498</c:v>
                </c:pt>
                <c:pt idx="128">
                  <c:v>194.98445997580458</c:v>
                </c:pt>
                <c:pt idx="129">
                  <c:v>199.52623149688802</c:v>
                </c:pt>
                <c:pt idx="130">
                  <c:v>204.17379446695315</c:v>
                </c:pt>
                <c:pt idx="131">
                  <c:v>208.92961308540396</c:v>
                </c:pt>
                <c:pt idx="132">
                  <c:v>213.79620895022339</c:v>
                </c:pt>
                <c:pt idx="133">
                  <c:v>218.77616239495524</c:v>
                </c:pt>
                <c:pt idx="134">
                  <c:v>223.87211385683412</c:v>
                </c:pt>
                <c:pt idx="135">
                  <c:v>229.08676527677744</c:v>
                </c:pt>
                <c:pt idx="136">
                  <c:v>234.42288153199232</c:v>
                </c:pt>
                <c:pt idx="137">
                  <c:v>239.88329190194912</c:v>
                </c:pt>
                <c:pt idx="138">
                  <c:v>245.4708915685033</c:v>
                </c:pt>
                <c:pt idx="139">
                  <c:v>251.18864315095806</c:v>
                </c:pt>
                <c:pt idx="140">
                  <c:v>257.03957827688663</c:v>
                </c:pt>
                <c:pt idx="141">
                  <c:v>263.02679918953817</c:v>
                </c:pt>
                <c:pt idx="142">
                  <c:v>269.15348039269179</c:v>
                </c:pt>
                <c:pt idx="143">
                  <c:v>275.42287033381683</c:v>
                </c:pt>
                <c:pt idx="144">
                  <c:v>281.83829312644554</c:v>
                </c:pt>
                <c:pt idx="145">
                  <c:v>288.40315031266073</c:v>
                </c:pt>
                <c:pt idx="146">
                  <c:v>295.12092266663871</c:v>
                </c:pt>
                <c:pt idx="147">
                  <c:v>301.99517204020168</c:v>
                </c:pt>
                <c:pt idx="148">
                  <c:v>309.02954325135937</c:v>
                </c:pt>
                <c:pt idx="149">
                  <c:v>316.22776601683825</c:v>
                </c:pt>
                <c:pt idx="150">
                  <c:v>323.59365692962825</c:v>
                </c:pt>
                <c:pt idx="151">
                  <c:v>331.13112148259137</c:v>
                </c:pt>
                <c:pt idx="152">
                  <c:v>338.84415613920277</c:v>
                </c:pt>
                <c:pt idx="153">
                  <c:v>346.73685045253183</c:v>
                </c:pt>
                <c:pt idx="154">
                  <c:v>354.81338923357566</c:v>
                </c:pt>
                <c:pt idx="155">
                  <c:v>363.07805477010152</c:v>
                </c:pt>
                <c:pt idx="156">
                  <c:v>371.53522909717265</c:v>
                </c:pt>
                <c:pt idx="157">
                  <c:v>380.18939632056163</c:v>
                </c:pt>
                <c:pt idx="158">
                  <c:v>389.04514499428063</c:v>
                </c:pt>
                <c:pt idx="159">
                  <c:v>398.10717055349761</c:v>
                </c:pt>
                <c:pt idx="160">
                  <c:v>407.38027780411272</c:v>
                </c:pt>
                <c:pt idx="161">
                  <c:v>416.86938347033572</c:v>
                </c:pt>
                <c:pt idx="162">
                  <c:v>426.57951880159294</c:v>
                </c:pt>
                <c:pt idx="163">
                  <c:v>436.51583224016622</c:v>
                </c:pt>
                <c:pt idx="164">
                  <c:v>446.68359215096331</c:v>
                </c:pt>
                <c:pt idx="165">
                  <c:v>457.0881896148756</c:v>
                </c:pt>
                <c:pt idx="166">
                  <c:v>467.7351412871983</c:v>
                </c:pt>
                <c:pt idx="167">
                  <c:v>478.63009232263886</c:v>
                </c:pt>
                <c:pt idx="168">
                  <c:v>489.77881936844625</c:v>
                </c:pt>
                <c:pt idx="169">
                  <c:v>501.18723362727269</c:v>
                </c:pt>
                <c:pt idx="170">
                  <c:v>512.86138399136519</c:v>
                </c:pt>
                <c:pt idx="171">
                  <c:v>524.80746024977248</c:v>
                </c:pt>
                <c:pt idx="172">
                  <c:v>537.03179637025301</c:v>
                </c:pt>
                <c:pt idx="173">
                  <c:v>549.54087385762534</c:v>
                </c:pt>
                <c:pt idx="174">
                  <c:v>562.34132519034927</c:v>
                </c:pt>
                <c:pt idx="175">
                  <c:v>575.43993733715706</c:v>
                </c:pt>
                <c:pt idx="176">
                  <c:v>588.84365535558959</c:v>
                </c:pt>
                <c:pt idx="177">
                  <c:v>602.55958607435832</c:v>
                </c:pt>
                <c:pt idx="178">
                  <c:v>616.59500186148273</c:v>
                </c:pt>
                <c:pt idx="179">
                  <c:v>630.95734448019323</c:v>
                </c:pt>
                <c:pt idx="180">
                  <c:v>645.65422903465594</c:v>
                </c:pt>
                <c:pt idx="181">
                  <c:v>660.69344800759643</c:v>
                </c:pt>
                <c:pt idx="182">
                  <c:v>676.08297539198213</c:v>
                </c:pt>
                <c:pt idx="183">
                  <c:v>691.83097091893671</c:v>
                </c:pt>
                <c:pt idx="184">
                  <c:v>707.94578438413873</c:v>
                </c:pt>
                <c:pt idx="185">
                  <c:v>724.43596007499025</c:v>
                </c:pt>
                <c:pt idx="186">
                  <c:v>741.31024130091828</c:v>
                </c:pt>
                <c:pt idx="187">
                  <c:v>758.57757502918378</c:v>
                </c:pt>
                <c:pt idx="188">
                  <c:v>776.24711662869231</c:v>
                </c:pt>
                <c:pt idx="189">
                  <c:v>794.32823472428208</c:v>
                </c:pt>
                <c:pt idx="190">
                  <c:v>812.83051616409978</c:v>
                </c:pt>
                <c:pt idx="191">
                  <c:v>831.7637711026714</c:v>
                </c:pt>
                <c:pt idx="192">
                  <c:v>851.13803820237763</c:v>
                </c:pt>
                <c:pt idx="193">
                  <c:v>870.96358995608091</c:v>
                </c:pt>
                <c:pt idx="194">
                  <c:v>891.25093813374656</c:v>
                </c:pt>
                <c:pt idx="195">
                  <c:v>912.01083935590987</c:v>
                </c:pt>
                <c:pt idx="196">
                  <c:v>933.25430079699106</c:v>
                </c:pt>
                <c:pt idx="197">
                  <c:v>954.99258602143675</c:v>
                </c:pt>
                <c:pt idx="198">
                  <c:v>977.23722095581138</c:v>
                </c:pt>
                <c:pt idx="199">
                  <c:v>1000</c:v>
                </c:pt>
                <c:pt idx="200">
                  <c:v>1023.2929922807547</c:v>
                </c:pt>
                <c:pt idx="201">
                  <c:v>1047.1285480509</c:v>
                </c:pt>
                <c:pt idx="202">
                  <c:v>1071.5193052376069</c:v>
                </c:pt>
                <c:pt idx="203">
                  <c:v>1096.4781961431863</c:v>
                </c:pt>
                <c:pt idx="204">
                  <c:v>1122.0184543019636</c:v>
                </c:pt>
                <c:pt idx="205">
                  <c:v>1148.1536214968839</c:v>
                </c:pt>
                <c:pt idx="206">
                  <c:v>1174.8975549395295</c:v>
                </c:pt>
                <c:pt idx="207">
                  <c:v>1202.2644346174138</c:v>
                </c:pt>
                <c:pt idx="208">
                  <c:v>1230.2687708123824</c:v>
                </c:pt>
                <c:pt idx="209">
                  <c:v>1258.925411794168</c:v>
                </c:pt>
                <c:pt idx="210">
                  <c:v>1288.2495516931347</c:v>
                </c:pt>
                <c:pt idx="211">
                  <c:v>1318.2567385564089</c:v>
                </c:pt>
                <c:pt idx="212">
                  <c:v>1348.9628825916541</c:v>
                </c:pt>
                <c:pt idx="213">
                  <c:v>1380.3842646028863</c:v>
                </c:pt>
                <c:pt idx="214">
                  <c:v>1412.5375446227545</c:v>
                </c:pt>
                <c:pt idx="215">
                  <c:v>1445.4397707459289</c:v>
                </c:pt>
                <c:pt idx="216">
                  <c:v>1479.1083881682086</c:v>
                </c:pt>
                <c:pt idx="217">
                  <c:v>1513.5612484362093</c:v>
                </c:pt>
                <c:pt idx="218">
                  <c:v>1548.8166189124822</c:v>
                </c:pt>
                <c:pt idx="219">
                  <c:v>1584.8931924611156</c:v>
                </c:pt>
                <c:pt idx="220">
                  <c:v>1621.8100973589308</c:v>
                </c:pt>
                <c:pt idx="221">
                  <c:v>1659.5869074375626</c:v>
                </c:pt>
                <c:pt idx="222">
                  <c:v>1698.2436524617447</c:v>
                </c:pt>
                <c:pt idx="223">
                  <c:v>1737.8008287493772</c:v>
                </c:pt>
                <c:pt idx="224">
                  <c:v>1778.2794100389244</c:v>
                </c:pt>
                <c:pt idx="225">
                  <c:v>1819.7008586099832</c:v>
                </c:pt>
                <c:pt idx="226">
                  <c:v>1862.0871366628687</c:v>
                </c:pt>
                <c:pt idx="227">
                  <c:v>1905.4607179632501</c:v>
                </c:pt>
                <c:pt idx="228">
                  <c:v>1949.8445997580463</c:v>
                </c:pt>
                <c:pt idx="229">
                  <c:v>1995.2623149688804</c:v>
                </c:pt>
                <c:pt idx="230">
                  <c:v>2041.7379446695318</c:v>
                </c:pt>
                <c:pt idx="231">
                  <c:v>2089.2961308540398</c:v>
                </c:pt>
                <c:pt idx="232">
                  <c:v>2137.9620895022344</c:v>
                </c:pt>
                <c:pt idx="233">
                  <c:v>2187.7616239495528</c:v>
                </c:pt>
                <c:pt idx="234">
                  <c:v>2238.7211385683418</c:v>
                </c:pt>
                <c:pt idx="235">
                  <c:v>2290.8676527677749</c:v>
                </c:pt>
                <c:pt idx="236">
                  <c:v>2344.2288153199238</c:v>
                </c:pt>
                <c:pt idx="237">
                  <c:v>2398.8329190194918</c:v>
                </c:pt>
                <c:pt idx="238">
                  <c:v>2454.7089156850338</c:v>
                </c:pt>
                <c:pt idx="239">
                  <c:v>2511.8864315095811</c:v>
                </c:pt>
                <c:pt idx="240">
                  <c:v>2570.3957827688669</c:v>
                </c:pt>
                <c:pt idx="241">
                  <c:v>2630.2679918953822</c:v>
                </c:pt>
                <c:pt idx="242">
                  <c:v>2691.5348039269184</c:v>
                </c:pt>
                <c:pt idx="243">
                  <c:v>2754.228703338169</c:v>
                </c:pt>
                <c:pt idx="244">
                  <c:v>2818.3829312644561</c:v>
                </c:pt>
                <c:pt idx="245">
                  <c:v>2884.0315031266077</c:v>
                </c:pt>
                <c:pt idx="246">
                  <c:v>2951.2092266663876</c:v>
                </c:pt>
                <c:pt idx="247">
                  <c:v>3019.9517204020176</c:v>
                </c:pt>
                <c:pt idx="248">
                  <c:v>3090.295432513592</c:v>
                </c:pt>
                <c:pt idx="249">
                  <c:v>3162.2776601683804</c:v>
                </c:pt>
                <c:pt idx="250">
                  <c:v>3235.9365692962833</c:v>
                </c:pt>
                <c:pt idx="251">
                  <c:v>3311.3112148259115</c:v>
                </c:pt>
                <c:pt idx="252">
                  <c:v>3388.4415613920314</c:v>
                </c:pt>
                <c:pt idx="253">
                  <c:v>3467.3685045253224</c:v>
                </c:pt>
                <c:pt idx="254">
                  <c:v>3548.1338923357539</c:v>
                </c:pt>
                <c:pt idx="255">
                  <c:v>3630.7805477010188</c:v>
                </c:pt>
                <c:pt idx="256">
                  <c:v>3715.352290971724</c:v>
                </c:pt>
                <c:pt idx="257">
                  <c:v>3801.8939632056172</c:v>
                </c:pt>
                <c:pt idx="258">
                  <c:v>3890.451449942811</c:v>
                </c:pt>
                <c:pt idx="259">
                  <c:v>3981.0717055349769</c:v>
                </c:pt>
                <c:pt idx="260">
                  <c:v>4073.8027780411317</c:v>
                </c:pt>
                <c:pt idx="261">
                  <c:v>4168.6938347033583</c:v>
                </c:pt>
                <c:pt idx="262">
                  <c:v>4265.7951880159299</c:v>
                </c:pt>
                <c:pt idx="263">
                  <c:v>4365.1583224016631</c:v>
                </c:pt>
                <c:pt idx="264">
                  <c:v>4466.8359215096343</c:v>
                </c:pt>
                <c:pt idx="265">
                  <c:v>4570.8818961487532</c:v>
                </c:pt>
                <c:pt idx="266">
                  <c:v>4677.3514128719844</c:v>
                </c:pt>
                <c:pt idx="267">
                  <c:v>4786.3009232263848</c:v>
                </c:pt>
                <c:pt idx="268">
                  <c:v>4897.7881936844633</c:v>
                </c:pt>
                <c:pt idx="269">
                  <c:v>5011.8723362727324</c:v>
                </c:pt>
                <c:pt idx="270">
                  <c:v>5128.6138399136489</c:v>
                </c:pt>
                <c:pt idx="271">
                  <c:v>5248.0746024977261</c:v>
                </c:pt>
                <c:pt idx="272">
                  <c:v>5370.3179637025269</c:v>
                </c:pt>
                <c:pt idx="273">
                  <c:v>5495.4087385762541</c:v>
                </c:pt>
                <c:pt idx="274">
                  <c:v>5623.4132519034993</c:v>
                </c:pt>
                <c:pt idx="275">
                  <c:v>5754.399373371567</c:v>
                </c:pt>
                <c:pt idx="276">
                  <c:v>5888.4365535558973</c:v>
                </c:pt>
                <c:pt idx="277">
                  <c:v>6025.595860743585</c:v>
                </c:pt>
                <c:pt idx="278">
                  <c:v>6165.9500186148289</c:v>
                </c:pt>
                <c:pt idx="279">
                  <c:v>6309.5734448019384</c:v>
                </c:pt>
                <c:pt idx="280">
                  <c:v>6456.5422903465615</c:v>
                </c:pt>
                <c:pt idx="281">
                  <c:v>6606.9344800759654</c:v>
                </c:pt>
                <c:pt idx="282">
                  <c:v>6760.8297539198229</c:v>
                </c:pt>
                <c:pt idx="283">
                  <c:v>6918.3097091893687</c:v>
                </c:pt>
                <c:pt idx="284">
                  <c:v>7079.4578438413828</c:v>
                </c:pt>
                <c:pt idx="285">
                  <c:v>7244.3596007499036</c:v>
                </c:pt>
                <c:pt idx="286">
                  <c:v>7413.1024130091773</c:v>
                </c:pt>
                <c:pt idx="287">
                  <c:v>7585.7757502918394</c:v>
                </c:pt>
                <c:pt idx="288">
                  <c:v>7762.4711662869322</c:v>
                </c:pt>
                <c:pt idx="289">
                  <c:v>7943.2823472428154</c:v>
                </c:pt>
                <c:pt idx="290">
                  <c:v>8128.3051616410066</c:v>
                </c:pt>
                <c:pt idx="291">
                  <c:v>8317.6377110267094</c:v>
                </c:pt>
                <c:pt idx="292">
                  <c:v>8511.3803820237772</c:v>
                </c:pt>
                <c:pt idx="293">
                  <c:v>8709.6358995608189</c:v>
                </c:pt>
                <c:pt idx="294">
                  <c:v>8912.5093813374679</c:v>
                </c:pt>
                <c:pt idx="295">
                  <c:v>9120.1083935591087</c:v>
                </c:pt>
                <c:pt idx="296">
                  <c:v>9332.5430079699217</c:v>
                </c:pt>
                <c:pt idx="297">
                  <c:v>9549.9258602143691</c:v>
                </c:pt>
                <c:pt idx="298">
                  <c:v>9772.3722095581161</c:v>
                </c:pt>
                <c:pt idx="299">
                  <c:v>10000</c:v>
                </c:pt>
                <c:pt idx="300">
                  <c:v>10232.929922807549</c:v>
                </c:pt>
                <c:pt idx="301">
                  <c:v>10471.285480509003</c:v>
                </c:pt>
                <c:pt idx="302">
                  <c:v>10715.193052376071</c:v>
                </c:pt>
                <c:pt idx="303">
                  <c:v>10964.781961431856</c:v>
                </c:pt>
                <c:pt idx="304">
                  <c:v>11220.184543019639</c:v>
                </c:pt>
                <c:pt idx="305">
                  <c:v>11481.536214968832</c:v>
                </c:pt>
                <c:pt idx="306">
                  <c:v>11748.975549395318</c:v>
                </c:pt>
                <c:pt idx="307">
                  <c:v>12022.644346174151</c:v>
                </c:pt>
                <c:pt idx="308">
                  <c:v>12302.687708123816</c:v>
                </c:pt>
                <c:pt idx="309">
                  <c:v>12589.254117941671</c:v>
                </c:pt>
                <c:pt idx="310">
                  <c:v>12882.49551693136</c:v>
                </c:pt>
                <c:pt idx="311">
                  <c:v>13182.567385564091</c:v>
                </c:pt>
                <c:pt idx="312">
                  <c:v>13489.628825916556</c:v>
                </c:pt>
                <c:pt idx="313">
                  <c:v>13803.842646028841</c:v>
                </c:pt>
                <c:pt idx="314">
                  <c:v>14125.375446227561</c:v>
                </c:pt>
                <c:pt idx="315">
                  <c:v>14454.397707459291</c:v>
                </c:pt>
                <c:pt idx="316">
                  <c:v>14791.083881682089</c:v>
                </c:pt>
                <c:pt idx="317">
                  <c:v>15135.612484362096</c:v>
                </c:pt>
                <c:pt idx="318">
                  <c:v>15488.166189124853</c:v>
                </c:pt>
                <c:pt idx="319">
                  <c:v>15848.931924611146</c:v>
                </c:pt>
                <c:pt idx="320">
                  <c:v>16218.100973589309</c:v>
                </c:pt>
                <c:pt idx="321">
                  <c:v>16595.869074375616</c:v>
                </c:pt>
                <c:pt idx="322">
                  <c:v>16982.436524617482</c:v>
                </c:pt>
                <c:pt idx="323">
                  <c:v>17378.008287493791</c:v>
                </c:pt>
                <c:pt idx="324">
                  <c:v>17782.794100389234</c:v>
                </c:pt>
                <c:pt idx="325">
                  <c:v>18197.008586099837</c:v>
                </c:pt>
                <c:pt idx="326">
                  <c:v>18620.871366628675</c:v>
                </c:pt>
                <c:pt idx="327">
                  <c:v>19054.607179632505</c:v>
                </c:pt>
                <c:pt idx="328">
                  <c:v>19498.445997580486</c:v>
                </c:pt>
                <c:pt idx="329">
                  <c:v>19952.623149688792</c:v>
                </c:pt>
                <c:pt idx="330">
                  <c:v>20417.379446695286</c:v>
                </c:pt>
                <c:pt idx="331">
                  <c:v>20892.961308540423</c:v>
                </c:pt>
                <c:pt idx="332">
                  <c:v>21379.620895022348</c:v>
                </c:pt>
                <c:pt idx="333">
                  <c:v>21877.61623949555</c:v>
                </c:pt>
                <c:pt idx="334">
                  <c:v>22387.211385683382</c:v>
                </c:pt>
                <c:pt idx="335">
                  <c:v>22908.676527677751</c:v>
                </c:pt>
                <c:pt idx="336">
                  <c:v>23442.288153199243</c:v>
                </c:pt>
                <c:pt idx="337">
                  <c:v>23988.329190194923</c:v>
                </c:pt>
                <c:pt idx="338">
                  <c:v>24547.089156850321</c:v>
                </c:pt>
                <c:pt idx="339">
                  <c:v>25118.86431509586</c:v>
                </c:pt>
                <c:pt idx="340">
                  <c:v>25703.95782768865</c:v>
                </c:pt>
                <c:pt idx="341">
                  <c:v>26302.679918953829</c:v>
                </c:pt>
                <c:pt idx="342">
                  <c:v>26915.348039269167</c:v>
                </c:pt>
                <c:pt idx="343">
                  <c:v>27542.287033381719</c:v>
                </c:pt>
                <c:pt idx="344">
                  <c:v>28183.829312644593</c:v>
                </c:pt>
                <c:pt idx="345">
                  <c:v>28840.315031266062</c:v>
                </c:pt>
                <c:pt idx="346">
                  <c:v>29512.092266663854</c:v>
                </c:pt>
                <c:pt idx="347">
                  <c:v>30199.517204020212</c:v>
                </c:pt>
                <c:pt idx="348">
                  <c:v>30902.954325135954</c:v>
                </c:pt>
                <c:pt idx="349">
                  <c:v>31622.77660168384</c:v>
                </c:pt>
                <c:pt idx="350">
                  <c:v>32359.365692962871</c:v>
                </c:pt>
                <c:pt idx="351">
                  <c:v>33113.11214825909</c:v>
                </c:pt>
                <c:pt idx="352">
                  <c:v>33884.41561392029</c:v>
                </c:pt>
                <c:pt idx="353">
                  <c:v>34673.685045253202</c:v>
                </c:pt>
                <c:pt idx="354">
                  <c:v>35481.33892335758</c:v>
                </c:pt>
                <c:pt idx="355">
                  <c:v>36307.805477010232</c:v>
                </c:pt>
                <c:pt idx="356">
                  <c:v>37153.522909717351</c:v>
                </c:pt>
                <c:pt idx="357">
                  <c:v>38018.939632056143</c:v>
                </c:pt>
                <c:pt idx="358">
                  <c:v>38904.514499428085</c:v>
                </c:pt>
                <c:pt idx="359">
                  <c:v>39810.717055349742</c:v>
                </c:pt>
                <c:pt idx="360">
                  <c:v>40738.027780411358</c:v>
                </c:pt>
                <c:pt idx="361">
                  <c:v>41686.938347033625</c:v>
                </c:pt>
                <c:pt idx="362">
                  <c:v>42657.951880159271</c:v>
                </c:pt>
                <c:pt idx="363">
                  <c:v>43651.583224016598</c:v>
                </c:pt>
                <c:pt idx="364">
                  <c:v>44668.359215096389</c:v>
                </c:pt>
                <c:pt idx="365">
                  <c:v>45708.818961487581</c:v>
                </c:pt>
                <c:pt idx="366">
                  <c:v>46773.514128719893</c:v>
                </c:pt>
                <c:pt idx="367">
                  <c:v>47863.009232263823</c:v>
                </c:pt>
                <c:pt idx="368">
                  <c:v>48977.881936844598</c:v>
                </c:pt>
                <c:pt idx="369">
                  <c:v>50118.723362727294</c:v>
                </c:pt>
                <c:pt idx="370">
                  <c:v>51286.138399136544</c:v>
                </c:pt>
                <c:pt idx="371">
                  <c:v>52480.746024977314</c:v>
                </c:pt>
                <c:pt idx="372">
                  <c:v>53703.179637025423</c:v>
                </c:pt>
                <c:pt idx="373">
                  <c:v>54954.087385762505</c:v>
                </c:pt>
                <c:pt idx="374">
                  <c:v>56234.132519034953</c:v>
                </c:pt>
                <c:pt idx="375">
                  <c:v>57543.993733715732</c:v>
                </c:pt>
                <c:pt idx="376">
                  <c:v>58884.365535558936</c:v>
                </c:pt>
                <c:pt idx="377">
                  <c:v>60255.95860743591</c:v>
                </c:pt>
                <c:pt idx="378">
                  <c:v>61659.500186148245</c:v>
                </c:pt>
                <c:pt idx="379">
                  <c:v>63095.734448019342</c:v>
                </c:pt>
                <c:pt idx="380">
                  <c:v>64565.422903465682</c:v>
                </c:pt>
                <c:pt idx="381">
                  <c:v>66069.344800759733</c:v>
                </c:pt>
                <c:pt idx="382">
                  <c:v>67608.297539198305</c:v>
                </c:pt>
                <c:pt idx="383">
                  <c:v>69183.097091893651</c:v>
                </c:pt>
                <c:pt idx="384">
                  <c:v>70794.578438413781</c:v>
                </c:pt>
                <c:pt idx="385">
                  <c:v>72443.596007499116</c:v>
                </c:pt>
                <c:pt idx="386">
                  <c:v>74131.024130091857</c:v>
                </c:pt>
                <c:pt idx="387">
                  <c:v>75857.757502918481</c:v>
                </c:pt>
                <c:pt idx="388">
                  <c:v>77624.711662869129</c:v>
                </c:pt>
                <c:pt idx="389">
                  <c:v>79432.823472428237</c:v>
                </c:pt>
                <c:pt idx="390">
                  <c:v>81283.051616410012</c:v>
                </c:pt>
                <c:pt idx="391">
                  <c:v>83176.377110267174</c:v>
                </c:pt>
                <c:pt idx="392">
                  <c:v>85113.803820237721</c:v>
                </c:pt>
                <c:pt idx="393">
                  <c:v>87096.358995608127</c:v>
                </c:pt>
                <c:pt idx="394">
                  <c:v>89125.093813374609</c:v>
                </c:pt>
                <c:pt idx="395">
                  <c:v>91201.083935591028</c:v>
                </c:pt>
                <c:pt idx="396">
                  <c:v>93325.430079699145</c:v>
                </c:pt>
                <c:pt idx="397">
                  <c:v>95499.258602143804</c:v>
                </c:pt>
                <c:pt idx="398">
                  <c:v>97723.722095581266</c:v>
                </c:pt>
                <c:pt idx="399">
                  <c:v>100000</c:v>
                </c:pt>
                <c:pt idx="400">
                  <c:v>102329.29922807543</c:v>
                </c:pt>
                <c:pt idx="401">
                  <c:v>104712.85480508996</c:v>
                </c:pt>
                <c:pt idx="402">
                  <c:v>107151.93052376082</c:v>
                </c:pt>
                <c:pt idx="403">
                  <c:v>109647.81961431868</c:v>
                </c:pt>
                <c:pt idx="404">
                  <c:v>112201.84543019651</c:v>
                </c:pt>
                <c:pt idx="405">
                  <c:v>114815.36214968823</c:v>
                </c:pt>
                <c:pt idx="406">
                  <c:v>117489.75549395311</c:v>
                </c:pt>
                <c:pt idx="407">
                  <c:v>120226.44346174144</c:v>
                </c:pt>
                <c:pt idx="408">
                  <c:v>123026.87708123829</c:v>
                </c:pt>
                <c:pt idx="409">
                  <c:v>125892.54117941685</c:v>
                </c:pt>
                <c:pt idx="410">
                  <c:v>128824.95516931375</c:v>
                </c:pt>
                <c:pt idx="411">
                  <c:v>131825.67385564081</c:v>
                </c:pt>
                <c:pt idx="412">
                  <c:v>134896.28825916545</c:v>
                </c:pt>
                <c:pt idx="413">
                  <c:v>138038.42646028858</c:v>
                </c:pt>
                <c:pt idx="414">
                  <c:v>141253.75446227577</c:v>
                </c:pt>
                <c:pt idx="415">
                  <c:v>144543.97707459307</c:v>
                </c:pt>
                <c:pt idx="416">
                  <c:v>147910.83881682079</c:v>
                </c:pt>
                <c:pt idx="417">
                  <c:v>151356.12484362084</c:v>
                </c:pt>
                <c:pt idx="418">
                  <c:v>154881.66189124843</c:v>
                </c:pt>
                <c:pt idx="419">
                  <c:v>158489.31924611164</c:v>
                </c:pt>
                <c:pt idx="420">
                  <c:v>162181.00973589328</c:v>
                </c:pt>
                <c:pt idx="421">
                  <c:v>165958.69074375604</c:v>
                </c:pt>
                <c:pt idx="422">
                  <c:v>169824.36524617471</c:v>
                </c:pt>
                <c:pt idx="423">
                  <c:v>173780.0828749378</c:v>
                </c:pt>
                <c:pt idx="424">
                  <c:v>177827.94100389251</c:v>
                </c:pt>
                <c:pt idx="425">
                  <c:v>181970.08586099857</c:v>
                </c:pt>
                <c:pt idx="426">
                  <c:v>186208.71366628664</c:v>
                </c:pt>
                <c:pt idx="427">
                  <c:v>190546.07179632492</c:v>
                </c:pt>
                <c:pt idx="428">
                  <c:v>194984.45997580473</c:v>
                </c:pt>
                <c:pt idx="429">
                  <c:v>199526.23149688813</c:v>
                </c:pt>
                <c:pt idx="430">
                  <c:v>204173.79446695308</c:v>
                </c:pt>
                <c:pt idx="431">
                  <c:v>208929.61308540447</c:v>
                </c:pt>
                <c:pt idx="432">
                  <c:v>213796.20895022334</c:v>
                </c:pt>
                <c:pt idx="433">
                  <c:v>218776.16239495538</c:v>
                </c:pt>
                <c:pt idx="434">
                  <c:v>223872.11385683404</c:v>
                </c:pt>
                <c:pt idx="435">
                  <c:v>229086.76527677779</c:v>
                </c:pt>
                <c:pt idx="436">
                  <c:v>234422.88153199267</c:v>
                </c:pt>
                <c:pt idx="437">
                  <c:v>239883.29190194907</c:v>
                </c:pt>
                <c:pt idx="438">
                  <c:v>245470.89156850305</c:v>
                </c:pt>
                <c:pt idx="439">
                  <c:v>251188.64315095844</c:v>
                </c:pt>
                <c:pt idx="440">
                  <c:v>257039.57827688678</c:v>
                </c:pt>
                <c:pt idx="441">
                  <c:v>263026.79918953858</c:v>
                </c:pt>
                <c:pt idx="442">
                  <c:v>269153.48039269145</c:v>
                </c:pt>
                <c:pt idx="443">
                  <c:v>275422.87033381703</c:v>
                </c:pt>
                <c:pt idx="444">
                  <c:v>281838.29312644573</c:v>
                </c:pt>
                <c:pt idx="445">
                  <c:v>288403.1503126609</c:v>
                </c:pt>
                <c:pt idx="446">
                  <c:v>295120.92266663886</c:v>
                </c:pt>
                <c:pt idx="447">
                  <c:v>301995.17204020242</c:v>
                </c:pt>
                <c:pt idx="448">
                  <c:v>309029.54325135931</c:v>
                </c:pt>
                <c:pt idx="449">
                  <c:v>316227.7660168382</c:v>
                </c:pt>
                <c:pt idx="450">
                  <c:v>323593.65692962846</c:v>
                </c:pt>
                <c:pt idx="451">
                  <c:v>331131.12148259126</c:v>
                </c:pt>
                <c:pt idx="452">
                  <c:v>338844.15613920329</c:v>
                </c:pt>
                <c:pt idx="453">
                  <c:v>346736.85045253241</c:v>
                </c:pt>
                <c:pt idx="454">
                  <c:v>354813.38923357555</c:v>
                </c:pt>
                <c:pt idx="455">
                  <c:v>363078.05477010203</c:v>
                </c:pt>
                <c:pt idx="456">
                  <c:v>371535.2290971732</c:v>
                </c:pt>
                <c:pt idx="457">
                  <c:v>380189.39632056188</c:v>
                </c:pt>
                <c:pt idx="458">
                  <c:v>389045.14499428123</c:v>
                </c:pt>
                <c:pt idx="459">
                  <c:v>398107.17055349716</c:v>
                </c:pt>
                <c:pt idx="460">
                  <c:v>407380.27780411334</c:v>
                </c:pt>
                <c:pt idx="461">
                  <c:v>416869.38347033598</c:v>
                </c:pt>
                <c:pt idx="462">
                  <c:v>426579.51880159322</c:v>
                </c:pt>
                <c:pt idx="463">
                  <c:v>436515.83224016649</c:v>
                </c:pt>
                <c:pt idx="464">
                  <c:v>446683.59215096442</c:v>
                </c:pt>
                <c:pt idx="465">
                  <c:v>457088.18961487547</c:v>
                </c:pt>
                <c:pt idx="466">
                  <c:v>467735.14128719864</c:v>
                </c:pt>
                <c:pt idx="467">
                  <c:v>478630.09232263872</c:v>
                </c:pt>
                <c:pt idx="468">
                  <c:v>489778.81936844654</c:v>
                </c:pt>
                <c:pt idx="469">
                  <c:v>501187.23362727347</c:v>
                </c:pt>
                <c:pt idx="470">
                  <c:v>512861.38399136515</c:v>
                </c:pt>
                <c:pt idx="471">
                  <c:v>524807.46024977288</c:v>
                </c:pt>
                <c:pt idx="472">
                  <c:v>537031.7963702539</c:v>
                </c:pt>
                <c:pt idx="473">
                  <c:v>549540.87385762564</c:v>
                </c:pt>
                <c:pt idx="474">
                  <c:v>562341.32519035018</c:v>
                </c:pt>
                <c:pt idx="475">
                  <c:v>575439.93733715697</c:v>
                </c:pt>
                <c:pt idx="476">
                  <c:v>588843.65535558888</c:v>
                </c:pt>
                <c:pt idx="477">
                  <c:v>602559.58607435878</c:v>
                </c:pt>
                <c:pt idx="478">
                  <c:v>616595.00186148309</c:v>
                </c:pt>
                <c:pt idx="479">
                  <c:v>630957.34448019415</c:v>
                </c:pt>
                <c:pt idx="480">
                  <c:v>645654.22903465747</c:v>
                </c:pt>
                <c:pt idx="481">
                  <c:v>660693.44800759677</c:v>
                </c:pt>
                <c:pt idx="482">
                  <c:v>676082.97539198259</c:v>
                </c:pt>
                <c:pt idx="483">
                  <c:v>691830.97091893724</c:v>
                </c:pt>
                <c:pt idx="484">
                  <c:v>707945.78438413853</c:v>
                </c:pt>
                <c:pt idx="485">
                  <c:v>724435.96007499192</c:v>
                </c:pt>
                <c:pt idx="486">
                  <c:v>741310.24130091805</c:v>
                </c:pt>
                <c:pt idx="487">
                  <c:v>758577.57502918423</c:v>
                </c:pt>
                <c:pt idx="488">
                  <c:v>776247.11662869214</c:v>
                </c:pt>
                <c:pt idx="489">
                  <c:v>794328.23472428333</c:v>
                </c:pt>
                <c:pt idx="490">
                  <c:v>812830.51616410096</c:v>
                </c:pt>
                <c:pt idx="491">
                  <c:v>831763.77110267128</c:v>
                </c:pt>
                <c:pt idx="492">
                  <c:v>851138.03820237669</c:v>
                </c:pt>
                <c:pt idx="493">
                  <c:v>870963.58995608077</c:v>
                </c:pt>
                <c:pt idx="494">
                  <c:v>891250.93813374708</c:v>
                </c:pt>
                <c:pt idx="495">
                  <c:v>912010.83935591124</c:v>
                </c:pt>
                <c:pt idx="496">
                  <c:v>933254.30079699249</c:v>
                </c:pt>
                <c:pt idx="497">
                  <c:v>954992.58602143743</c:v>
                </c:pt>
                <c:pt idx="498">
                  <c:v>977237.22095581202</c:v>
                </c:pt>
                <c:pt idx="499">
                  <c:v>1000000</c:v>
                </c:pt>
                <c:pt idx="500">
                  <c:v>1023292.9922807553</c:v>
                </c:pt>
                <c:pt idx="501">
                  <c:v>1047128.5480509007</c:v>
                </c:pt>
                <c:pt idx="502">
                  <c:v>1071519.3052376076</c:v>
                </c:pt>
                <c:pt idx="503">
                  <c:v>1096478.196143186</c:v>
                </c:pt>
                <c:pt idx="504">
                  <c:v>1122018.4543019643</c:v>
                </c:pt>
                <c:pt idx="505">
                  <c:v>1148153.6214968837</c:v>
                </c:pt>
                <c:pt idx="506">
                  <c:v>1174897.5549395324</c:v>
                </c:pt>
                <c:pt idx="507">
                  <c:v>1202264.4346174158</c:v>
                </c:pt>
                <c:pt idx="508">
                  <c:v>1230268.770812382</c:v>
                </c:pt>
                <c:pt idx="509">
                  <c:v>1258925.4117941677</c:v>
                </c:pt>
                <c:pt idx="510">
                  <c:v>1288249.5516931366</c:v>
                </c:pt>
                <c:pt idx="511">
                  <c:v>1318256.7385564097</c:v>
                </c:pt>
                <c:pt idx="512">
                  <c:v>1348962.8825916562</c:v>
                </c:pt>
                <c:pt idx="513">
                  <c:v>1380384.2646028849</c:v>
                </c:pt>
                <c:pt idx="514">
                  <c:v>1412537.5446227565</c:v>
                </c:pt>
                <c:pt idx="515">
                  <c:v>1445439.7707459298</c:v>
                </c:pt>
                <c:pt idx="516">
                  <c:v>1479108.3881682095</c:v>
                </c:pt>
                <c:pt idx="517">
                  <c:v>1513561.2484362102</c:v>
                </c:pt>
                <c:pt idx="518">
                  <c:v>1548816.6189124861</c:v>
                </c:pt>
                <c:pt idx="519">
                  <c:v>1584893.1924611153</c:v>
                </c:pt>
                <c:pt idx="520">
                  <c:v>1621810.0973589318</c:v>
                </c:pt>
                <c:pt idx="521">
                  <c:v>1659586.9074375622</c:v>
                </c:pt>
                <c:pt idx="522">
                  <c:v>1698243.6524617488</c:v>
                </c:pt>
                <c:pt idx="523">
                  <c:v>1737800.8287493798</c:v>
                </c:pt>
                <c:pt idx="524">
                  <c:v>1778279.4100389241</c:v>
                </c:pt>
                <c:pt idx="525">
                  <c:v>1819700.8586099846</c:v>
                </c:pt>
                <c:pt idx="526">
                  <c:v>1862087.1366628683</c:v>
                </c:pt>
                <c:pt idx="527">
                  <c:v>1905460.7179632513</c:v>
                </c:pt>
                <c:pt idx="528">
                  <c:v>1949844.5997580495</c:v>
                </c:pt>
                <c:pt idx="529">
                  <c:v>1995262.31496888</c:v>
                </c:pt>
                <c:pt idx="530">
                  <c:v>2041737.9446695296</c:v>
                </c:pt>
                <c:pt idx="531">
                  <c:v>2089296.1308540432</c:v>
                </c:pt>
                <c:pt idx="532">
                  <c:v>2137962.0895022359</c:v>
                </c:pt>
                <c:pt idx="533">
                  <c:v>2187761.6239495561</c:v>
                </c:pt>
                <c:pt idx="534">
                  <c:v>2238721.1385683389</c:v>
                </c:pt>
                <c:pt idx="535">
                  <c:v>2290867.6527677765</c:v>
                </c:pt>
                <c:pt idx="536">
                  <c:v>2344228.8153199251</c:v>
                </c:pt>
                <c:pt idx="537">
                  <c:v>2398832.9190194933</c:v>
                </c:pt>
                <c:pt idx="538">
                  <c:v>2454708.915685033</c:v>
                </c:pt>
                <c:pt idx="539">
                  <c:v>2511886.431509587</c:v>
                </c:pt>
                <c:pt idx="540">
                  <c:v>2570395.782768866</c:v>
                </c:pt>
                <c:pt idx="541">
                  <c:v>2630267.9918953842</c:v>
                </c:pt>
              </c:numCache>
            </c:numRef>
          </c:xVal>
          <c:yVal>
            <c:numRef>
              <c:f>Loop_Modeling!$BK$19:$BK$560</c:f>
              <c:numCache>
                <c:formatCode>General</c:formatCode>
                <c:ptCount val="542"/>
                <c:pt idx="0">
                  <c:v>89.772655787413441</c:v>
                </c:pt>
                <c:pt idx="1">
                  <c:v>89.767361268464029</c:v>
                </c:pt>
                <c:pt idx="2">
                  <c:v>89.761943496409756</c:v>
                </c:pt>
                <c:pt idx="3">
                  <c:v>89.756399605471145</c:v>
                </c:pt>
                <c:pt idx="4">
                  <c:v>89.750726663484627</c:v>
                </c:pt>
                <c:pt idx="5">
                  <c:v>89.744921670382624</c:v>
                </c:pt>
                <c:pt idx="6">
                  <c:v>89.738981556639956</c:v>
                </c:pt>
                <c:pt idx="7">
                  <c:v>89.732903181686353</c:v>
                </c:pt>
                <c:pt idx="8">
                  <c:v>89.726683332283812</c:v>
                </c:pt>
                <c:pt idx="9">
                  <c:v>89.720318720868832</c:v>
                </c:pt>
                <c:pt idx="10">
                  <c:v>89.71380598385818</c:v>
                </c:pt>
                <c:pt idx="11">
                  <c:v>89.707141679918138</c:v>
                </c:pt>
                <c:pt idx="12">
                  <c:v>89.700322288196048</c:v>
                </c:pt>
                <c:pt idx="13">
                  <c:v>89.693344206513814</c:v>
                </c:pt>
                <c:pt idx="14">
                  <c:v>89.686203749522619</c:v>
                </c:pt>
                <c:pt idx="15">
                  <c:v>89.678897146818144</c:v>
                </c:pt>
                <c:pt idx="16">
                  <c:v>89.671420541015536</c:v>
                </c:pt>
                <c:pt idx="17">
                  <c:v>89.663769985783631</c:v>
                </c:pt>
                <c:pt idx="18">
                  <c:v>89.655941443837818</c:v>
                </c:pt>
                <c:pt idx="19">
                  <c:v>89.647930784890448</c:v>
                </c:pt>
                <c:pt idx="20">
                  <c:v>89.639733783558654</c:v>
                </c:pt>
                <c:pt idx="21">
                  <c:v>89.631346117228773</c:v>
                </c:pt>
                <c:pt idx="22">
                  <c:v>89.622763363876501</c:v>
                </c:pt>
                <c:pt idx="23">
                  <c:v>89.613980999842482</c:v>
                </c:pt>
                <c:pt idx="24">
                  <c:v>89.604994397562464</c:v>
                </c:pt>
                <c:pt idx="25">
                  <c:v>89.595798823251755</c:v>
                </c:pt>
                <c:pt idx="26">
                  <c:v>89.586389434542895</c:v>
                </c:pt>
                <c:pt idx="27">
                  <c:v>89.576761278076532</c:v>
                </c:pt>
                <c:pt idx="28">
                  <c:v>89.566909287044751</c:v>
                </c:pt>
                <c:pt idx="29">
                  <c:v>89.556828278686012</c:v>
                </c:pt>
                <c:pt idx="30">
                  <c:v>89.546512951732097</c:v>
                </c:pt>
                <c:pt idx="31">
                  <c:v>89.535957883805494</c:v>
                </c:pt>
                <c:pt idx="32">
                  <c:v>89.525157528767977</c:v>
                </c:pt>
                <c:pt idx="33">
                  <c:v>89.514106214019037</c:v>
                </c:pt>
                <c:pt idx="34">
                  <c:v>89.502798137744648</c:v>
                </c:pt>
                <c:pt idx="35">
                  <c:v>89.49122736611551</c:v>
                </c:pt>
                <c:pt idx="36">
                  <c:v>89.479387830435002</c:v>
                </c:pt>
                <c:pt idx="37">
                  <c:v>89.467273324236587</c:v>
                </c:pt>
                <c:pt idx="38">
                  <c:v>89.454877500330468</c:v>
                </c:pt>
                <c:pt idx="39">
                  <c:v>89.442193867799702</c:v>
                </c:pt>
                <c:pt idx="40">
                  <c:v>89.429215788945953</c:v>
                </c:pt>
                <c:pt idx="41">
                  <c:v>89.415936476184726</c:v>
                </c:pt>
                <c:pt idx="42">
                  <c:v>89.402348988890864</c:v>
                </c:pt>
                <c:pt idx="43">
                  <c:v>89.388446230194319</c:v>
                </c:pt>
                <c:pt idx="44">
                  <c:v>89.374220943726996</c:v>
                </c:pt>
                <c:pt idx="45">
                  <c:v>89.359665710321096</c:v>
                </c:pt>
                <c:pt idx="46">
                  <c:v>89.344772944660292</c:v>
                </c:pt>
                <c:pt idx="47">
                  <c:v>89.329534891883711</c:v>
                </c:pt>
                <c:pt idx="48">
                  <c:v>89.313943624145111</c:v>
                </c:pt>
                <c:pt idx="49">
                  <c:v>89.297991037127545</c:v>
                </c:pt>
                <c:pt idx="50">
                  <c:v>89.281668846515458</c:v>
                </c:pt>
                <c:pt idx="51">
                  <c:v>89.264968584425986</c:v>
                </c:pt>
                <c:pt idx="52">
                  <c:v>89.247881595801232</c:v>
                </c:pt>
                <c:pt idx="53">
                  <c:v>89.230399034763877</c:v>
                </c:pt>
                <c:pt idx="54">
                  <c:v>89.212511860938292</c:v>
                </c:pt>
                <c:pt idx="55">
                  <c:v>89.194210835740478</c:v>
                </c:pt>
                <c:pt idx="56">
                  <c:v>89.175486518639175</c:v>
                </c:pt>
                <c:pt idx="57">
                  <c:v>89.156329263392152</c:v>
                </c:pt>
                <c:pt idx="58">
                  <c:v>89.136729214261095</c:v>
                </c:pt>
                <c:pt idx="59">
                  <c:v>89.116676302209314</c:v>
                </c:pt>
                <c:pt idx="60">
                  <c:v>89.096160241086778</c:v>
                </c:pt>
                <c:pt idx="61">
                  <c:v>89.075170523807813</c:v>
                </c:pt>
                <c:pt idx="62">
                  <c:v>89.053696418526258</c:v>
                </c:pt>
                <c:pt idx="63">
                  <c:v>89.031726964814837</c:v>
                </c:pt>
                <c:pt idx="64">
                  <c:v>89.00925096985479</c:v>
                </c:pt>
                <c:pt idx="65">
                  <c:v>88.986257004643178</c:v>
                </c:pt>
                <c:pt idx="66">
                  <c:v>88.962733400225261</c:v>
                </c:pt>
                <c:pt idx="67">
                  <c:v>88.938668243961132</c:v>
                </c:pt>
                <c:pt idx="68">
                  <c:v>88.914049375834836</c:v>
                </c:pt>
                <c:pt idx="69">
                  <c:v>88.888864384816799</c:v>
                </c:pt>
                <c:pt idx="70">
                  <c:v>88.863100605289688</c:v>
                </c:pt>
                <c:pt idx="71">
                  <c:v>88.836745113549981</c:v>
                </c:pt>
                <c:pt idx="72">
                  <c:v>88.809784724397261</c:v>
                </c:pt>
                <c:pt idx="73">
                  <c:v>88.782205987825549</c:v>
                </c:pt>
                <c:pt idx="74">
                  <c:v>88.753995185830732</c:v>
                </c:pt>
                <c:pt idx="75">
                  <c:v>88.725138329350642</c:v>
                </c:pt>
                <c:pt idx="76">
                  <c:v>88.695621155354274</c:v>
                </c:pt>
                <c:pt idx="77">
                  <c:v>88.665429124099134</c:v>
                </c:pt>
                <c:pt idx="78">
                  <c:v>88.634547416576183</c:v>
                </c:pt>
                <c:pt idx="79">
                  <c:v>88.602960932163953</c:v>
                </c:pt>
                <c:pt idx="80">
                  <c:v>88.57065428651444</c:v>
                </c:pt>
                <c:pt idx="81">
                  <c:v>88.537611809695932</c:v>
                </c:pt>
                <c:pt idx="82">
                  <c:v>88.503817544618542</c:v>
                </c:pt>
                <c:pt idx="83">
                  <c:v>88.469255245771009</c:v>
                </c:pt>
                <c:pt idx="84">
                  <c:v>88.433908378299478</c:v>
                </c:pt>
                <c:pt idx="85">
                  <c:v>88.397760117459868</c:v>
                </c:pt>
                <c:pt idx="86">
                  <c:v>88.360793348479376</c:v>
                </c:pt>
                <c:pt idx="87">
                  <c:v>88.322990666863916</c:v>
                </c:pt>
                <c:pt idx="88">
                  <c:v>88.284334379190909</c:v>
                </c:pt>
                <c:pt idx="89">
                  <c:v>88.244806504430329</c:v>
                </c:pt>
                <c:pt idx="90">
                  <c:v>88.204388775838837</c:v>
                </c:pt>
                <c:pt idx="91">
                  <c:v>88.163062643475044</c:v>
                </c:pt>
                <c:pt idx="92">
                  <c:v>88.120809277387878</c:v>
                </c:pt>
                <c:pt idx="93">
                  <c:v>88.077609571531681</c:v>
                </c:pt>
                <c:pt idx="94">
                  <c:v>88.033444148467424</c:v>
                </c:pt>
                <c:pt idx="95">
                  <c:v>87.988293364910547</c:v>
                </c:pt>
                <c:pt idx="96">
                  <c:v>87.942137318191953</c:v>
                </c:pt>
                <c:pt idx="97">
                  <c:v>87.894955853701745</c:v>
                </c:pt>
                <c:pt idx="98">
                  <c:v>87.846728573388432</c:v>
                </c:pt>
                <c:pt idx="99">
                  <c:v>87.797434845393738</c:v>
                </c:pt>
                <c:pt idx="100">
                  <c:v>87.747053814903992</c:v>
                </c:pt>
                <c:pt idx="101">
                  <c:v>87.695564416306468</c:v>
                </c:pt>
                <c:pt idx="102">
                  <c:v>87.642945386743094</c:v>
                </c:pt>
                <c:pt idx="103">
                  <c:v>87.589175281158774</c:v>
                </c:pt>
                <c:pt idx="104">
                  <c:v>87.534232488947296</c:v>
                </c:pt>
                <c:pt idx="105">
                  <c:v>87.47809525230295</c:v>
                </c:pt>
                <c:pt idx="106">
                  <c:v>87.42074168639121</c:v>
                </c:pt>
                <c:pt idx="107">
                  <c:v>87.362149801458429</c:v>
                </c:pt>
                <c:pt idx="108">
                  <c:v>87.302297527005621</c:v>
                </c:pt>
                <c:pt idx="109">
                  <c:v>87.241162738156632</c:v>
                </c:pt>
                <c:pt idx="110">
                  <c:v>87.178723284358085</c:v>
                </c:pt>
                <c:pt idx="111">
                  <c:v>87.114957020554613</c:v>
                </c:pt>
                <c:pt idx="112">
                  <c:v>87.049841840986574</c:v>
                </c:pt>
                <c:pt idx="113">
                  <c:v>86.983355715765867</c:v>
                </c:pt>
                <c:pt idx="114">
                  <c:v>86.915476730389983</c:v>
                </c:pt>
                <c:pt idx="115">
                  <c:v>86.846183128359968</c:v>
                </c:pt>
                <c:pt idx="116">
                  <c:v>86.775453357072706</c:v>
                </c:pt>
                <c:pt idx="117">
                  <c:v>86.703266117165171</c:v>
                </c:pt>
                <c:pt idx="118">
                  <c:v>86.629600415489335</c:v>
                </c:pt>
                <c:pt idx="119">
                  <c:v>86.554435621903949</c:v>
                </c:pt>
                <c:pt idx="120">
                  <c:v>86.477751530069966</c:v>
                </c:pt>
                <c:pt idx="121">
                  <c:v>86.399528422441549</c:v>
                </c:pt>
                <c:pt idx="122">
                  <c:v>86.319747139644363</c:v>
                </c:pt>
                <c:pt idx="123">
                  <c:v>86.23838915443433</c:v>
                </c:pt>
                <c:pt idx="124">
                  <c:v>86.1554366504309</c:v>
                </c:pt>
                <c:pt idx="125">
                  <c:v>86.070872605815595</c:v>
                </c:pt>
                <c:pt idx="126">
                  <c:v>85.984680882182346</c:v>
                </c:pt>
                <c:pt idx="127">
                  <c:v>85.896846318725238</c:v>
                </c:pt>
                <c:pt idx="128">
                  <c:v>85.80735483193709</c:v>
                </c:pt>
                <c:pt idx="129">
                  <c:v>85.716193520986764</c:v>
                </c:pt>
                <c:pt idx="130">
                  <c:v>85.623350778929449</c:v>
                </c:pt>
                <c:pt idx="131">
                  <c:v>85.528816409891036</c:v>
                </c:pt>
                <c:pt idx="132">
                  <c:v>85.432581752348327</c:v>
                </c:pt>
                <c:pt idx="133">
                  <c:v>85.334639808608259</c:v>
                </c:pt>
                <c:pt idx="134">
                  <c:v>85.234985380562875</c:v>
                </c:pt>
                <c:pt idx="135">
                  <c:v>85.133615211768941</c:v>
                </c:pt>
                <c:pt idx="136">
                  <c:v>85.03052813586919</c:v>
                </c:pt>
                <c:pt idx="137">
                  <c:v>84.925725231332748</c:v>
                </c:pt>
                <c:pt idx="138">
                  <c:v>84.819209982452961</c:v>
                </c:pt>
                <c:pt idx="139">
                  <c:v>84.710988446489026</c:v>
                </c:pt>
                <c:pt idx="140">
                  <c:v>84.601069426789437</c:v>
                </c:pt>
                <c:pt idx="141">
                  <c:v>84.489464651671142</c:v>
                </c:pt>
                <c:pt idx="142">
                  <c:v>84.376188958768282</c:v>
                </c:pt>
                <c:pt idx="143">
                  <c:v>84.261260484487451</c:v>
                </c:pt>
                <c:pt idx="144">
                  <c:v>84.144700858133106</c:v>
                </c:pt>
                <c:pt idx="145">
                  <c:v>84.02653540017765</c:v>
                </c:pt>
                <c:pt idx="146">
                  <c:v>83.90679332406377</c:v>
                </c:pt>
                <c:pt idx="147">
                  <c:v>83.78550794082409</c:v>
                </c:pt>
                <c:pt idx="148">
                  <c:v>83.662716865701981</c:v>
                </c:pt>
                <c:pt idx="149">
                  <c:v>83.538462225845194</c:v>
                </c:pt>
                <c:pt idx="150">
                  <c:v>83.412790868027514</c:v>
                </c:pt>
                <c:pt idx="151">
                  <c:v>83.285754565231173</c:v>
                </c:pt>
                <c:pt idx="152">
                  <c:v>83.157410220800955</c:v>
                </c:pt>
                <c:pt idx="153">
                  <c:v>83.027820068740439</c:v>
                </c:pt>
                <c:pt idx="154">
                  <c:v>82.897051868604123</c:v>
                </c:pt>
                <c:pt idx="155">
                  <c:v>82.765179093289206</c:v>
                </c:pt>
                <c:pt idx="156">
                  <c:v>82.632281107910913</c:v>
                </c:pt>
                <c:pt idx="157">
                  <c:v>82.498443337804915</c:v>
                </c:pt>
                <c:pt idx="158">
                  <c:v>82.363757423580253</c:v>
                </c:pt>
                <c:pt idx="159">
                  <c:v>82.228321361020619</c:v>
                </c:pt>
                <c:pt idx="160">
                  <c:v>82.092239623525785</c:v>
                </c:pt>
                <c:pt idx="161">
                  <c:v>81.955623264678252</c:v>
                </c:pt>
                <c:pt idx="162">
                  <c:v>81.818589998443798</c:v>
                </c:pt>
                <c:pt idx="163">
                  <c:v>81.681264254438872</c:v>
                </c:pt>
                <c:pt idx="164">
                  <c:v>81.543777205657975</c:v>
                </c:pt>
                <c:pt idx="165">
                  <c:v>81.406266766028907</c:v>
                </c:pt>
                <c:pt idx="166">
                  <c:v>81.268877555167862</c:v>
                </c:pt>
                <c:pt idx="167">
                  <c:v>81.131760827750384</c:v>
                </c:pt>
                <c:pt idx="168">
                  <c:v>80.995074364975295</c:v>
                </c:pt>
                <c:pt idx="169">
                  <c:v>80.858982325717164</c:v>
                </c:pt>
                <c:pt idx="170">
                  <c:v>80.723655055104629</c:v>
                </c:pt>
                <c:pt idx="171">
                  <c:v>80.58926884846025</c:v>
                </c:pt>
                <c:pt idx="172">
                  <c:v>80.456005668766267</c:v>
                </c:pt>
                <c:pt idx="173">
                  <c:v>80.324052816113706</c:v>
                </c:pt>
                <c:pt idx="174">
                  <c:v>80.193602547910587</c:v>
                </c:pt>
                <c:pt idx="175">
                  <c:v>80.064851649011374</c:v>
                </c:pt>
                <c:pt idx="176">
                  <c:v>79.938000951343668</c:v>
                </c:pt>
                <c:pt idx="177">
                  <c:v>79.813254803079673</c:v>
                </c:pt>
                <c:pt idx="178">
                  <c:v>79.690820487902272</c:v>
                </c:pt>
                <c:pt idx="179">
                  <c:v>79.570907595458934</c:v>
                </c:pt>
                <c:pt idx="180">
                  <c:v>79.453727344672728</c:v>
                </c:pt>
                <c:pt idx="181">
                  <c:v>79.339491862174143</c:v>
                </c:pt>
                <c:pt idx="182">
                  <c:v>79.228413418736025</c:v>
                </c:pt>
                <c:pt idx="183">
                  <c:v>79.120703627216074</c:v>
                </c:pt>
                <c:pt idx="184">
                  <c:v>79.016572606136393</c:v>
                </c:pt>
                <c:pt idx="185">
                  <c:v>78.91622811363861</c:v>
                </c:pt>
                <c:pt idx="186">
                  <c:v>78.819874657146613</c:v>
                </c:pt>
                <c:pt idx="187">
                  <c:v>78.727712584620704</c:v>
                </c:pt>
                <c:pt idx="188">
                  <c:v>78.639937163801633</c:v>
                </c:pt>
                <c:pt idx="189">
                  <c:v>78.556737656298779</c:v>
                </c:pt>
                <c:pt idx="190">
                  <c:v>78.478296393756608</c:v>
                </c:pt>
                <c:pt idx="191">
                  <c:v>78.404787863655685</c:v>
                </c:pt>
                <c:pt idx="192">
                  <c:v>78.336377812511614</c:v>
                </c:pt>
                <c:pt idx="193">
                  <c:v>78.273222374375223</c:v>
                </c:pt>
                <c:pt idx="194">
                  <c:v>78.215467232553067</c:v>
                </c:pt>
                <c:pt idx="195">
                  <c:v>78.163246822386213</c:v>
                </c:pt>
                <c:pt idx="196">
                  <c:v>78.116683582733856</c:v>
                </c:pt>
                <c:pt idx="197">
                  <c:v>78.075887263502167</c:v>
                </c:pt>
                <c:pt idx="198">
                  <c:v>78.04095429614037</c:v>
                </c:pt>
                <c:pt idx="199">
                  <c:v>78.011967233516017</c:v>
                </c:pt>
                <c:pt idx="200">
                  <c:v>77.98899426494738</c:v>
                </c:pt>
                <c:pt idx="201">
                  <c:v>77.972088811464545</c:v>
                </c:pt>
                <c:pt idx="202">
                  <c:v>77.961289205574829</c:v>
                </c:pt>
                <c:pt idx="203">
                  <c:v>77.956618458942046</c:v>
                </c:pt>
                <c:pt idx="204">
                  <c:v>77.958084120462416</c:v>
                </c:pt>
                <c:pt idx="205">
                  <c:v>77.965678226266661</c:v>
                </c:pt>
                <c:pt idx="206">
                  <c:v>77.97937734217281</c:v>
                </c:pt>
                <c:pt idx="207">
                  <c:v>77.999142698133397</c:v>
                </c:pt>
                <c:pt idx="208">
                  <c:v>78.02492041321905</c:v>
                </c:pt>
                <c:pt idx="209">
                  <c:v>78.056641808715469</c:v>
                </c:pt>
                <c:pt idx="210">
                  <c:v>78.094223805989827</c:v>
                </c:pt>
                <c:pt idx="211">
                  <c:v>78.137569404907069</c:v>
                </c:pt>
                <c:pt idx="212">
                  <c:v>78.186568237782438</c:v>
                </c:pt>
                <c:pt idx="213">
                  <c:v>78.241097193126166</c:v>
                </c:pt>
                <c:pt idx="214">
                  <c:v>78.301021102819618</c:v>
                </c:pt>
                <c:pt idx="215">
                  <c:v>78.366193485826543</c:v>
                </c:pt>
                <c:pt idx="216">
                  <c:v>78.436457341122832</c:v>
                </c:pt>
                <c:pt idx="217">
                  <c:v>78.511645982218866</c:v>
                </c:pt>
                <c:pt idx="218">
                  <c:v>78.591583905437631</c:v>
                </c:pt>
                <c:pt idx="219">
                  <c:v>78.676087684036602</c:v>
                </c:pt>
                <c:pt idx="220">
                  <c:v>78.764966880258925</c:v>
                </c:pt>
                <c:pt idx="221">
                  <c:v>78.858024967539222</c:v>
                </c:pt>
                <c:pt idx="222">
                  <c:v>78.955060255281197</c:v>
                </c:pt>
                <c:pt idx="223">
                  <c:v>79.055866808955841</c:v>
                </c:pt>
                <c:pt idx="224">
                  <c:v>79.160235358621506</c:v>
                </c:pt>
                <c:pt idx="225">
                  <c:v>79.267954189442733</c:v>
                </c:pt>
                <c:pt idx="226">
                  <c:v>79.37881000827548</c:v>
                </c:pt>
                <c:pt idx="227">
                  <c:v>79.492588780945241</c:v>
                </c:pt>
                <c:pt idx="228">
                  <c:v>79.609076535438163</c:v>
                </c:pt>
                <c:pt idx="229">
                  <c:v>79.728060126820196</c:v>
                </c:pt>
                <c:pt idx="230">
                  <c:v>79.849327960343075</c:v>
                </c:pt>
                <c:pt idx="231">
                  <c:v>79.97267066979893</c:v>
                </c:pt>
                <c:pt idx="232">
                  <c:v>80.097881748815809</c:v>
                </c:pt>
                <c:pt idx="233">
                  <c:v>80.224758133382366</c:v>
                </c:pt>
                <c:pt idx="234">
                  <c:v>80.353100734459943</c:v>
                </c:pt>
                <c:pt idx="235">
                  <c:v>80.48271492009394</c:v>
                </c:pt>
                <c:pt idx="236">
                  <c:v>80.61341094693779</c:v>
                </c:pt>
                <c:pt idx="237">
                  <c:v>80.745004341574628</c:v>
                </c:pt>
                <c:pt idx="238">
                  <c:v>80.877316232446745</c:v>
                </c:pt>
                <c:pt idx="239">
                  <c:v>81.010173633578063</c:v>
                </c:pt>
                <c:pt idx="240">
                  <c:v>81.143409681613591</c:v>
                </c:pt>
                <c:pt idx="241">
                  <c:v>81.276863827981302</c:v>
                </c:pt>
                <c:pt idx="242">
                  <c:v>81.410381988222412</c:v>
                </c:pt>
                <c:pt idx="243">
                  <c:v>81.543816650729013</c:v>
                </c:pt>
                <c:pt idx="244">
                  <c:v>81.67702694728672</c:v>
                </c:pt>
                <c:pt idx="245">
                  <c:v>81.809878687918257</c:v>
                </c:pt>
                <c:pt idx="246">
                  <c:v>81.942244362612342</c:v>
                </c:pt>
                <c:pt idx="247">
                  <c:v>82.074003112547473</c:v>
                </c:pt>
                <c:pt idx="248">
                  <c:v>82.205040673439029</c:v>
                </c:pt>
                <c:pt idx="249">
                  <c:v>82.335249293607248</c:v>
                </c:pt>
                <c:pt idx="250">
                  <c:v>82.464527629325858</c:v>
                </c:pt>
                <c:pt idx="251">
                  <c:v>82.592780619943056</c:v>
                </c:pt>
                <c:pt idx="252">
                  <c:v>82.719919345176734</c:v>
                </c:pt>
                <c:pt idx="253">
                  <c:v>82.845860866894753</c:v>
                </c:pt>
                <c:pt idx="254">
                  <c:v>82.970528057574654</c:v>
                </c:pt>
                <c:pt idx="255">
                  <c:v>83.093849417512928</c:v>
                </c:pt>
                <c:pt idx="256">
                  <c:v>83.215758882741426</c:v>
                </c:pt>
                <c:pt idx="257">
                  <c:v>83.336195625455531</c:v>
                </c:pt>
                <c:pt idx="258">
                  <c:v>83.45510384864312</c:v>
                </c:pt>
                <c:pt idx="259">
                  <c:v>83.572432576462177</c:v>
                </c:pt>
                <c:pt idx="260">
                  <c:v>83.688135441776851</c:v>
                </c:pt>
                <c:pt idx="261">
                  <c:v>83.802170472138229</c:v>
                </c:pt>
                <c:pt idx="262">
                  <c:v>83.914499875366403</c:v>
                </c:pt>
                <c:pt idx="263">
                  <c:v>84.025089825762464</c:v>
                </c:pt>
                <c:pt idx="264">
                  <c:v>84.133910251867803</c:v>
                </c:pt>
                <c:pt idx="265">
                  <c:v>84.240934626572596</c:v>
                </c:pt>
                <c:pt idx="266">
                  <c:v>84.346139760267988</c:v>
                </c:pt>
                <c:pt idx="267">
                  <c:v>84.44950559763879</c:v>
                </c:pt>
                <c:pt idx="268">
                  <c:v>84.551015018600836</c:v>
                </c:pt>
                <c:pt idx="269">
                  <c:v>84.650653643798648</c:v>
                </c:pt>
                <c:pt idx="270">
                  <c:v>84.748409644998745</c:v>
                </c:pt>
                <c:pt idx="271">
                  <c:v>84.844273560645405</c:v>
                </c:pt>
                <c:pt idx="272">
                  <c:v>84.938238116772013</c:v>
                </c:pt>
                <c:pt idx="273">
                  <c:v>85.030298053404323</c:v>
                </c:pt>
                <c:pt idx="274">
                  <c:v>85.120449956537726</c:v>
                </c:pt>
                <c:pt idx="275">
                  <c:v>85.208692095716728</c:v>
                </c:pt>
                <c:pt idx="276">
                  <c:v>85.295024267206898</c:v>
                </c:pt>
                <c:pt idx="277">
                  <c:v>85.379447642704349</c:v>
                </c:pt>
                <c:pt idx="278">
                  <c:v>85.461964623500165</c:v>
                </c:pt>
                <c:pt idx="279">
                  <c:v>85.542578699978591</c:v>
                </c:pt>
                <c:pt idx="280">
                  <c:v>85.621294316312358</c:v>
                </c:pt>
                <c:pt idx="281">
                  <c:v>85.698116740188368</c:v>
                </c:pt>
                <c:pt idx="282">
                  <c:v>85.77305193737925</c:v>
                </c:pt>
                <c:pt idx="283">
                  <c:v>85.846106450968207</c:v>
                </c:pt>
                <c:pt idx="284">
                  <c:v>85.917287285010005</c:v>
                </c:pt>
                <c:pt idx="285">
                  <c:v>85.986601792414831</c:v>
                </c:pt>
                <c:pt idx="286">
                  <c:v>86.054057566820944</c:v>
                </c:pt>
                <c:pt idx="287">
                  <c:v>86.119662338230029</c:v>
                </c:pt>
                <c:pt idx="288">
                  <c:v>86.183423872165037</c:v>
                </c:pt>
                <c:pt idx="289">
                  <c:v>86.245349872118695</c:v>
                </c:pt>
                <c:pt idx="290">
                  <c:v>86.305447885055443</c:v>
                </c:pt>
                <c:pt idx="291">
                  <c:v>86.363725209733531</c:v>
                </c:pt>
                <c:pt idx="292">
                  <c:v>86.420188807621727</c:v>
                </c:pt>
                <c:pt idx="293">
                  <c:v>86.474845216186736</c:v>
                </c:pt>
                <c:pt idx="294">
                  <c:v>86.527700464334401</c:v>
                </c:pt>
                <c:pt idx="295">
                  <c:v>86.578759989799863</c:v>
                </c:pt>
                <c:pt idx="296">
                  <c:v>86.628028558287653</c:v>
                </c:pt>
                <c:pt idx="297">
                  <c:v>86.675510184177355</c:v>
                </c:pt>
                <c:pt idx="298">
                  <c:v>86.721208052616717</c:v>
                </c:pt>
                <c:pt idx="299">
                  <c:v>86.765124442848716</c:v>
                </c:pt>
                <c:pt idx="300">
                  <c:v>86.807260652619902</c:v>
                </c:pt>
                <c:pt idx="301">
                  <c:v>86.847616923545175</c:v>
                </c:pt>
                <c:pt idx="302">
                  <c:v>86.886192367316639</c:v>
                </c:pt>
                <c:pt idx="303">
                  <c:v>86.922984892663891</c:v>
                </c:pt>
                <c:pt idx="304">
                  <c:v>86.957991132992277</c:v>
                </c:pt>
                <c:pt idx="305">
                  <c:v>86.991206374651043</c:v>
                </c:pt>
                <c:pt idx="306">
                  <c:v>87.022624485802524</c:v>
                </c:pt>
                <c:pt idx="307">
                  <c:v>87.052237845889508</c:v>
                </c:pt>
                <c:pt idx="308">
                  <c:v>87.080037275727875</c:v>
                </c:pt>
                <c:pt idx="309">
                  <c:v>87.106011968271673</c:v>
                </c:pt>
                <c:pt idx="310">
                  <c:v>87.13014942013433</c:v>
                </c:pt>
                <c:pt idx="311">
                  <c:v>87.152435363974675</c:v>
                </c:pt>
                <c:pt idx="312">
                  <c:v>87.172853701894738</c:v>
                </c:pt>
                <c:pt idx="313">
                  <c:v>87.191386440019883</c:v>
                </c:pt>
                <c:pt idx="314">
                  <c:v>87.208013624475569</c:v>
                </c:pt>
                <c:pt idx="315">
                  <c:v>87.222713279002733</c:v>
                </c:pt>
                <c:pt idx="316">
                  <c:v>87.235461344493956</c:v>
                </c:pt>
                <c:pt idx="317">
                  <c:v>87.246231620764661</c:v>
                </c:pt>
                <c:pt idx="318">
                  <c:v>87.254995710913718</c:v>
                </c:pt>
                <c:pt idx="319">
                  <c:v>87.261722968656215</c:v>
                </c:pt>
                <c:pt idx="320">
                  <c:v>87.266380449055021</c:v>
                </c:pt>
                <c:pt idx="321">
                  <c:v>87.268932863102847</c:v>
                </c:pt>
                <c:pt idx="322">
                  <c:v>87.269342536638121</c:v>
                </c:pt>
                <c:pt idx="323">
                  <c:v>87.267569374113918</c:v>
                </c:pt>
                <c:pt idx="324">
                  <c:v>87.263570827754052</c:v>
                </c:pt>
                <c:pt idx="325">
                  <c:v>87.257301872658189</c:v>
                </c:pt>
                <c:pt idx="326">
                  <c:v>87.248714988426784</c:v>
                </c:pt>
                <c:pt idx="327">
                  <c:v>87.237760147898996</c:v>
                </c:pt>
                <c:pt idx="328">
                  <c:v>87.224384813584322</c:v>
                </c:pt>
                <c:pt idx="329">
                  <c:v>87.208533942373407</c:v>
                </c:pt>
                <c:pt idx="330">
                  <c:v>87.190149999103809</c:v>
                </c:pt>
                <c:pt idx="331">
                  <c:v>87.16917297952287</c:v>
                </c:pt>
                <c:pt idx="332">
                  <c:v>87.145540443171313</c:v>
                </c:pt>
                <c:pt idx="333">
                  <c:v>87.119187556654609</c:v>
                </c:pt>
                <c:pt idx="334">
                  <c:v>87.090047147729635</c:v>
                </c:pt>
                <c:pt idx="335">
                  <c:v>87.058049770550895</c:v>
                </c:pt>
                <c:pt idx="336">
                  <c:v>87.023123782363484</c:v>
                </c:pt>
                <c:pt idx="337">
                  <c:v>86.985195431813978</c:v>
                </c:pt>
                <c:pt idx="338">
                  <c:v>86.944188958976582</c:v>
                </c:pt>
                <c:pt idx="339">
                  <c:v>86.90002670705411</c:v>
                </c:pt>
                <c:pt idx="340">
                  <c:v>86.852629245606039</c:v>
                </c:pt>
                <c:pt idx="341">
                  <c:v>86.801915505012204</c:v>
                </c:pt>
                <c:pt idx="342">
                  <c:v>86.747802921746086</c:v>
                </c:pt>
                <c:pt idx="343">
                  <c:v>86.690207593876522</c:v>
                </c:pt>
                <c:pt idx="344">
                  <c:v>86.629044446074275</c:v>
                </c:pt>
                <c:pt idx="345">
                  <c:v>86.564227403236359</c:v>
                </c:pt>
                <c:pt idx="346">
                  <c:v>86.495669571689049</c:v>
                </c:pt>
                <c:pt idx="347">
                  <c:v>86.423283426794455</c:v>
                </c:pt>
                <c:pt idx="348">
                  <c:v>86.346981005618446</c:v>
                </c:pt>
                <c:pt idx="349">
                  <c:v>86.266674103212296</c:v>
                </c:pt>
                <c:pt idx="350">
                  <c:v>86.182274470919992</c:v>
                </c:pt>
                <c:pt idx="351">
                  <c:v>86.093694015035979</c:v>
                </c:pt>
                <c:pt idx="352">
                  <c:v>86.000844994046503</c:v>
                </c:pt>
                <c:pt idx="353">
                  <c:v>85.903640212635153</c:v>
                </c:pt>
                <c:pt idx="354">
                  <c:v>85.801993210591732</c:v>
                </c:pt>
                <c:pt idx="355">
                  <c:v>85.695818444768904</c:v>
                </c:pt>
                <c:pt idx="356">
                  <c:v>85.585031462240849</c:v>
                </c:pt>
                <c:pt idx="357">
                  <c:v>85.469549062880503</c:v>
                </c:pt>
                <c:pt idx="358">
                  <c:v>85.349289449655018</c:v>
                </c:pt>
                <c:pt idx="359">
                  <c:v>85.224172365051757</c:v>
                </c:pt>
                <c:pt idx="360">
                  <c:v>85.094119212192538</c:v>
                </c:pt>
                <c:pt idx="361">
                  <c:v>84.959053159366889</c:v>
                </c:pt>
                <c:pt idx="362">
                  <c:v>84.818899226914667</c:v>
                </c:pt>
                <c:pt idx="363">
                  <c:v>84.673584355606323</c:v>
                </c:pt>
                <c:pt idx="364">
                  <c:v>84.523037455910185</c:v>
                </c:pt>
                <c:pt idx="365">
                  <c:v>84.367189437786834</c:v>
                </c:pt>
                <c:pt idx="366">
                  <c:v>84.205973220928442</c:v>
                </c:pt>
                <c:pt idx="367">
                  <c:v>84.039323725603481</c:v>
                </c:pt>
                <c:pt idx="368">
                  <c:v>83.867177844569269</c:v>
                </c:pt>
                <c:pt idx="369">
                  <c:v>83.689474396758797</c:v>
                </c:pt>
                <c:pt idx="370">
                  <c:v>83.506154063703619</c:v>
                </c:pt>
                <c:pt idx="371">
                  <c:v>83.31715930991399</c:v>
                </c:pt>
                <c:pt idx="372">
                  <c:v>83.122434288639695</c:v>
                </c:pt>
                <c:pt idx="373">
                  <c:v>82.921924734649863</c:v>
                </c:pt>
                <c:pt idx="374">
                  <c:v>82.715577845840102</c:v>
                </c:pt>
                <c:pt idx="375">
                  <c:v>82.503342155630662</c:v>
                </c:pt>
                <c:pt idx="376">
                  <c:v>82.285167398221859</c:v>
                </c:pt>
                <c:pt idx="377">
                  <c:v>82.061004368893407</c:v>
                </c:pt>
                <c:pt idx="378">
                  <c:v>81.830804781550086</c:v>
                </c:pt>
                <c:pt idx="379">
                  <c:v>81.594521125790394</c:v>
                </c:pt>
                <c:pt idx="380">
                  <c:v>81.352106525726981</c:v>
                </c:pt>
                <c:pt idx="381">
                  <c:v>81.103514602803656</c:v>
                </c:pt>
                <c:pt idx="382">
                  <c:v>80.848699344758927</c:v>
                </c:pt>
                <c:pt idx="383">
                  <c:v>80.587614982834467</c:v>
                </c:pt>
                <c:pt idx="384">
                  <c:v>80.320215879216789</c:v>
                </c:pt>
                <c:pt idx="385">
                  <c:v>80.046456426583745</c:v>
                </c:pt>
                <c:pt idx="386">
                  <c:v>79.76629096150009</c:v>
                </c:pt>
                <c:pt idx="387">
                  <c:v>79.479673693259059</c:v>
                </c:pt>
                <c:pt idx="388">
                  <c:v>79.186558649617339</c:v>
                </c:pt>
                <c:pt idx="389">
                  <c:v>78.886899640718624</c:v>
                </c:pt>
                <c:pt idx="390">
                  <c:v>78.580650242329938</c:v>
                </c:pt>
                <c:pt idx="391">
                  <c:v>78.26776379936048</c:v>
                </c:pt>
                <c:pt idx="392">
                  <c:v>77.948193450475245</c:v>
                </c:pt>
                <c:pt idx="393">
                  <c:v>77.621892174456704</c:v>
                </c:pt>
                <c:pt idx="394">
                  <c:v>77.288812858805485</c:v>
                </c:pt>
                <c:pt idx="395">
                  <c:v>76.948908390947267</c:v>
                </c:pt>
                <c:pt idx="396">
                  <c:v>76.602131772241776</c:v>
                </c:pt>
                <c:pt idx="397">
                  <c:v>76.248436254889256</c:v>
                </c:pt>
                <c:pt idx="398">
                  <c:v>75.887775501664763</c:v>
                </c:pt>
                <c:pt idx="399">
                  <c:v>75.520103768322755</c:v>
                </c:pt>
                <c:pt idx="400">
                  <c:v>75.145376108377278</c:v>
                </c:pt>
                <c:pt idx="401">
                  <c:v>74.763548599854332</c:v>
                </c:pt>
                <c:pt idx="402">
                  <c:v>74.37457859351494</c:v>
                </c:pt>
                <c:pt idx="403">
                  <c:v>73.97842498193782</c:v>
                </c:pt>
                <c:pt idx="404">
                  <c:v>73.575048488742425</c:v>
                </c:pt>
                <c:pt idx="405">
                  <c:v>73.164411977147296</c:v>
                </c:pt>
                <c:pt idx="406">
                  <c:v>72.746480776945518</c:v>
                </c:pt>
                <c:pt idx="407">
                  <c:v>72.321223028882002</c:v>
                </c:pt>
                <c:pt idx="408">
                  <c:v>71.888610045315545</c:v>
                </c:pt>
                <c:pt idx="409">
                  <c:v>71.448616685938077</c:v>
                </c:pt>
                <c:pt idx="410">
                  <c:v>71.001221747216292</c:v>
                </c:pt>
                <c:pt idx="411">
                  <c:v>70.546408364106227</c:v>
                </c:pt>
                <c:pt idx="412">
                  <c:v>70.084164422474799</c:v>
                </c:pt>
                <c:pt idx="413">
                  <c:v>69.614482980531349</c:v>
                </c:pt>
                <c:pt idx="414">
                  <c:v>69.137362697458343</c:v>
                </c:pt>
                <c:pt idx="415">
                  <c:v>68.652808267289871</c:v>
                </c:pt>
                <c:pt idx="416">
                  <c:v>68.1608308559519</c:v>
                </c:pt>
                <c:pt idx="417">
                  <c:v>67.661448539249903</c:v>
                </c:pt>
                <c:pt idx="418">
                  <c:v>67.154686739445779</c:v>
                </c:pt>
                <c:pt idx="419">
                  <c:v>66.640578657934213</c:v>
                </c:pt>
                <c:pt idx="420">
                  <c:v>66.119165701390571</c:v>
                </c:pt>
                <c:pt idx="421">
                  <c:v>65.590497898643235</c:v>
                </c:pt>
                <c:pt idx="422">
                  <c:v>65.054634305395552</c:v>
                </c:pt>
                <c:pt idx="423">
                  <c:v>64.511643393811582</c:v>
                </c:pt>
                <c:pt idx="424">
                  <c:v>63.961603423894815</c:v>
                </c:pt>
                <c:pt idx="425">
                  <c:v>63.404602793493872</c:v>
                </c:pt>
                <c:pt idx="426">
                  <c:v>62.840740363719519</c:v>
                </c:pt>
                <c:pt idx="427">
                  <c:v>62.270125756517814</c:v>
                </c:pt>
                <c:pt idx="428">
                  <c:v>61.692879621130906</c:v>
                </c:pt>
                <c:pt idx="429">
                  <c:v>61.109133866193517</c:v>
                </c:pt>
                <c:pt idx="430">
                  <c:v>60.519031854276619</c:v>
                </c:pt>
                <c:pt idx="431">
                  <c:v>59.92272855576072</c:v>
                </c:pt>
                <c:pt idx="432">
                  <c:v>59.320390659055334</c:v>
                </c:pt>
                <c:pt idx="433">
                  <c:v>58.71219663434254</c:v>
                </c:pt>
                <c:pt idx="434">
                  <c:v>58.098336748234225</c:v>
                </c:pt>
                <c:pt idx="435">
                  <c:v>57.479013026965276</c:v>
                </c:pt>
                <c:pt idx="436">
                  <c:v>56.854439166056025</c:v>
                </c:pt>
                <c:pt idx="437">
                  <c:v>56.224840384691326</c:v>
                </c:pt>
                <c:pt idx="438">
                  <c:v>55.590453223444285</c:v>
                </c:pt>
                <c:pt idx="439">
                  <c:v>54.951525284378789</c:v>
                </c:pt>
                <c:pt idx="440">
                  <c:v>54.308314913014989</c:v>
                </c:pt>
                <c:pt idx="441">
                  <c:v>53.661090822098508</c:v>
                </c:pt>
                <c:pt idx="442">
                  <c:v>53.010131657638233</c:v>
                </c:pt>
                <c:pt idx="443">
                  <c:v>52.355725508173222</c:v>
                </c:pt>
                <c:pt idx="444">
                  <c:v>51.698169358767466</c:v>
                </c:pt>
                <c:pt idx="445">
                  <c:v>51.037768491771061</c:v>
                </c:pt>
                <c:pt idx="446">
                  <c:v>50.374835836906016</c:v>
                </c:pt>
                <c:pt idx="447">
                  <c:v>49.709691273773011</c:v>
                </c:pt>
                <c:pt idx="448">
                  <c:v>49.042660890358114</c:v>
                </c:pt>
                <c:pt idx="449">
                  <c:v>48.374076201605675</c:v>
                </c:pt>
                <c:pt idx="450">
                  <c:v>47.704273332558365</c:v>
                </c:pt>
                <c:pt idx="451">
                  <c:v>47.033592170958087</c:v>
                </c:pt>
                <c:pt idx="452">
                  <c:v>46.362375494540458</c:v>
                </c:pt>
                <c:pt idx="453">
                  <c:v>45.69096807855707</c:v>
                </c:pt>
                <c:pt idx="454">
                  <c:v>45.019715789262143</c:v>
                </c:pt>
                <c:pt idx="455">
                  <c:v>44.348964669278402</c:v>
                </c:pt>
                <c:pt idx="456">
                  <c:v>43.679060020830121</c:v>
                </c:pt>
                <c:pt idx="457">
                  <c:v>43.010345492856771</c:v>
                </c:pt>
                <c:pt idx="458">
                  <c:v>42.343162177953509</c:v>
                </c:pt>
                <c:pt idx="459">
                  <c:v>41.677847724977688</c:v>
                </c:pt>
                <c:pt idx="460">
                  <c:v>41.014735472946924</c:v>
                </c:pt>
                <c:pt idx="461">
                  <c:v>40.354153611606897</c:v>
                </c:pt>
                <c:pt idx="462">
                  <c:v>39.696424373727076</c:v>
                </c:pt>
                <c:pt idx="463">
                  <c:v>39.041863263805446</c:v>
                </c:pt>
                <c:pt idx="464">
                  <c:v>38.390778327451478</c:v>
                </c:pt>
                <c:pt idx="465">
                  <c:v>37.743469465250236</c:v>
                </c:pt>
                <c:pt idx="466">
                  <c:v>37.100227794429841</c:v>
                </c:pt>
                <c:pt idx="467">
                  <c:v>36.461335061127564</c:v>
                </c:pt>
                <c:pt idx="468">
                  <c:v>35.827063105538308</c:v>
                </c:pt>
                <c:pt idx="469">
                  <c:v>35.197673381680076</c:v>
                </c:pt>
                <c:pt idx="470">
                  <c:v>34.573416532986514</c:v>
                </c:pt>
                <c:pt idx="471">
                  <c:v>33.954532024410575</c:v>
                </c:pt>
                <c:pt idx="472">
                  <c:v>33.341247831218055</c:v>
                </c:pt>
                <c:pt idx="473">
                  <c:v>32.733780184163322</c:v>
                </c:pt>
                <c:pt idx="474">
                  <c:v>32.132333370281607</c:v>
                </c:pt>
                <c:pt idx="475">
                  <c:v>31.53709958812264</c:v>
                </c:pt>
                <c:pt idx="476">
                  <c:v>30.948258855839171</c:v>
                </c:pt>
                <c:pt idx="477">
                  <c:v>30.365978970229445</c:v>
                </c:pt>
                <c:pt idx="478">
                  <c:v>29.790415514504041</c:v>
                </c:pt>
                <c:pt idx="479">
                  <c:v>29.221711912297373</c:v>
                </c:pt>
                <c:pt idx="480">
                  <c:v>28.659999525228226</c:v>
                </c:pt>
                <c:pt idx="481">
                  <c:v>28.105397791135221</c:v>
                </c:pt>
                <c:pt idx="482">
                  <c:v>27.558014399982405</c:v>
                </c:pt>
                <c:pt idx="483">
                  <c:v>27.017945504337558</c:v>
                </c:pt>
                <c:pt idx="484">
                  <c:v>26.485275961276994</c:v>
                </c:pt>
                <c:pt idx="485">
                  <c:v>25.960079602544759</c:v>
                </c:pt>
                <c:pt idx="486">
                  <c:v>25.442419529810437</c:v>
                </c:pt>
                <c:pt idx="487">
                  <c:v>24.93234843192171</c:v>
                </c:pt>
                <c:pt idx="488">
                  <c:v>24.429908921107138</c:v>
                </c:pt>
                <c:pt idx="489">
                  <c:v>23.935133885184207</c:v>
                </c:pt>
                <c:pt idx="490">
                  <c:v>23.448046852937722</c:v>
                </c:pt>
                <c:pt idx="491">
                  <c:v>22.968662369966662</c:v>
                </c:pt>
                <c:pt idx="492">
                  <c:v>22.496986382433683</c:v>
                </c:pt>
                <c:pt idx="493">
                  <c:v>22.033016626312968</c:v>
                </c:pt>
                <c:pt idx="494">
                  <c:v>21.576743019880507</c:v>
                </c:pt>
                <c:pt idx="495">
                  <c:v>21.12814805737052</c:v>
                </c:pt>
                <c:pt idx="496">
                  <c:v>20.687207201871622</c:v>
                </c:pt>
                <c:pt idx="497">
                  <c:v>20.253889275722113</c:v>
                </c:pt>
                <c:pt idx="498">
                  <c:v>19.828156846816302</c:v>
                </c:pt>
                <c:pt idx="499">
                  <c:v>19.409966609402403</c:v>
                </c:pt>
                <c:pt idx="500">
                  <c:v>18.999269758113932</c:v>
                </c:pt>
                <c:pt idx="501">
                  <c:v>18.596012354121076</c:v>
                </c:pt>
                <c:pt idx="502">
                  <c:v>18.200135682445431</c:v>
                </c:pt>
                <c:pt idx="503">
                  <c:v>17.811576599612206</c:v>
                </c:pt>
                <c:pt idx="504">
                  <c:v>17.430267870947514</c:v>
                </c:pt>
                <c:pt idx="505">
                  <c:v>17.056138496954883</c:v>
                </c:pt>
                <c:pt idx="506">
                  <c:v>16.68911402831278</c:v>
                </c:pt>
                <c:pt idx="507">
                  <c:v>16.329116869146127</c:v>
                </c:pt>
                <c:pt idx="508">
                  <c:v>15.976066568321503</c:v>
                </c:pt>
                <c:pt idx="509">
                  <c:v>15.629880098598703</c:v>
                </c:pt>
                <c:pt idx="510">
                  <c:v>15.290472123560299</c:v>
                </c:pt>
                <c:pt idx="511">
                  <c:v>14.95775525230593</c:v>
                </c:pt>
                <c:pt idx="512">
                  <c:v>14.631640281965602</c:v>
                </c:pt>
                <c:pt idx="513">
                  <c:v>14.312036428145538</c:v>
                </c:pt>
                <c:pt idx="514">
                  <c:v>13.99885154346457</c:v>
                </c:pt>
                <c:pt idx="515">
                  <c:v>13.691992324390032</c:v>
                </c:pt>
                <c:pt idx="516">
                  <c:v>13.391364506613442</c:v>
                </c:pt>
                <c:pt idx="517">
                  <c:v>13.096873049241823</c:v>
                </c:pt>
                <c:pt idx="518">
                  <c:v>12.808422308107287</c:v>
                </c:pt>
                <c:pt idx="519">
                  <c:v>12.525916198515638</c:v>
                </c:pt>
                <c:pt idx="520">
                  <c:v>12.249258347778699</c:v>
                </c:pt>
                <c:pt idx="521">
                  <c:v>11.978352237880356</c:v>
                </c:pt>
                <c:pt idx="522">
                  <c:v>11.713101338644851</c:v>
                </c:pt>
                <c:pt idx="523">
                  <c:v>11.453409231774993</c:v>
                </c:pt>
                <c:pt idx="524">
                  <c:v>11.199179726136618</c:v>
                </c:pt>
                <c:pt idx="525">
                  <c:v>10.950316964663989</c:v>
                </c:pt>
                <c:pt idx="526">
                  <c:v>10.706725523262985</c:v>
                </c:pt>
                <c:pt idx="527">
                  <c:v>10.468310502080241</c:v>
                </c:pt>
                <c:pt idx="528">
                  <c:v>10.234977609508636</c:v>
                </c:pt>
                <c:pt idx="529">
                  <c:v>10.006633239287062</c:v>
                </c:pt>
                <c:pt idx="530">
                  <c:v>9.7831845410509359</c:v>
                </c:pt>
                <c:pt idx="531">
                  <c:v>9.5645394846740963</c:v>
                </c:pt>
                <c:pt idx="532">
                  <c:v>9.3506069187414695</c:v>
                </c:pt>
                <c:pt idx="533">
                  <c:v>9.1412966234754052</c:v>
                </c:pt>
                <c:pt idx="534">
                  <c:v>8.9365193584323936</c:v>
                </c:pt>
                <c:pt idx="535">
                  <c:v>8.7361869052717935</c:v>
                </c:pt>
                <c:pt idx="536">
                  <c:v>8.5402121058925218</c:v>
                </c:pt>
                <c:pt idx="537">
                  <c:v>8.3485088962155363</c:v>
                </c:pt>
                <c:pt idx="538">
                  <c:v>8.1609923358847123</c:v>
                </c:pt>
                <c:pt idx="539">
                  <c:v>7.9775786341429509</c:v>
                </c:pt>
                <c:pt idx="540">
                  <c:v>7.7981851721310518</c:v>
                </c:pt>
                <c:pt idx="541">
                  <c:v>7.622730521843776</c:v>
                </c:pt>
              </c:numCache>
            </c:numRef>
          </c:yVal>
          <c:smooth val="1"/>
          <c:extLst>
            <c:ext xmlns:c16="http://schemas.microsoft.com/office/drawing/2014/chart" uri="{C3380CC4-5D6E-409C-BE32-E72D297353CC}">
              <c16:uniqueId val="{00000001-F11A-4C29-9835-786B9CEC5C6A}"/>
            </c:ext>
          </c:extLst>
        </c:ser>
        <c:dLbls>
          <c:showLegendKey val="0"/>
          <c:showVal val="0"/>
          <c:showCatName val="0"/>
          <c:showSerName val="0"/>
          <c:showPercent val="0"/>
          <c:showBubbleSize val="0"/>
        </c:dLbls>
        <c:axId val="555497728"/>
        <c:axId val="555496192"/>
      </c:scatterChart>
      <c:valAx>
        <c:axId val="555344640"/>
        <c:scaling>
          <c:logBase val="10"/>
          <c:orientation val="minMax"/>
          <c:max val="2200000"/>
          <c:min val="10"/>
        </c:scaling>
        <c:delete val="0"/>
        <c:axPos val="b"/>
        <c:minorGridlines/>
        <c:title>
          <c:tx>
            <c:rich>
              <a:bodyPr/>
              <a:lstStyle/>
              <a:p>
                <a:pPr>
                  <a:defRPr/>
                </a:pPr>
                <a:r>
                  <a:rPr lang="en-US"/>
                  <a:t>Frequency</a:t>
                </a:r>
                <a:r>
                  <a:rPr lang="en-US" baseline="0"/>
                  <a:t> (Hz)</a:t>
                </a:r>
                <a:endParaRPr lang="en-US"/>
              </a:p>
            </c:rich>
          </c:tx>
          <c:overlay val="0"/>
        </c:title>
        <c:numFmt formatCode="0" sourceLinked="0"/>
        <c:majorTickMark val="out"/>
        <c:minorTickMark val="none"/>
        <c:tickLblPos val="low"/>
        <c:crossAx val="555346560"/>
        <c:crosses val="autoZero"/>
        <c:crossBetween val="midCat"/>
      </c:valAx>
      <c:valAx>
        <c:axId val="555346560"/>
        <c:scaling>
          <c:orientation val="minMax"/>
          <c:max val="40"/>
          <c:min val="-40"/>
        </c:scaling>
        <c:delete val="0"/>
        <c:axPos val="l"/>
        <c:majorGridlines/>
        <c:minorGridlines/>
        <c:title>
          <c:tx>
            <c:rich>
              <a:bodyPr rot="-5400000" vert="horz"/>
              <a:lstStyle/>
              <a:p>
                <a:pPr>
                  <a:defRPr/>
                </a:pPr>
                <a:r>
                  <a:rPr lang="en-US">
                    <a:solidFill>
                      <a:srgbClr val="FF0000"/>
                    </a:solidFill>
                  </a:rPr>
                  <a:t>Gain</a:t>
                </a:r>
                <a:r>
                  <a:rPr lang="en-US" baseline="0">
                    <a:solidFill>
                      <a:srgbClr val="FF0000"/>
                    </a:solidFill>
                  </a:rPr>
                  <a:t> (dB)</a:t>
                </a:r>
                <a:endParaRPr lang="en-US">
                  <a:solidFill>
                    <a:srgbClr val="FF0000"/>
                  </a:solidFill>
                </a:endParaRPr>
              </a:p>
            </c:rich>
          </c:tx>
          <c:overlay val="0"/>
        </c:title>
        <c:numFmt formatCode="General" sourceLinked="0"/>
        <c:majorTickMark val="out"/>
        <c:minorTickMark val="none"/>
        <c:tickLblPos val="nextTo"/>
        <c:txPr>
          <a:bodyPr/>
          <a:lstStyle/>
          <a:p>
            <a:pPr>
              <a:defRPr>
                <a:solidFill>
                  <a:srgbClr val="FF0000"/>
                </a:solidFill>
              </a:defRPr>
            </a:pPr>
            <a:endParaRPr lang="en-US"/>
          </a:p>
        </c:txPr>
        <c:crossAx val="555344640"/>
        <c:crosses val="autoZero"/>
        <c:crossBetween val="midCat"/>
        <c:majorUnit val="20"/>
        <c:minorUnit val="10"/>
      </c:valAx>
      <c:valAx>
        <c:axId val="555496192"/>
        <c:scaling>
          <c:orientation val="minMax"/>
          <c:max val="180"/>
          <c:min val="-180"/>
        </c:scaling>
        <c:delete val="0"/>
        <c:axPos val="r"/>
        <c:numFmt formatCode="General" sourceLinked="1"/>
        <c:majorTickMark val="out"/>
        <c:minorTickMark val="none"/>
        <c:tickLblPos val="nextTo"/>
        <c:txPr>
          <a:bodyPr/>
          <a:lstStyle/>
          <a:p>
            <a:pPr>
              <a:defRPr>
                <a:solidFill>
                  <a:schemeClr val="tx1">
                    <a:lumMod val="95000"/>
                    <a:lumOff val="5000"/>
                  </a:schemeClr>
                </a:solidFill>
              </a:defRPr>
            </a:pPr>
            <a:endParaRPr lang="en-US"/>
          </a:p>
        </c:txPr>
        <c:crossAx val="555497728"/>
        <c:crosses val="max"/>
        <c:crossBetween val="midCat"/>
        <c:majorUnit val="90"/>
        <c:minorUnit val="45"/>
      </c:valAx>
      <c:valAx>
        <c:axId val="555497728"/>
        <c:scaling>
          <c:logBase val="10"/>
          <c:orientation val="minMax"/>
        </c:scaling>
        <c:delete val="1"/>
        <c:axPos val="b"/>
        <c:numFmt formatCode="0.00" sourceLinked="1"/>
        <c:majorTickMark val="out"/>
        <c:minorTickMark val="none"/>
        <c:tickLblPos val="nextTo"/>
        <c:crossAx val="555496192"/>
        <c:crosses val="autoZero"/>
        <c:crossBetween val="midCat"/>
      </c:valAx>
    </c:plotArea>
    <c:plotVisOnly val="1"/>
    <c:dispBlanksAs val="gap"/>
    <c:showDLblsOverMax val="0"/>
  </c:chart>
  <c:printSettings>
    <c:headerFooter/>
    <c:pageMargins b="0.75" l="0.7" r="0.7" t="0.75" header="0.3" footer="0.3"/>
    <c:pageSetup/>
  </c:printSettings>
</c:chartSpace>
</file>

<file path=xl/ctrlProps/ctrlProp1.xml><?xml version="1.0" encoding="utf-8"?>
<formControlPr xmlns="http://schemas.microsoft.com/office/spreadsheetml/2009/9/main" objectType="Spin" dx="20" fmlaLink="$H$8" max="45" noThreeD="1" page="10" val="12"/>
</file>

<file path=xl/drawings/_rels/drawing1.xml.rels><?xml version="1.0" encoding="UTF-8" standalone="yes"?>
<Relationships xmlns="http://schemas.openxmlformats.org/package/2006/relationships"><Relationship Id="rId3" Type="http://schemas.openxmlformats.org/officeDocument/2006/relationships/image" Target="../media/image1.emf"/><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8" Type="http://schemas.openxmlformats.org/officeDocument/2006/relationships/chart" Target="../charts/chart10.xml"/><Relationship Id="rId3" Type="http://schemas.openxmlformats.org/officeDocument/2006/relationships/image" Target="../media/image5.png"/><Relationship Id="rId7" Type="http://schemas.openxmlformats.org/officeDocument/2006/relationships/chart" Target="../charts/chart9.xml"/><Relationship Id="rId2" Type="http://schemas.openxmlformats.org/officeDocument/2006/relationships/image" Target="../media/image4.png"/><Relationship Id="rId1" Type="http://schemas.openxmlformats.org/officeDocument/2006/relationships/chart" Target="../charts/chart5.xml"/><Relationship Id="rId6" Type="http://schemas.openxmlformats.org/officeDocument/2006/relationships/chart" Target="../charts/chart8.xml"/><Relationship Id="rId5" Type="http://schemas.openxmlformats.org/officeDocument/2006/relationships/chart" Target="../charts/chart7.xml"/><Relationship Id="rId4" Type="http://schemas.openxmlformats.org/officeDocument/2006/relationships/chart" Target="../charts/chart6.xml"/></Relationships>
</file>

<file path=xl/drawings/_rels/drawing5.xml.rels><?xml version="1.0" encoding="UTF-8" standalone="yes"?>
<Relationships xmlns="http://schemas.openxmlformats.org/package/2006/relationships"><Relationship Id="rId2" Type="http://schemas.openxmlformats.org/officeDocument/2006/relationships/image" Target="../media/image7.png"/><Relationship Id="rId1" Type="http://schemas.openxmlformats.org/officeDocument/2006/relationships/image" Target="../media/image6.png"/></Relationships>
</file>

<file path=xl/drawings/_rels/drawing6.xml.rels><?xml version="1.0" encoding="UTF-8" standalone="yes"?>
<Relationships xmlns="http://schemas.openxmlformats.org/package/2006/relationships"><Relationship Id="rId1" Type="http://schemas.openxmlformats.org/officeDocument/2006/relationships/chart" Target="../charts/chart1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3.emf"/></Relationships>
</file>

<file path=xl/drawings/_rels/vmlDrawing5.vml.rels><?xml version="1.0" encoding="UTF-8" standalone="yes"?>
<Relationships xmlns="http://schemas.openxmlformats.org/package/2006/relationships"><Relationship Id="rId3" Type="http://schemas.openxmlformats.org/officeDocument/2006/relationships/image" Target="../media/image10.emf"/><Relationship Id="rId2" Type="http://schemas.openxmlformats.org/officeDocument/2006/relationships/image" Target="../media/image9.emf"/><Relationship Id="rId1" Type="http://schemas.openxmlformats.org/officeDocument/2006/relationships/image" Target="../media/image8.emf"/></Relationships>
</file>

<file path=xl/drawings/drawing1.xml><?xml version="1.0" encoding="utf-8"?>
<xdr:wsDr xmlns:xdr="http://schemas.openxmlformats.org/drawingml/2006/spreadsheetDrawing" xmlns:a="http://schemas.openxmlformats.org/drawingml/2006/main">
  <xdr:twoCellAnchor>
    <xdr:from>
      <xdr:col>9</xdr:col>
      <xdr:colOff>75154</xdr:colOff>
      <xdr:row>45</xdr:row>
      <xdr:rowOff>164353</xdr:rowOff>
    </xdr:from>
    <xdr:to>
      <xdr:col>25</xdr:col>
      <xdr:colOff>478118</xdr:colOff>
      <xdr:row>69</xdr:row>
      <xdr:rowOff>182732</xdr:rowOff>
    </xdr:to>
    <xdr:graphicFrame macro="">
      <xdr:nvGraphicFramePr>
        <xdr:cNvPr id="2" name="Chart 1">
          <a:extLst>
            <a:ext uri="{FF2B5EF4-FFF2-40B4-BE49-F238E27FC236}">
              <a16:creationId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xdr:from>
          <xdr:col>7</xdr:col>
          <xdr:colOff>561975</xdr:colOff>
          <xdr:row>53</xdr:row>
          <xdr:rowOff>0</xdr:rowOff>
        </xdr:from>
        <xdr:to>
          <xdr:col>8</xdr:col>
          <xdr:colOff>9525</xdr:colOff>
          <xdr:row>55</xdr:row>
          <xdr:rowOff>0</xdr:rowOff>
        </xdr:to>
        <xdr:sp macro="" textlink="">
          <xdr:nvSpPr>
            <xdr:cNvPr id="1060" name="Spinner 36" hidden="1">
              <a:extLst>
                <a:ext uri="{63B3BB69-23CF-44E3-9099-C40C66FF867C}">
                  <a14:compatExt spid="_x0000_s1060"/>
                </a:ext>
                <a:ext uri="{FF2B5EF4-FFF2-40B4-BE49-F238E27FC236}">
                  <a16:creationId xmlns:a16="http://schemas.microsoft.com/office/drawing/2014/main" id="{00000000-0008-0000-0000-000024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xdr:from>
      <xdr:col>14</xdr:col>
      <xdr:colOff>508019</xdr:colOff>
      <xdr:row>45</xdr:row>
      <xdr:rowOff>55281</xdr:rowOff>
    </xdr:from>
    <xdr:to>
      <xdr:col>16</xdr:col>
      <xdr:colOff>237584</xdr:colOff>
      <xdr:row>47</xdr:row>
      <xdr:rowOff>124011</xdr:rowOff>
    </xdr:to>
    <xdr:sp macro="" textlink="">
      <xdr:nvSpPr>
        <xdr:cNvPr id="4" name="TextBox 3">
          <a:extLst>
            <a:ext uri="{FF2B5EF4-FFF2-40B4-BE49-F238E27FC236}">
              <a16:creationId xmlns:a16="http://schemas.microsoft.com/office/drawing/2014/main" id="{00000000-0008-0000-0000-000004000000}"/>
            </a:ext>
          </a:extLst>
        </xdr:cNvPr>
        <xdr:cNvSpPr txBox="1"/>
      </xdr:nvSpPr>
      <xdr:spPr>
        <a:xfrm>
          <a:off x="8710725" y="9453281"/>
          <a:ext cx="954741" cy="48708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a:t>V</a:t>
          </a:r>
          <a:r>
            <a:rPr lang="en-US" sz="2400" baseline="-25000"/>
            <a:t>IN</a:t>
          </a:r>
          <a:r>
            <a:rPr lang="en-US" sz="2400"/>
            <a:t> =</a:t>
          </a:r>
        </a:p>
      </xdr:txBody>
    </xdr:sp>
    <xdr:clientData/>
  </xdr:twoCellAnchor>
  <xdr:twoCellAnchor>
    <xdr:from>
      <xdr:col>16</xdr:col>
      <xdr:colOff>77712</xdr:colOff>
      <xdr:row>45</xdr:row>
      <xdr:rowOff>64247</xdr:rowOff>
    </xdr:from>
    <xdr:to>
      <xdr:col>17</xdr:col>
      <xdr:colOff>409405</xdr:colOff>
      <xdr:row>47</xdr:row>
      <xdr:rowOff>132978</xdr:rowOff>
    </xdr:to>
    <xdr:sp macro="" textlink="VIN_nom">
      <xdr:nvSpPr>
        <xdr:cNvPr id="3" name="TextBox 2">
          <a:extLst>
            <a:ext uri="{FF2B5EF4-FFF2-40B4-BE49-F238E27FC236}">
              <a16:creationId xmlns:a16="http://schemas.microsoft.com/office/drawing/2014/main" id="{00000000-0008-0000-0000-000003000000}"/>
            </a:ext>
          </a:extLst>
        </xdr:cNvPr>
        <xdr:cNvSpPr txBox="1"/>
      </xdr:nvSpPr>
      <xdr:spPr>
        <a:xfrm>
          <a:off x="9505594" y="9462247"/>
          <a:ext cx="944282" cy="48708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B6E0D9B-34B5-4A81-8CB9-A88F658AFD78}" type="TxLink">
            <a:rPr lang="en-US" sz="2400" b="0" i="0" u="none" strike="noStrike">
              <a:solidFill>
                <a:srgbClr val="000000"/>
              </a:solidFill>
              <a:latin typeface="Calibri"/>
            </a:rPr>
            <a:pPr/>
            <a:t>12</a:t>
          </a:fld>
          <a:endParaRPr lang="en-US" sz="2400"/>
        </a:p>
      </xdr:txBody>
    </xdr:sp>
    <xdr:clientData/>
  </xdr:twoCellAnchor>
  <xdr:twoCellAnchor>
    <xdr:from>
      <xdr:col>17</xdr:col>
      <xdr:colOff>152439</xdr:colOff>
      <xdr:row>45</xdr:row>
      <xdr:rowOff>55281</xdr:rowOff>
    </xdr:from>
    <xdr:to>
      <xdr:col>18</xdr:col>
      <xdr:colOff>505051</xdr:colOff>
      <xdr:row>47</xdr:row>
      <xdr:rowOff>124011</xdr:rowOff>
    </xdr:to>
    <xdr:sp macro="" textlink="">
      <xdr:nvSpPr>
        <xdr:cNvPr id="12" name="TextBox 11">
          <a:extLst>
            <a:ext uri="{FF2B5EF4-FFF2-40B4-BE49-F238E27FC236}">
              <a16:creationId xmlns:a16="http://schemas.microsoft.com/office/drawing/2014/main" id="{00000000-0008-0000-0000-00000C000000}"/>
            </a:ext>
          </a:extLst>
        </xdr:cNvPr>
        <xdr:cNvSpPr txBox="1"/>
      </xdr:nvSpPr>
      <xdr:spPr>
        <a:xfrm>
          <a:off x="10192910" y="9453281"/>
          <a:ext cx="965200" cy="48708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a:t>V</a:t>
          </a:r>
        </a:p>
      </xdr:txBody>
    </xdr:sp>
    <xdr:clientData/>
  </xdr:twoCellAnchor>
  <xdr:twoCellAnchor>
    <xdr:from>
      <xdr:col>9</xdr:col>
      <xdr:colOff>49696</xdr:colOff>
      <xdr:row>71</xdr:row>
      <xdr:rowOff>55217</xdr:rowOff>
    </xdr:from>
    <xdr:to>
      <xdr:col>25</xdr:col>
      <xdr:colOff>480392</xdr:colOff>
      <xdr:row>93</xdr:row>
      <xdr:rowOff>82826</xdr:rowOff>
    </xdr:to>
    <xdr:graphicFrame macro="">
      <xdr:nvGraphicFramePr>
        <xdr:cNvPr id="7" name="Chart 6">
          <a:extLst>
            <a:ext uri="{FF2B5EF4-FFF2-40B4-BE49-F238E27FC236}">
              <a16:creationId xmlns:a16="http://schemas.microsoft.com/office/drawing/2014/main" id="{00000000-0008-0000-00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118899</xdr:colOff>
      <xdr:row>71</xdr:row>
      <xdr:rowOff>71846</xdr:rowOff>
    </xdr:from>
    <xdr:to>
      <xdr:col>15</xdr:col>
      <xdr:colOff>466899</xdr:colOff>
      <xdr:row>73</xdr:row>
      <xdr:rowOff>79838</xdr:rowOff>
    </xdr:to>
    <xdr:sp macro="" textlink="">
      <xdr:nvSpPr>
        <xdr:cNvPr id="8" name="TextBox 7">
          <a:extLst>
            <a:ext uri="{FF2B5EF4-FFF2-40B4-BE49-F238E27FC236}">
              <a16:creationId xmlns:a16="http://schemas.microsoft.com/office/drawing/2014/main" id="{00000000-0008-0000-0000-000008000000}"/>
            </a:ext>
          </a:extLst>
        </xdr:cNvPr>
        <xdr:cNvSpPr txBox="1"/>
      </xdr:nvSpPr>
      <xdr:spPr>
        <a:xfrm>
          <a:off x="8390464" y="14621629"/>
          <a:ext cx="966435" cy="48838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a:t>V</a:t>
          </a:r>
          <a:r>
            <a:rPr lang="en-US" sz="2400" baseline="-25000"/>
            <a:t>IN</a:t>
          </a:r>
          <a:r>
            <a:rPr lang="en-US" sz="2400"/>
            <a:t> =</a:t>
          </a:r>
        </a:p>
      </xdr:txBody>
    </xdr:sp>
    <xdr:clientData/>
  </xdr:twoCellAnchor>
  <xdr:twoCellAnchor>
    <xdr:from>
      <xdr:col>15</xdr:col>
      <xdr:colOff>307027</xdr:colOff>
      <xdr:row>71</xdr:row>
      <xdr:rowOff>80812</xdr:rowOff>
    </xdr:from>
    <xdr:to>
      <xdr:col>17</xdr:col>
      <xdr:colOff>20285</xdr:colOff>
      <xdr:row>73</xdr:row>
      <xdr:rowOff>88805</xdr:rowOff>
    </xdr:to>
    <xdr:sp macro="" textlink="VIN_nom">
      <xdr:nvSpPr>
        <xdr:cNvPr id="9" name="TextBox 8">
          <a:extLst>
            <a:ext uri="{FF2B5EF4-FFF2-40B4-BE49-F238E27FC236}">
              <a16:creationId xmlns:a16="http://schemas.microsoft.com/office/drawing/2014/main" id="{00000000-0008-0000-0000-000009000000}"/>
            </a:ext>
          </a:extLst>
        </xdr:cNvPr>
        <xdr:cNvSpPr txBox="1"/>
      </xdr:nvSpPr>
      <xdr:spPr>
        <a:xfrm>
          <a:off x="9197027" y="14630595"/>
          <a:ext cx="950128" cy="48838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B6E0D9B-34B5-4A81-8CB9-A88F658AFD78}" type="TxLink">
            <a:rPr lang="en-US" sz="2400" b="0" i="0" u="none" strike="noStrike">
              <a:solidFill>
                <a:srgbClr val="000000"/>
              </a:solidFill>
              <a:latin typeface="Calibri"/>
              <a:cs typeface="Calibri"/>
            </a:rPr>
            <a:pPr/>
            <a:t>12</a:t>
          </a:fld>
          <a:endParaRPr lang="en-US" sz="2400"/>
        </a:p>
      </xdr:txBody>
    </xdr:sp>
    <xdr:clientData/>
  </xdr:twoCellAnchor>
  <xdr:twoCellAnchor>
    <xdr:from>
      <xdr:col>16</xdr:col>
      <xdr:colOff>80660</xdr:colOff>
      <xdr:row>71</xdr:row>
      <xdr:rowOff>88411</xdr:rowOff>
    </xdr:from>
    <xdr:to>
      <xdr:col>17</xdr:col>
      <xdr:colOff>433271</xdr:colOff>
      <xdr:row>73</xdr:row>
      <xdr:rowOff>96403</xdr:rowOff>
    </xdr:to>
    <xdr:sp macro="" textlink="">
      <xdr:nvSpPr>
        <xdr:cNvPr id="10" name="TextBox 9">
          <a:extLst>
            <a:ext uri="{FF2B5EF4-FFF2-40B4-BE49-F238E27FC236}">
              <a16:creationId xmlns:a16="http://schemas.microsoft.com/office/drawing/2014/main" id="{00000000-0008-0000-0000-00000A000000}"/>
            </a:ext>
          </a:extLst>
        </xdr:cNvPr>
        <xdr:cNvSpPr txBox="1"/>
      </xdr:nvSpPr>
      <xdr:spPr>
        <a:xfrm>
          <a:off x="9589095" y="14638194"/>
          <a:ext cx="971046" cy="48838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a:t>V</a:t>
          </a:r>
        </a:p>
      </xdr:txBody>
    </xdr:sp>
    <xdr:clientData/>
  </xdr:twoCellAnchor>
  <mc:AlternateContent xmlns:mc="http://schemas.openxmlformats.org/markup-compatibility/2006">
    <mc:Choice xmlns:a14="http://schemas.microsoft.com/office/drawing/2010/main" Requires="a14">
      <xdr:twoCellAnchor editAs="oneCell">
        <xdr:from>
          <xdr:col>10</xdr:col>
          <xdr:colOff>397695</xdr:colOff>
          <xdr:row>12</xdr:row>
          <xdr:rowOff>58159</xdr:rowOff>
        </xdr:from>
        <xdr:to>
          <xdr:col>25</xdr:col>
          <xdr:colOff>209669</xdr:colOff>
          <xdr:row>35</xdr:row>
          <xdr:rowOff>134695</xdr:rowOff>
        </xdr:to>
        <xdr:pic>
          <xdr:nvPicPr>
            <xdr:cNvPr id="6" name="Picture 5">
              <a:extLst>
                <a:ext uri="{FF2B5EF4-FFF2-40B4-BE49-F238E27FC236}">
                  <a16:creationId xmlns:a16="http://schemas.microsoft.com/office/drawing/2014/main" id="{00000000-0008-0000-0000-000006000000}"/>
                </a:ext>
              </a:extLst>
            </xdr:cNvPr>
            <xdr:cNvPicPr>
              <a:picLocks noChangeAspect="1"/>
              <a:extLst>
                <a:ext uri="{84589F7E-364E-4C9E-8A38-B11213B215E9}">
                  <a14:cameraTool cellRange="SCH" spid="_x0000_s1112"/>
                </a:ext>
              </a:extLst>
            </xdr:cNvPicPr>
          </xdr:nvPicPr>
          <xdr:blipFill>
            <a:blip xmlns:r="http://schemas.openxmlformats.org/officeDocument/2006/relationships" r:embed="rId3"/>
            <a:stretch>
              <a:fillRect/>
            </a:stretch>
          </xdr:blipFill>
          <xdr:spPr>
            <a:xfrm>
              <a:off x="6348019" y="2691541"/>
              <a:ext cx="8750234" cy="4469018"/>
            </a:xfrm>
            <a:prstGeom prst="rect">
              <a:avLst/>
            </a:prstGeom>
          </xdr:spPr>
        </xdr:pic>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10</xdr:col>
      <xdr:colOff>451597</xdr:colOff>
      <xdr:row>179</xdr:row>
      <xdr:rowOff>177800</xdr:rowOff>
    </xdr:from>
    <xdr:to>
      <xdr:col>16</xdr:col>
      <xdr:colOff>350744</xdr:colOff>
      <xdr:row>182</xdr:row>
      <xdr:rowOff>0</xdr:rowOff>
    </xdr:to>
    <xdr:sp macro="" textlink="">
      <xdr:nvSpPr>
        <xdr:cNvPr id="2" name="TextBox 1">
          <a:extLst>
            <a:ext uri="{FF2B5EF4-FFF2-40B4-BE49-F238E27FC236}">
              <a16:creationId xmlns:a16="http://schemas.microsoft.com/office/drawing/2014/main" id="{00000000-0008-0000-0100-000002000000}"/>
            </a:ext>
          </a:extLst>
        </xdr:cNvPr>
        <xdr:cNvSpPr txBox="1"/>
      </xdr:nvSpPr>
      <xdr:spPr>
        <a:xfrm>
          <a:off x="11037047" y="33204150"/>
          <a:ext cx="3810747" cy="44001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Need to explain the placement of the Zero</a:t>
          </a:r>
          <a:r>
            <a:rPr lang="en-US" sz="1100" baseline="0"/>
            <a:t> a little bit better. The pole location should also be based on the location of the zero</a:t>
          </a:r>
          <a:endParaRPr lang="en-US" sz="1100"/>
        </a:p>
      </xdr:txBody>
    </xdr:sp>
    <xdr:clientData/>
  </xdr:twoCellAnchor>
  <mc:AlternateContent xmlns:mc="http://schemas.openxmlformats.org/markup-compatibility/2006">
    <mc:Choice xmlns:a14="http://schemas.microsoft.com/office/drawing/2010/main" Requires="a14">
      <xdr:twoCellAnchor editAs="oneCell">
        <xdr:from>
          <xdr:col>8</xdr:col>
          <xdr:colOff>57150</xdr:colOff>
          <xdr:row>110</xdr:row>
          <xdr:rowOff>0</xdr:rowOff>
        </xdr:from>
        <xdr:to>
          <xdr:col>13</xdr:col>
          <xdr:colOff>19050</xdr:colOff>
          <xdr:row>112</xdr:row>
          <xdr:rowOff>28575</xdr:rowOff>
        </xdr:to>
        <xdr:sp macro="" textlink="">
          <xdr:nvSpPr>
            <xdr:cNvPr id="2053" name="Object 5" hidden="1">
              <a:extLst>
                <a:ext uri="{63B3BB69-23CF-44E3-9099-C40C66FF867C}">
                  <a14:compatExt spid="_x0000_s2053"/>
                </a:ext>
                <a:ext uri="{FF2B5EF4-FFF2-40B4-BE49-F238E27FC236}">
                  <a16:creationId xmlns:a16="http://schemas.microsoft.com/office/drawing/2014/main" id="{00000000-0008-0000-0100-0000050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twoCellAnchor>
    <xdr:from>
      <xdr:col>9</xdr:col>
      <xdr:colOff>19051</xdr:colOff>
      <xdr:row>149</xdr:row>
      <xdr:rowOff>17931</xdr:rowOff>
    </xdr:from>
    <xdr:to>
      <xdr:col>14</xdr:col>
      <xdr:colOff>583081</xdr:colOff>
      <xdr:row>157</xdr:row>
      <xdr:rowOff>107951</xdr:rowOff>
    </xdr:to>
    <xdr:sp macro="" textlink="">
      <xdr:nvSpPr>
        <xdr:cNvPr id="4" name="TextBox 3">
          <a:extLst>
            <a:ext uri="{FF2B5EF4-FFF2-40B4-BE49-F238E27FC236}">
              <a16:creationId xmlns:a16="http://schemas.microsoft.com/office/drawing/2014/main" id="{00000000-0008-0000-0100-000004000000}"/>
            </a:ext>
          </a:extLst>
        </xdr:cNvPr>
        <xdr:cNvSpPr txBox="1"/>
      </xdr:nvSpPr>
      <xdr:spPr>
        <a:xfrm>
          <a:off x="9994901" y="27335631"/>
          <a:ext cx="3866030" cy="15632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Loop</a:t>
          </a:r>
          <a:r>
            <a:rPr lang="en-US" sz="1100" baseline="0"/>
            <a:t> compensation is calculated for the minimum input voltage. This ensure stability over the input votlage range</a:t>
          </a:r>
        </a:p>
        <a:p>
          <a:endParaRPr lang="en-US" sz="1100" baseline="0"/>
        </a:p>
        <a:p>
          <a:r>
            <a:rPr lang="en-US" sz="1100" b="1" baseline="0"/>
            <a:t>Includes the effect of slope compensation. To help with the calculations the applicaiton note detailing component selection does not include loop compensation</a:t>
          </a:r>
          <a:endParaRPr lang="en-US" sz="1100" b="1"/>
        </a:p>
      </xdr:txBody>
    </xdr:sp>
    <xdr:clientData/>
  </xdr:twoCellAnchor>
  <xdr:twoCellAnchor>
    <xdr:from>
      <xdr:col>3</xdr:col>
      <xdr:colOff>660400</xdr:colOff>
      <xdr:row>182</xdr:row>
      <xdr:rowOff>165100</xdr:rowOff>
    </xdr:from>
    <xdr:to>
      <xdr:col>9</xdr:col>
      <xdr:colOff>311150</xdr:colOff>
      <xdr:row>186</xdr:row>
      <xdr:rowOff>88900</xdr:rowOff>
    </xdr:to>
    <xdr:sp macro="" textlink="">
      <xdr:nvSpPr>
        <xdr:cNvPr id="6" name="TextBox 5">
          <a:extLst>
            <a:ext uri="{FF2B5EF4-FFF2-40B4-BE49-F238E27FC236}">
              <a16:creationId xmlns:a16="http://schemas.microsoft.com/office/drawing/2014/main" id="{00000000-0008-0000-0100-000006000000}"/>
            </a:ext>
          </a:extLst>
        </xdr:cNvPr>
        <xdr:cNvSpPr txBox="1"/>
      </xdr:nvSpPr>
      <xdr:spPr>
        <a:xfrm>
          <a:off x="4794250" y="33928050"/>
          <a:ext cx="5492750" cy="660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Flexible</a:t>
          </a:r>
          <a:r>
            <a:rPr lang="en-US" sz="1100" baseline="0"/>
            <a:t> equations see the MathCad file for these</a:t>
          </a:r>
        </a:p>
        <a:p>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76</xdr:col>
      <xdr:colOff>197810</xdr:colOff>
      <xdr:row>6</xdr:row>
      <xdr:rowOff>107149</xdr:rowOff>
    </xdr:from>
    <xdr:to>
      <xdr:col>85</xdr:col>
      <xdr:colOff>2406</xdr:colOff>
      <xdr:row>25</xdr:row>
      <xdr:rowOff>110908</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49</xdr:col>
      <xdr:colOff>228022</xdr:colOff>
      <xdr:row>12</xdr:row>
      <xdr:rowOff>102466</xdr:rowOff>
    </xdr:from>
    <xdr:to>
      <xdr:col>66</xdr:col>
      <xdr:colOff>96573</xdr:colOff>
      <xdr:row>37</xdr:row>
      <xdr:rowOff>156894</xdr:rowOff>
    </xdr:to>
    <xdr:graphicFrame macro="">
      <xdr:nvGraphicFramePr>
        <xdr:cNvPr id="3" name="Chart 2">
          <a:extLst>
            <a:ext uri="{FF2B5EF4-FFF2-40B4-BE49-F238E27FC236}">
              <a16:creationId xmlns:a16="http://schemas.microsoft.com/office/drawing/2014/main" id="{00000000-0008-0000-02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14</xdr:col>
      <xdr:colOff>1051560</xdr:colOff>
      <xdr:row>49</xdr:row>
      <xdr:rowOff>45720</xdr:rowOff>
    </xdr:from>
    <xdr:to>
      <xdr:col>25</xdr:col>
      <xdr:colOff>563880</xdr:colOff>
      <xdr:row>73</xdr:row>
      <xdr:rowOff>19050</xdr:rowOff>
    </xdr:to>
    <xdr:graphicFrame macro="">
      <xdr:nvGraphicFramePr>
        <xdr:cNvPr id="4" name="Chart 3">
          <a:extLst>
            <a:ext uri="{FF2B5EF4-FFF2-40B4-BE49-F238E27FC236}">
              <a16:creationId xmlns:a16="http://schemas.microsoft.com/office/drawing/2014/main" id="{00000000-0008-0000-03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45</xdr:col>
      <xdr:colOff>186690</xdr:colOff>
      <xdr:row>39</xdr:row>
      <xdr:rowOff>167640</xdr:rowOff>
    </xdr:from>
    <xdr:to>
      <xdr:col>47</xdr:col>
      <xdr:colOff>515248</xdr:colOff>
      <xdr:row>45</xdr:row>
      <xdr:rowOff>69931</xdr:rowOff>
    </xdr:to>
    <xdr:pic>
      <xdr:nvPicPr>
        <xdr:cNvPr id="7" name="Picture 6">
          <a:extLst>
            <a:ext uri="{FF2B5EF4-FFF2-40B4-BE49-F238E27FC236}">
              <a16:creationId xmlns:a16="http://schemas.microsoft.com/office/drawing/2014/main" id="{00000000-0008-0000-0300-000007000000}"/>
            </a:ext>
          </a:extLst>
        </xdr:cNvPr>
        <xdr:cNvPicPr>
          <a:picLocks noChangeAspect="1"/>
        </xdr:cNvPicPr>
      </xdr:nvPicPr>
      <xdr:blipFill>
        <a:blip xmlns:r="http://schemas.openxmlformats.org/officeDocument/2006/relationships" r:embed="rId2"/>
        <a:stretch>
          <a:fillRect/>
        </a:stretch>
      </xdr:blipFill>
      <xdr:spPr>
        <a:xfrm>
          <a:off x="21541740" y="5482590"/>
          <a:ext cx="1840230" cy="1045293"/>
        </a:xfrm>
        <a:prstGeom prst="rect">
          <a:avLst/>
        </a:prstGeom>
      </xdr:spPr>
    </xdr:pic>
    <xdr:clientData/>
  </xdr:twoCellAnchor>
  <xdr:twoCellAnchor editAs="oneCell">
    <xdr:from>
      <xdr:col>47</xdr:col>
      <xdr:colOff>247650</xdr:colOff>
      <xdr:row>40</xdr:row>
      <xdr:rowOff>60960</xdr:rowOff>
    </xdr:from>
    <xdr:to>
      <xdr:col>51</xdr:col>
      <xdr:colOff>567929</xdr:colOff>
      <xdr:row>44</xdr:row>
      <xdr:rowOff>129611</xdr:rowOff>
    </xdr:to>
    <xdr:pic>
      <xdr:nvPicPr>
        <xdr:cNvPr id="8" name="Picture 7">
          <a:extLst>
            <a:ext uri="{FF2B5EF4-FFF2-40B4-BE49-F238E27FC236}">
              <a16:creationId xmlns:a16="http://schemas.microsoft.com/office/drawing/2014/main" id="{00000000-0008-0000-0300-000008000000}"/>
            </a:ext>
          </a:extLst>
        </xdr:cNvPr>
        <xdr:cNvPicPr>
          <a:picLocks noChangeAspect="1"/>
        </xdr:cNvPicPr>
      </xdr:nvPicPr>
      <xdr:blipFill>
        <a:blip xmlns:r="http://schemas.openxmlformats.org/officeDocument/2006/relationships" r:embed="rId3"/>
        <a:stretch>
          <a:fillRect/>
        </a:stretch>
      </xdr:blipFill>
      <xdr:spPr>
        <a:xfrm>
          <a:off x="23888700" y="5566410"/>
          <a:ext cx="2758679" cy="830649"/>
        </a:xfrm>
        <a:prstGeom prst="rect">
          <a:avLst/>
        </a:prstGeom>
      </xdr:spPr>
    </xdr:pic>
    <xdr:clientData/>
  </xdr:twoCellAnchor>
  <xdr:twoCellAnchor>
    <xdr:from>
      <xdr:col>44</xdr:col>
      <xdr:colOff>30480</xdr:colOff>
      <xdr:row>49</xdr:row>
      <xdr:rowOff>64770</xdr:rowOff>
    </xdr:from>
    <xdr:to>
      <xdr:col>55</xdr:col>
      <xdr:colOff>144780</xdr:colOff>
      <xdr:row>73</xdr:row>
      <xdr:rowOff>38100</xdr:rowOff>
    </xdr:to>
    <xdr:graphicFrame macro="">
      <xdr:nvGraphicFramePr>
        <xdr:cNvPr id="9" name="Chart 8">
          <a:extLst>
            <a:ext uri="{FF2B5EF4-FFF2-40B4-BE49-F238E27FC236}">
              <a16:creationId xmlns:a16="http://schemas.microsoft.com/office/drawing/2014/main" id="{00000000-0008-0000-03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7620</xdr:colOff>
      <xdr:row>21</xdr:row>
      <xdr:rowOff>121920</xdr:rowOff>
    </xdr:from>
    <xdr:to>
      <xdr:col>26</xdr:col>
      <xdr:colOff>45720</xdr:colOff>
      <xdr:row>45</xdr:row>
      <xdr:rowOff>80010</xdr:rowOff>
    </xdr:to>
    <xdr:graphicFrame macro="">
      <xdr:nvGraphicFramePr>
        <xdr:cNvPr id="10" name="Chart 9">
          <a:extLst>
            <a:ext uri="{FF2B5EF4-FFF2-40B4-BE49-F238E27FC236}">
              <a16:creationId xmlns:a16="http://schemas.microsoft.com/office/drawing/2014/main" id="{00000000-0008-0000-03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8325</xdr:colOff>
      <xdr:row>36</xdr:row>
      <xdr:rowOff>8964</xdr:rowOff>
    </xdr:from>
    <xdr:to>
      <xdr:col>11</xdr:col>
      <xdr:colOff>591031</xdr:colOff>
      <xdr:row>44</xdr:row>
      <xdr:rowOff>131269</xdr:rowOff>
    </xdr:to>
    <xdr:sp macro="" textlink="">
      <xdr:nvSpPr>
        <xdr:cNvPr id="11" name="TextBox 10">
          <a:extLst>
            <a:ext uri="{FF2B5EF4-FFF2-40B4-BE49-F238E27FC236}">
              <a16:creationId xmlns:a16="http://schemas.microsoft.com/office/drawing/2014/main" id="{00000000-0008-0000-0300-00000B000000}"/>
            </a:ext>
          </a:extLst>
        </xdr:cNvPr>
        <xdr:cNvSpPr txBox="1"/>
      </xdr:nvSpPr>
      <xdr:spPr>
        <a:xfrm>
          <a:off x="6289382" y="5952564"/>
          <a:ext cx="2411506" cy="160276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twoCellAnchor>
    <xdr:from>
      <xdr:col>8</xdr:col>
      <xdr:colOff>0</xdr:colOff>
      <xdr:row>53</xdr:row>
      <xdr:rowOff>13855</xdr:rowOff>
    </xdr:from>
    <xdr:to>
      <xdr:col>12</xdr:col>
      <xdr:colOff>83127</xdr:colOff>
      <xdr:row>64</xdr:row>
      <xdr:rowOff>13855</xdr:rowOff>
    </xdr:to>
    <xdr:sp macro="" textlink="">
      <xdr:nvSpPr>
        <xdr:cNvPr id="12" name="TextBox 11">
          <a:extLst>
            <a:ext uri="{FF2B5EF4-FFF2-40B4-BE49-F238E27FC236}">
              <a16:creationId xmlns:a16="http://schemas.microsoft.com/office/drawing/2014/main" id="{00000000-0008-0000-0300-00000C000000}"/>
            </a:ext>
          </a:extLst>
        </xdr:cNvPr>
        <xdr:cNvSpPr txBox="1"/>
      </xdr:nvSpPr>
      <xdr:spPr>
        <a:xfrm>
          <a:off x="6276109" y="8936182"/>
          <a:ext cx="2521527" cy="1981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The</a:t>
          </a:r>
          <a:r>
            <a:rPr lang="en-US" sz="1100" baseline="0"/>
            <a:t> error amplifier is the same regardless of the mode of operation</a:t>
          </a:r>
        </a:p>
      </xdr:txBody>
    </xdr:sp>
    <xdr:clientData/>
  </xdr:twoCellAnchor>
  <xdr:twoCellAnchor>
    <xdr:from>
      <xdr:col>31</xdr:col>
      <xdr:colOff>313764</xdr:colOff>
      <xdr:row>48</xdr:row>
      <xdr:rowOff>179295</xdr:rowOff>
    </xdr:from>
    <xdr:to>
      <xdr:col>42</xdr:col>
      <xdr:colOff>438673</xdr:colOff>
      <xdr:row>72</xdr:row>
      <xdr:rowOff>152625</xdr:rowOff>
    </xdr:to>
    <xdr:graphicFrame macro="">
      <xdr:nvGraphicFramePr>
        <xdr:cNvPr id="14" name="Chart 13">
          <a:extLst>
            <a:ext uri="{FF2B5EF4-FFF2-40B4-BE49-F238E27FC236}">
              <a16:creationId xmlns:a16="http://schemas.microsoft.com/office/drawing/2014/main" id="{00000000-0008-0000-0300-00000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31</xdr:col>
      <xdr:colOff>0</xdr:colOff>
      <xdr:row>22</xdr:row>
      <xdr:rowOff>0</xdr:rowOff>
    </xdr:from>
    <xdr:to>
      <xdr:col>42</xdr:col>
      <xdr:colOff>97865</xdr:colOff>
      <xdr:row>45</xdr:row>
      <xdr:rowOff>144855</xdr:rowOff>
    </xdr:to>
    <xdr:graphicFrame macro="">
      <xdr:nvGraphicFramePr>
        <xdr:cNvPr id="15" name="Chart 14">
          <a:extLst>
            <a:ext uri="{FF2B5EF4-FFF2-40B4-BE49-F238E27FC236}">
              <a16:creationId xmlns:a16="http://schemas.microsoft.com/office/drawing/2014/main" id="{00000000-0008-0000-03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44</xdr:col>
      <xdr:colOff>0</xdr:colOff>
      <xdr:row>22</xdr:row>
      <xdr:rowOff>0</xdr:rowOff>
    </xdr:from>
    <xdr:to>
      <xdr:col>55</xdr:col>
      <xdr:colOff>269688</xdr:colOff>
      <xdr:row>45</xdr:row>
      <xdr:rowOff>144855</xdr:rowOff>
    </xdr:to>
    <xdr:graphicFrame macro="">
      <xdr:nvGraphicFramePr>
        <xdr:cNvPr id="16" name="Chart 15">
          <a:extLst>
            <a:ext uri="{FF2B5EF4-FFF2-40B4-BE49-F238E27FC236}">
              <a16:creationId xmlns:a16="http://schemas.microsoft.com/office/drawing/2014/main" id="{00000000-0008-0000-0300-00001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7</xdr:col>
      <xdr:colOff>548640</xdr:colOff>
      <xdr:row>8</xdr:row>
      <xdr:rowOff>0</xdr:rowOff>
    </xdr:from>
    <xdr:to>
      <xdr:col>12</xdr:col>
      <xdr:colOff>449580</xdr:colOff>
      <xdr:row>10</xdr:row>
      <xdr:rowOff>123546</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stretch>
          <a:fillRect/>
        </a:stretch>
      </xdr:blipFill>
      <xdr:spPr>
        <a:xfrm>
          <a:off x="7269480" y="1638300"/>
          <a:ext cx="2948940" cy="489306"/>
        </a:xfrm>
        <a:prstGeom prst="rect">
          <a:avLst/>
        </a:prstGeom>
      </xdr:spPr>
    </xdr:pic>
    <xdr:clientData/>
  </xdr:twoCellAnchor>
  <xdr:twoCellAnchor editAs="oneCell">
    <xdr:from>
      <xdr:col>8</xdr:col>
      <xdr:colOff>7620</xdr:colOff>
      <xdr:row>12</xdr:row>
      <xdr:rowOff>132742</xdr:rowOff>
    </xdr:from>
    <xdr:to>
      <xdr:col>13</xdr:col>
      <xdr:colOff>350520</xdr:colOff>
      <xdr:row>16</xdr:row>
      <xdr:rowOff>76286</xdr:rowOff>
    </xdr:to>
    <xdr:pic>
      <xdr:nvPicPr>
        <xdr:cNvPr id="3" name="Picture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2"/>
        <a:stretch>
          <a:fillRect/>
        </a:stretch>
      </xdr:blipFill>
      <xdr:spPr>
        <a:xfrm>
          <a:off x="7338060" y="2502562"/>
          <a:ext cx="3390900" cy="675064"/>
        </a:xfrm>
        <a:prstGeom prst="rect">
          <a:avLst/>
        </a:prstGeom>
      </xdr:spPr>
    </xdr:pic>
    <xdr:clientData/>
  </xdr:twoCellAnchor>
  <xdr:twoCellAnchor>
    <xdr:from>
      <xdr:col>6</xdr:col>
      <xdr:colOff>507999</xdr:colOff>
      <xdr:row>37</xdr:row>
      <xdr:rowOff>44824</xdr:rowOff>
    </xdr:from>
    <xdr:to>
      <xdr:col>12</xdr:col>
      <xdr:colOff>530411</xdr:colOff>
      <xdr:row>43</xdr:row>
      <xdr:rowOff>164354</xdr:rowOff>
    </xdr:to>
    <xdr:sp macro="" textlink="">
      <xdr:nvSpPr>
        <xdr:cNvPr id="4" name="TextBox 3">
          <a:extLst>
            <a:ext uri="{FF2B5EF4-FFF2-40B4-BE49-F238E27FC236}">
              <a16:creationId xmlns:a16="http://schemas.microsoft.com/office/drawing/2014/main" id="{00000000-0008-0000-0400-000004000000}"/>
            </a:ext>
          </a:extLst>
        </xdr:cNvPr>
        <xdr:cNvSpPr txBox="1"/>
      </xdr:nvSpPr>
      <xdr:spPr>
        <a:xfrm>
          <a:off x="6716058" y="6940177"/>
          <a:ext cx="3697941" cy="124011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Specific</a:t>
          </a:r>
          <a:r>
            <a:rPr lang="en-US" sz="1100" baseline="0"/>
            <a:t> to the LM5123 and LM5152. See datasheet for details</a:t>
          </a:r>
        </a:p>
        <a:p>
          <a:endParaRPr lang="en-US" sz="1100" baseline="0"/>
        </a:p>
        <a:p>
          <a:endParaRPr lang="en-US"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2</xdr:col>
      <xdr:colOff>0</xdr:colOff>
      <xdr:row>2</xdr:row>
      <xdr:rowOff>0</xdr:rowOff>
    </xdr:from>
    <xdr:to>
      <xdr:col>3</xdr:col>
      <xdr:colOff>9157</xdr:colOff>
      <xdr:row>3</xdr:row>
      <xdr:rowOff>0</xdr:rowOff>
    </xdr:to>
    <xdr:graphicFrame macro="">
      <xdr:nvGraphicFramePr>
        <xdr:cNvPr id="3" name="Chart 2">
          <a:extLst>
            <a:ext uri="{FF2B5EF4-FFF2-40B4-BE49-F238E27FC236}">
              <a16:creationId xmlns:a16="http://schemas.microsoft.com/office/drawing/2014/main" id="{00000000-0008-0000-05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0</xdr:colOff>
          <xdr:row>1</xdr:row>
          <xdr:rowOff>0</xdr:rowOff>
        </xdr:from>
        <xdr:to>
          <xdr:col>2</xdr:col>
          <xdr:colOff>28575</xdr:colOff>
          <xdr:row>2</xdr:row>
          <xdr:rowOff>0</xdr:rowOff>
        </xdr:to>
        <xdr:sp macro="" textlink="">
          <xdr:nvSpPr>
            <xdr:cNvPr id="10242" name="Object 2" hidden="1">
              <a:extLst>
                <a:ext uri="{63B3BB69-23CF-44E3-9099-C40C66FF867C}">
                  <a14:compatExt spid="_x0000_s10242"/>
                </a:ext>
                <a:ext uri="{FF2B5EF4-FFF2-40B4-BE49-F238E27FC236}">
                  <a16:creationId xmlns:a16="http://schemas.microsoft.com/office/drawing/2014/main" id="{00000000-0008-0000-0600-0000022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4</xdr:row>
          <xdr:rowOff>0</xdr:rowOff>
        </xdr:from>
        <xdr:to>
          <xdr:col>2</xdr:col>
          <xdr:colOff>28575</xdr:colOff>
          <xdr:row>5</xdr:row>
          <xdr:rowOff>9525</xdr:rowOff>
        </xdr:to>
        <xdr:sp macro="" textlink="">
          <xdr:nvSpPr>
            <xdr:cNvPr id="10243" name="Object 3" hidden="1">
              <a:extLst>
                <a:ext uri="{63B3BB69-23CF-44E3-9099-C40C66FF867C}">
                  <a14:compatExt spid="_x0000_s10243"/>
                </a:ext>
                <a:ext uri="{FF2B5EF4-FFF2-40B4-BE49-F238E27FC236}">
                  <a16:creationId xmlns:a16="http://schemas.microsoft.com/office/drawing/2014/main" id="{00000000-0008-0000-0600-0000032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6</xdr:row>
          <xdr:rowOff>0</xdr:rowOff>
        </xdr:from>
        <xdr:to>
          <xdr:col>2</xdr:col>
          <xdr:colOff>28575</xdr:colOff>
          <xdr:row>7</xdr:row>
          <xdr:rowOff>9525</xdr:rowOff>
        </xdr:to>
        <xdr:sp macro="" textlink="">
          <xdr:nvSpPr>
            <xdr:cNvPr id="10246" name="Object 6" hidden="1">
              <a:extLst>
                <a:ext uri="{63B3BB69-23CF-44E3-9099-C40C66FF867C}">
                  <a14:compatExt spid="_x0000_s10246"/>
                </a:ext>
                <a:ext uri="{FF2B5EF4-FFF2-40B4-BE49-F238E27FC236}">
                  <a16:creationId xmlns:a16="http://schemas.microsoft.com/office/drawing/2014/main" id="{00000000-0008-0000-0600-0000062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omments" Target="../comments2.xml"/><Relationship Id="rId5" Type="http://schemas.openxmlformats.org/officeDocument/2006/relationships/image" Target="../media/image3.emf"/><Relationship Id="rId4" Type="http://schemas.openxmlformats.org/officeDocument/2006/relationships/oleObject" Target="../embeddings/oleObject1.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8" Type="http://schemas.openxmlformats.org/officeDocument/2006/relationships/package" Target="../embeddings/Microsoft_Visio_Drawing2.vsdx"/><Relationship Id="rId3" Type="http://schemas.openxmlformats.org/officeDocument/2006/relationships/vmlDrawing" Target="../drawings/vmlDrawing5.vml"/><Relationship Id="rId7" Type="http://schemas.openxmlformats.org/officeDocument/2006/relationships/image" Target="../media/image9.emf"/><Relationship Id="rId2" Type="http://schemas.openxmlformats.org/officeDocument/2006/relationships/drawing" Target="../drawings/drawing7.xml"/><Relationship Id="rId1" Type="http://schemas.openxmlformats.org/officeDocument/2006/relationships/printerSettings" Target="../printerSettings/printerSettings6.bin"/><Relationship Id="rId6" Type="http://schemas.openxmlformats.org/officeDocument/2006/relationships/package" Target="../embeddings/Microsoft_Visio_Drawing1.vsdx"/><Relationship Id="rId5" Type="http://schemas.openxmlformats.org/officeDocument/2006/relationships/image" Target="../media/image8.emf"/><Relationship Id="rId4" Type="http://schemas.openxmlformats.org/officeDocument/2006/relationships/package" Target="../embeddings/Microsoft_Visio_Drawing.vsdx"/><Relationship Id="rId9" Type="http://schemas.openxmlformats.org/officeDocument/2006/relationships/image" Target="../media/image10.emf"/></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FF0000"/>
    <pageSetUpPr fitToPage="1"/>
  </sheetPr>
  <dimension ref="A1:AA98"/>
  <sheetViews>
    <sheetView tabSelected="1" topLeftCell="A63" zoomScale="85" zoomScaleNormal="85" workbookViewId="0">
      <selection activeCell="D67" sqref="D67"/>
    </sheetView>
  </sheetViews>
  <sheetFormatPr defaultColWidth="8.85546875" defaultRowHeight="15" x14ac:dyDescent="0.25"/>
  <cols>
    <col min="1" max="6" width="8.85546875" style="91" customWidth="1"/>
    <col min="7" max="7" width="8.85546875" style="131" customWidth="1"/>
    <col min="8" max="8" width="12" style="91" bestFit="1" customWidth="1"/>
    <col min="9" max="9" width="8.28515625" style="91" bestFit="1" customWidth="1"/>
    <col min="10" max="10" width="4.85546875" style="91" customWidth="1"/>
    <col min="11" max="21" width="8.85546875" style="91" customWidth="1"/>
    <col min="22" max="22" width="7.140625" style="91" customWidth="1"/>
    <col min="23" max="26" width="8.85546875" style="91" customWidth="1"/>
    <col min="27" max="27" width="1.85546875" style="132" customWidth="1"/>
    <col min="28" max="16384" width="8.85546875" style="91"/>
  </cols>
  <sheetData>
    <row r="1" spans="1:27" ht="46.7" customHeight="1" x14ac:dyDescent="0.25">
      <c r="A1" s="87"/>
      <c r="B1" s="87"/>
      <c r="C1" s="87"/>
      <c r="D1" s="87"/>
      <c r="E1" s="88" t="s">
        <v>517</v>
      </c>
      <c r="F1" s="87"/>
      <c r="G1" s="89"/>
      <c r="H1" s="87"/>
      <c r="I1" s="87"/>
      <c r="J1" s="87"/>
      <c r="K1" s="87"/>
      <c r="L1" s="87"/>
      <c r="M1" s="87"/>
      <c r="N1" s="87"/>
      <c r="O1" s="87"/>
      <c r="P1" s="87"/>
      <c r="Q1" s="87"/>
      <c r="R1" s="87"/>
      <c r="S1" s="87"/>
      <c r="T1" s="87"/>
      <c r="U1" s="87"/>
      <c r="V1" s="87"/>
      <c r="W1" s="87"/>
      <c r="X1" s="87"/>
      <c r="Y1" s="87"/>
      <c r="Z1" s="87"/>
      <c r="AA1" s="90"/>
    </row>
    <row r="2" spans="1:27" x14ac:dyDescent="0.25">
      <c r="A2" s="92"/>
      <c r="B2" s="92"/>
      <c r="C2" s="92"/>
      <c r="D2" s="92"/>
      <c r="E2" s="92"/>
      <c r="F2" s="92"/>
      <c r="G2" s="93"/>
      <c r="H2" s="92"/>
      <c r="I2" s="92"/>
      <c r="J2" s="92"/>
      <c r="K2" s="92"/>
      <c r="L2" s="92"/>
      <c r="M2" s="92"/>
      <c r="N2" s="92"/>
      <c r="O2" s="92"/>
      <c r="P2" s="92"/>
      <c r="Q2" s="92"/>
      <c r="R2" s="92"/>
      <c r="S2" s="92"/>
      <c r="T2" s="92"/>
      <c r="U2" s="92"/>
      <c r="V2" s="92"/>
      <c r="W2" s="92"/>
      <c r="X2" s="92"/>
      <c r="Y2" s="92"/>
      <c r="Z2" s="92"/>
      <c r="AA2" s="90"/>
    </row>
    <row r="3" spans="1:27" x14ac:dyDescent="0.25">
      <c r="A3" s="94" t="s">
        <v>1</v>
      </c>
      <c r="B3" s="92"/>
      <c r="C3" s="92"/>
      <c r="D3" s="92"/>
      <c r="E3" s="95"/>
      <c r="F3" s="96" t="s">
        <v>2</v>
      </c>
      <c r="G3" s="93"/>
      <c r="H3" s="92"/>
      <c r="I3" s="92"/>
      <c r="J3" s="92"/>
      <c r="K3" s="92"/>
      <c r="L3" s="92"/>
      <c r="M3" s="92"/>
      <c r="N3" s="92"/>
      <c r="O3" s="97" t="s">
        <v>0</v>
      </c>
      <c r="P3" s="92"/>
      <c r="Q3" s="92"/>
      <c r="R3" s="92"/>
      <c r="S3" s="92"/>
      <c r="T3" s="92"/>
      <c r="U3" s="92"/>
      <c r="V3" s="92"/>
      <c r="W3" s="92"/>
      <c r="X3" s="92"/>
      <c r="Y3" s="92"/>
      <c r="Z3" s="92"/>
      <c r="AA3" s="90"/>
    </row>
    <row r="4" spans="1:27" s="101" customFormat="1" x14ac:dyDescent="0.25">
      <c r="A4" s="98"/>
      <c r="B4" s="98"/>
      <c r="C4" s="98"/>
      <c r="D4" s="98"/>
      <c r="E4" s="98"/>
      <c r="F4" s="98"/>
      <c r="G4" s="99"/>
      <c r="H4" s="98"/>
      <c r="I4" s="98"/>
      <c r="J4" s="98"/>
      <c r="K4" s="98"/>
      <c r="L4" s="98"/>
      <c r="M4" s="98"/>
      <c r="N4" s="98"/>
      <c r="O4" s="98"/>
      <c r="P4" s="98"/>
      <c r="Q4" s="98"/>
      <c r="R4" s="98"/>
      <c r="S4" s="98"/>
      <c r="T4" s="98"/>
      <c r="U4" s="98"/>
      <c r="V4" s="98"/>
      <c r="W4" s="98"/>
      <c r="X4" s="98"/>
      <c r="Y4" s="98"/>
      <c r="Z4" s="98"/>
      <c r="AA4" s="100"/>
    </row>
    <row r="5" spans="1:27" x14ac:dyDescent="0.25">
      <c r="A5" s="102"/>
      <c r="B5" s="102"/>
      <c r="C5" s="102"/>
      <c r="D5" s="102"/>
      <c r="E5" s="102"/>
      <c r="F5" s="102"/>
      <c r="G5" s="103"/>
      <c r="H5" s="102"/>
      <c r="I5" s="102"/>
      <c r="J5" s="102"/>
      <c r="K5" s="102"/>
      <c r="L5" s="102"/>
      <c r="M5" s="102"/>
      <c r="N5" s="102"/>
      <c r="O5" s="102" t="s">
        <v>608</v>
      </c>
      <c r="P5" s="104" t="s">
        <v>609</v>
      </c>
      <c r="Q5" s="102"/>
      <c r="R5" s="102"/>
      <c r="S5" s="102"/>
      <c r="T5" s="102"/>
      <c r="U5" s="102"/>
      <c r="V5" s="102"/>
      <c r="W5" s="102"/>
      <c r="X5" s="102"/>
      <c r="Y5" s="102"/>
      <c r="Z5" s="102"/>
      <c r="AA5" s="90"/>
    </row>
    <row r="6" spans="1:27" ht="15.75" thickBot="1" x14ac:dyDescent="0.3">
      <c r="A6" s="117" t="s">
        <v>3</v>
      </c>
      <c r="B6" s="102"/>
      <c r="C6" s="102"/>
      <c r="D6" s="102"/>
      <c r="E6" s="102"/>
      <c r="F6" s="102"/>
      <c r="G6" s="103"/>
      <c r="H6" s="102"/>
      <c r="I6" s="102"/>
      <c r="J6" s="102"/>
      <c r="K6" s="102"/>
      <c r="L6" s="102"/>
      <c r="M6" s="102"/>
      <c r="N6" s="102"/>
      <c r="O6" s="102"/>
      <c r="P6" s="102"/>
      <c r="Q6" s="102"/>
      <c r="R6" s="102"/>
      <c r="S6" s="102"/>
      <c r="T6" s="102"/>
      <c r="U6" s="102"/>
      <c r="V6" s="102"/>
      <c r="W6" s="102"/>
      <c r="X6" s="102"/>
      <c r="Y6" s="102"/>
      <c r="Z6" s="102"/>
      <c r="AA6" s="90"/>
    </row>
    <row r="7" spans="1:27" x14ac:dyDescent="0.25">
      <c r="A7" s="105"/>
      <c r="B7" s="106"/>
      <c r="C7" s="106"/>
      <c r="D7" s="106"/>
      <c r="E7" s="106"/>
      <c r="F7" s="106"/>
      <c r="G7" s="107" t="s">
        <v>4</v>
      </c>
      <c r="H7" s="133">
        <v>10</v>
      </c>
      <c r="I7" s="108" t="s">
        <v>10</v>
      </c>
      <c r="J7" s="102"/>
      <c r="K7" s="102"/>
      <c r="L7" s="102"/>
      <c r="M7" s="102"/>
      <c r="N7" s="102"/>
      <c r="O7" s="102"/>
      <c r="P7" s="102"/>
      <c r="Q7" s="102"/>
      <c r="R7" s="102"/>
      <c r="S7" s="102"/>
      <c r="T7" s="102"/>
      <c r="U7" s="102"/>
      <c r="V7" s="102"/>
      <c r="W7" s="102"/>
      <c r="X7" s="102"/>
      <c r="Y7" s="102"/>
      <c r="Z7" s="102"/>
      <c r="AA7" s="90"/>
    </row>
    <row r="8" spans="1:27" x14ac:dyDescent="0.25">
      <c r="A8" s="109"/>
      <c r="B8" s="102"/>
      <c r="C8" s="102"/>
      <c r="D8" s="102"/>
      <c r="E8" s="102"/>
      <c r="F8" s="102"/>
      <c r="G8" s="110" t="s">
        <v>5</v>
      </c>
      <c r="H8" s="134">
        <v>12</v>
      </c>
      <c r="I8" s="111" t="s">
        <v>10</v>
      </c>
      <c r="J8" s="102"/>
      <c r="K8" s="102"/>
      <c r="L8" s="102"/>
      <c r="M8" s="102"/>
      <c r="N8" s="102"/>
      <c r="O8" s="102"/>
      <c r="P8" s="102"/>
      <c r="Q8" s="102"/>
      <c r="R8" s="102"/>
      <c r="S8" s="102"/>
      <c r="T8" s="102"/>
      <c r="U8" s="102"/>
      <c r="V8" s="102"/>
      <c r="W8" s="102"/>
      <c r="X8" s="102"/>
      <c r="Y8" s="102"/>
      <c r="Z8" s="102"/>
      <c r="AA8" s="90"/>
    </row>
    <row r="9" spans="1:27" x14ac:dyDescent="0.25">
      <c r="A9" s="109"/>
      <c r="B9" s="102"/>
      <c r="C9" s="102"/>
      <c r="D9" s="102"/>
      <c r="E9" s="102"/>
      <c r="F9" s="102"/>
      <c r="G9" s="110" t="s">
        <v>6</v>
      </c>
      <c r="H9" s="134">
        <v>18</v>
      </c>
      <c r="I9" s="111" t="s">
        <v>10</v>
      </c>
      <c r="J9" s="102"/>
      <c r="K9" s="102"/>
      <c r="L9" s="102"/>
      <c r="M9" s="102"/>
      <c r="N9" s="102"/>
      <c r="O9" s="102"/>
      <c r="P9" s="102"/>
      <c r="Q9" s="102"/>
      <c r="R9" s="102"/>
      <c r="S9" s="102"/>
      <c r="T9" s="102"/>
      <c r="U9" s="102"/>
      <c r="V9" s="102"/>
      <c r="W9" s="102"/>
      <c r="X9" s="102"/>
      <c r="Y9" s="102"/>
      <c r="Z9" s="102"/>
      <c r="AA9" s="90"/>
    </row>
    <row r="10" spans="1:27" x14ac:dyDescent="0.25">
      <c r="A10" s="109"/>
      <c r="B10" s="102"/>
      <c r="C10" s="102"/>
      <c r="D10" s="102"/>
      <c r="E10" s="102"/>
      <c r="F10" s="102"/>
      <c r="G10" s="110" t="s">
        <v>7</v>
      </c>
      <c r="H10" s="134">
        <v>20</v>
      </c>
      <c r="I10" s="111" t="s">
        <v>10</v>
      </c>
      <c r="J10" s="102"/>
      <c r="K10" s="102"/>
      <c r="L10" s="102"/>
      <c r="M10" s="102"/>
      <c r="N10" s="102"/>
      <c r="O10" s="102"/>
      <c r="P10" s="102"/>
      <c r="Q10" s="102"/>
      <c r="R10" s="102"/>
      <c r="S10" s="102"/>
      <c r="T10" s="102"/>
      <c r="U10" s="102"/>
      <c r="V10" s="102"/>
      <c r="W10" s="102"/>
      <c r="X10" s="102"/>
      <c r="Y10" s="102"/>
      <c r="Z10" s="102"/>
      <c r="AA10" s="90"/>
    </row>
    <row r="11" spans="1:27" x14ac:dyDescent="0.25">
      <c r="A11" s="109"/>
      <c r="B11" s="102"/>
      <c r="C11" s="102"/>
      <c r="D11" s="102"/>
      <c r="E11" s="102"/>
      <c r="F11" s="102"/>
      <c r="G11" s="110" t="s">
        <v>8</v>
      </c>
      <c r="H11" s="210">
        <v>15</v>
      </c>
      <c r="I11" s="111" t="s">
        <v>11</v>
      </c>
      <c r="J11" s="102"/>
      <c r="K11" s="102"/>
      <c r="L11" s="102"/>
      <c r="M11" s="102"/>
      <c r="N11" s="102"/>
      <c r="O11" s="102"/>
      <c r="P11" s="102"/>
      <c r="Q11" s="102"/>
      <c r="R11" s="102"/>
      <c r="S11" s="102"/>
      <c r="T11" s="102"/>
      <c r="U11" s="102"/>
      <c r="V11" s="102"/>
      <c r="W11" s="102"/>
      <c r="X11" s="102"/>
      <c r="Y11" s="102"/>
      <c r="Z11" s="102"/>
      <c r="AA11" s="90"/>
    </row>
    <row r="12" spans="1:27" x14ac:dyDescent="0.25">
      <c r="A12" s="109"/>
      <c r="B12" s="102"/>
      <c r="C12" s="102"/>
      <c r="D12" s="102"/>
      <c r="E12" s="102"/>
      <c r="F12" s="102"/>
      <c r="G12" s="110" t="s">
        <v>521</v>
      </c>
      <c r="H12" s="211" t="s">
        <v>607</v>
      </c>
      <c r="I12" s="212"/>
      <c r="J12" s="102"/>
      <c r="K12" s="102"/>
      <c r="L12" s="102"/>
      <c r="M12" s="102"/>
      <c r="N12" s="102"/>
      <c r="O12" s="102"/>
      <c r="P12" s="102"/>
      <c r="Q12" s="102"/>
      <c r="R12" s="102"/>
      <c r="S12" s="102"/>
      <c r="T12" s="102"/>
      <c r="U12" s="102"/>
      <c r="V12" s="102"/>
      <c r="W12" s="102"/>
      <c r="X12" s="102"/>
      <c r="Y12" s="102"/>
      <c r="Z12" s="102"/>
      <c r="AA12" s="90"/>
    </row>
    <row r="13" spans="1:27" x14ac:dyDescent="0.25">
      <c r="A13" s="109"/>
      <c r="B13" s="102"/>
      <c r="C13" s="102"/>
      <c r="D13" s="102"/>
      <c r="E13" s="102"/>
      <c r="F13" s="102"/>
      <c r="G13" s="110" t="s">
        <v>9</v>
      </c>
      <c r="H13" s="134">
        <v>2000</v>
      </c>
      <c r="I13" s="111" t="s">
        <v>12</v>
      </c>
      <c r="J13" s="102"/>
      <c r="K13" s="102"/>
      <c r="L13" s="102"/>
      <c r="M13" s="102"/>
      <c r="N13" s="102"/>
      <c r="O13" s="102"/>
      <c r="P13" s="102"/>
      <c r="Q13" s="102"/>
      <c r="R13" s="102"/>
      <c r="S13" s="102"/>
      <c r="T13" s="102"/>
      <c r="U13" s="102"/>
      <c r="V13" s="102"/>
      <c r="W13" s="102"/>
      <c r="X13" s="102"/>
      <c r="Y13" s="102"/>
      <c r="Z13" s="102"/>
      <c r="AA13" s="90"/>
    </row>
    <row r="14" spans="1:27" x14ac:dyDescent="0.25">
      <c r="A14" s="109"/>
      <c r="B14" s="102"/>
      <c r="C14" s="102"/>
      <c r="D14" s="102"/>
      <c r="E14" s="102"/>
      <c r="F14" s="102"/>
      <c r="G14" s="110" t="s">
        <v>70</v>
      </c>
      <c r="H14" s="135">
        <f>RT/1000</f>
        <v>10.095000000000001</v>
      </c>
      <c r="I14" s="111" t="s">
        <v>71</v>
      </c>
      <c r="J14" s="102"/>
      <c r="K14" s="102"/>
      <c r="L14" s="102"/>
      <c r="M14" s="102"/>
      <c r="N14" s="102"/>
      <c r="O14" s="102"/>
      <c r="P14" s="102"/>
      <c r="Q14" s="102"/>
      <c r="R14" s="102"/>
      <c r="S14" s="102"/>
      <c r="T14" s="102"/>
      <c r="U14" s="102"/>
      <c r="V14" s="102"/>
      <c r="W14" s="102"/>
      <c r="X14" s="102"/>
      <c r="Y14" s="102"/>
      <c r="Z14" s="102"/>
      <c r="AA14" s="90"/>
    </row>
    <row r="15" spans="1:27" x14ac:dyDescent="0.25">
      <c r="A15" s="109"/>
      <c r="B15" s="102"/>
      <c r="C15" s="102"/>
      <c r="D15" s="102"/>
      <c r="E15" s="102"/>
      <c r="F15" s="102"/>
      <c r="G15" s="110" t="s">
        <v>14</v>
      </c>
      <c r="H15" s="163">
        <f>POUT</f>
        <v>300</v>
      </c>
      <c r="I15" s="111" t="s">
        <v>38</v>
      </c>
      <c r="J15" s="102"/>
      <c r="K15" s="102"/>
      <c r="L15" s="102"/>
      <c r="M15" s="102"/>
      <c r="N15" s="102"/>
      <c r="O15" s="102"/>
      <c r="P15" s="102"/>
      <c r="Q15" s="102"/>
      <c r="R15" s="102"/>
      <c r="S15" s="102"/>
      <c r="T15" s="102"/>
      <c r="U15" s="102"/>
      <c r="V15" s="102"/>
      <c r="W15" s="102"/>
      <c r="X15" s="102"/>
      <c r="Y15" s="102"/>
      <c r="Z15" s="102"/>
      <c r="AA15" s="90"/>
    </row>
    <row r="16" spans="1:27" x14ac:dyDescent="0.25">
      <c r="A16" s="112"/>
      <c r="B16" s="113"/>
      <c r="C16" s="113"/>
      <c r="D16" s="113"/>
      <c r="E16" s="113"/>
      <c r="F16" s="102"/>
      <c r="G16" s="114" t="s">
        <v>516</v>
      </c>
      <c r="H16" s="163">
        <f>Dc_max_IC*100</f>
        <v>79.818181818181827</v>
      </c>
      <c r="I16" s="111" t="s">
        <v>13</v>
      </c>
      <c r="J16" s="102"/>
      <c r="K16" s="102"/>
      <c r="L16" s="102"/>
      <c r="M16" s="102"/>
      <c r="N16" s="102"/>
      <c r="O16" s="102"/>
      <c r="P16" s="102"/>
      <c r="Q16" s="102"/>
      <c r="R16" s="102"/>
      <c r="S16" s="102"/>
      <c r="T16" s="102"/>
      <c r="U16" s="102"/>
      <c r="V16" s="102"/>
      <c r="W16" s="102"/>
      <c r="X16" s="102"/>
      <c r="Y16" s="102"/>
      <c r="Z16" s="102"/>
      <c r="AA16" s="90"/>
    </row>
    <row r="17" spans="1:27" ht="15.75" thickBot="1" x14ac:dyDescent="0.3">
      <c r="A17" s="161"/>
      <c r="B17" s="162"/>
      <c r="C17" s="162"/>
      <c r="D17" s="162"/>
      <c r="E17" s="162"/>
      <c r="F17" s="115"/>
      <c r="G17" s="204" t="s">
        <v>414</v>
      </c>
      <c r="H17" s="205">
        <f>Variable_Management!B22*100</f>
        <v>50</v>
      </c>
      <c r="I17" s="116" t="s">
        <v>13</v>
      </c>
      <c r="J17" s="102"/>
      <c r="K17" s="102"/>
      <c r="L17" s="102"/>
      <c r="M17" s="102"/>
      <c r="N17" s="102"/>
      <c r="O17" s="102"/>
      <c r="P17" s="102"/>
      <c r="Q17" s="102"/>
      <c r="R17" s="102"/>
      <c r="S17" s="102"/>
      <c r="T17" s="102"/>
      <c r="U17" s="102"/>
      <c r="V17" s="102"/>
      <c r="W17" s="102"/>
      <c r="X17" s="102"/>
      <c r="Y17" s="102"/>
      <c r="Z17" s="102"/>
      <c r="AA17" s="90"/>
    </row>
    <row r="18" spans="1:27" x14ac:dyDescent="0.25">
      <c r="A18" s="113"/>
      <c r="B18" s="113"/>
      <c r="C18" s="113"/>
      <c r="D18" s="113"/>
      <c r="E18" s="113"/>
      <c r="F18" s="102"/>
      <c r="G18" s="103"/>
      <c r="H18" s="102"/>
      <c r="I18" s="102"/>
      <c r="J18" s="102"/>
      <c r="K18" s="102"/>
      <c r="L18" s="102"/>
      <c r="M18" s="102"/>
      <c r="N18" s="102"/>
      <c r="O18" s="102"/>
      <c r="P18" s="102"/>
      <c r="Q18" s="102"/>
      <c r="R18" s="102"/>
      <c r="S18" s="102"/>
      <c r="T18" s="102"/>
      <c r="U18" s="102"/>
      <c r="V18" s="102"/>
      <c r="W18" s="102"/>
      <c r="X18" s="102"/>
      <c r="Y18" s="102"/>
      <c r="Z18" s="102"/>
      <c r="AA18" s="90"/>
    </row>
    <row r="19" spans="1:27" ht="15.75" thickBot="1" x14ac:dyDescent="0.3">
      <c r="A19" s="117" t="s">
        <v>72</v>
      </c>
      <c r="B19" s="113"/>
      <c r="C19" s="113"/>
      <c r="D19" s="113"/>
      <c r="E19" s="113"/>
      <c r="F19" s="102"/>
      <c r="G19" s="103"/>
      <c r="H19" s="102"/>
      <c r="I19" s="102"/>
      <c r="J19" s="102"/>
      <c r="K19" s="102"/>
      <c r="L19" s="102"/>
      <c r="M19" s="102"/>
      <c r="N19" s="102"/>
      <c r="O19" s="102"/>
      <c r="P19" s="102"/>
      <c r="Q19" s="102"/>
      <c r="R19" s="102"/>
      <c r="S19" s="102"/>
      <c r="T19" s="102"/>
      <c r="U19" s="102"/>
      <c r="V19" s="102"/>
      <c r="W19" s="102"/>
      <c r="X19" s="102"/>
      <c r="Y19" s="102"/>
      <c r="Z19" s="102"/>
      <c r="AA19" s="90"/>
    </row>
    <row r="20" spans="1:27" ht="18" x14ac:dyDescent="0.35">
      <c r="A20" s="125"/>
      <c r="B20" s="118"/>
      <c r="C20" s="118"/>
      <c r="D20" s="118"/>
      <c r="E20" s="118"/>
      <c r="F20" s="106"/>
      <c r="G20" s="124" t="s">
        <v>524</v>
      </c>
      <c r="H20" s="157" t="str">
        <f>CHOOSE(Variable_Management!B25, "DCM","CCM")</f>
        <v>CCM</v>
      </c>
      <c r="I20" s="108"/>
      <c r="J20" s="102"/>
      <c r="K20" s="102"/>
      <c r="L20" s="102"/>
      <c r="M20" s="102"/>
      <c r="N20" s="102"/>
      <c r="O20" s="102"/>
      <c r="P20" s="102"/>
      <c r="Q20" s="102"/>
      <c r="R20" s="102"/>
      <c r="S20" s="102"/>
      <c r="T20" s="102"/>
      <c r="U20" s="102"/>
      <c r="V20" s="102"/>
      <c r="W20" s="102"/>
      <c r="X20" s="102"/>
      <c r="Y20" s="102"/>
      <c r="Z20" s="102"/>
      <c r="AA20" s="90"/>
    </row>
    <row r="21" spans="1:27" x14ac:dyDescent="0.25">
      <c r="A21" s="112"/>
      <c r="B21" s="113"/>
      <c r="C21" s="113"/>
      <c r="D21" s="113"/>
      <c r="E21" s="113"/>
      <c r="F21" s="102"/>
      <c r="G21" s="110" t="str">
        <f>CHOOSE(Variable_Management!B25,"Maximum duty cycle at the minimum supply voltage","Desired Maximum Inductor Current Ripple Ratio")</f>
        <v>Desired Maximum Inductor Current Ripple Ratio</v>
      </c>
      <c r="H21" s="134">
        <v>10</v>
      </c>
      <c r="I21" s="111" t="s">
        <v>13</v>
      </c>
      <c r="J21" s="102"/>
      <c r="K21" s="102"/>
      <c r="L21" s="102"/>
      <c r="M21" s="102"/>
      <c r="N21" s="102"/>
      <c r="O21" s="102"/>
      <c r="P21" s="102"/>
      <c r="Q21" s="102"/>
      <c r="R21" s="102"/>
      <c r="S21" s="102"/>
      <c r="T21" s="102"/>
      <c r="U21" s="102"/>
      <c r="V21" s="102"/>
      <c r="W21" s="102"/>
      <c r="X21" s="102"/>
      <c r="Y21" s="102"/>
      <c r="Z21" s="102"/>
      <c r="AA21" s="90"/>
    </row>
    <row r="22" spans="1:27" x14ac:dyDescent="0.25">
      <c r="A22" s="109"/>
      <c r="B22" s="102"/>
      <c r="C22" s="102"/>
      <c r="D22" s="102"/>
      <c r="E22" s="102"/>
      <c r="F22" s="102"/>
      <c r="G22" s="110" t="s">
        <v>390</v>
      </c>
      <c r="H22" s="137">
        <f>CHOOSE(Variable_Management!B25,Variable_Management!B45*10^9,Variable_Management!B45*10^6)</f>
        <v>0.98757999999999979</v>
      </c>
      <c r="I22" s="111" t="str">
        <f>CHOOSE(Variable_Management!B25,"nH","uH")</f>
        <v>uH</v>
      </c>
      <c r="J22" s="102"/>
      <c r="K22" s="102"/>
      <c r="L22" s="102"/>
      <c r="M22" s="102"/>
      <c r="N22" s="102"/>
      <c r="O22" s="102"/>
      <c r="P22" s="102"/>
      <c r="Q22" s="102"/>
      <c r="R22" s="102"/>
      <c r="S22" s="102"/>
      <c r="T22" s="102"/>
      <c r="U22" s="102"/>
      <c r="V22" s="102"/>
      <c r="W22" s="102"/>
      <c r="X22" s="102"/>
      <c r="Y22" s="102"/>
      <c r="Z22" s="102"/>
      <c r="AA22" s="90"/>
    </row>
    <row r="23" spans="1:27" x14ac:dyDescent="0.25">
      <c r="A23" s="109"/>
      <c r="B23" s="102"/>
      <c r="C23" s="102"/>
      <c r="D23" s="102"/>
      <c r="E23" s="102"/>
      <c r="F23" s="102"/>
      <c r="G23" s="110" t="s">
        <v>391</v>
      </c>
      <c r="H23" s="134">
        <v>1</v>
      </c>
      <c r="I23" s="111" t="str">
        <f>CHOOSE(Variable_Management!B25,"nH","uH")</f>
        <v>uH</v>
      </c>
      <c r="J23" s="102"/>
      <c r="K23" s="102"/>
      <c r="L23" s="102"/>
      <c r="M23" s="102"/>
      <c r="N23" s="102"/>
      <c r="O23" s="102"/>
      <c r="P23" s="102"/>
      <c r="Q23" s="102"/>
      <c r="R23" s="102"/>
      <c r="S23" s="102"/>
      <c r="T23" s="102"/>
      <c r="U23" s="102"/>
      <c r="V23" s="102"/>
      <c r="W23" s="102"/>
      <c r="X23" s="102"/>
      <c r="Y23" s="102"/>
      <c r="Z23" s="102"/>
      <c r="AA23" s="90"/>
    </row>
    <row r="24" spans="1:27" x14ac:dyDescent="0.25">
      <c r="A24" s="109"/>
      <c r="B24" s="102"/>
      <c r="C24" s="102"/>
      <c r="D24" s="102"/>
      <c r="E24" s="102"/>
      <c r="F24" s="102"/>
      <c r="G24" s="110" t="s">
        <v>76</v>
      </c>
      <c r="H24" s="134">
        <v>1.38</v>
      </c>
      <c r="I24" s="111" t="s">
        <v>92</v>
      </c>
      <c r="J24" s="102"/>
      <c r="K24" s="102"/>
      <c r="L24" s="102"/>
      <c r="M24" s="102"/>
      <c r="N24" s="102"/>
      <c r="O24" s="102"/>
      <c r="P24" s="102"/>
      <c r="Q24" s="102"/>
      <c r="R24" s="102"/>
      <c r="S24" s="102"/>
      <c r="T24" s="102"/>
      <c r="U24" s="102"/>
      <c r="V24" s="102"/>
      <c r="W24" s="102"/>
      <c r="X24" s="102"/>
      <c r="Y24" s="102"/>
      <c r="Z24" s="102"/>
      <c r="AA24" s="90"/>
    </row>
    <row r="25" spans="1:27" ht="15.75" thickBot="1" x14ac:dyDescent="0.3">
      <c r="A25" s="119"/>
      <c r="B25" s="115"/>
      <c r="C25" s="115"/>
      <c r="D25" s="115"/>
      <c r="E25" s="115"/>
      <c r="F25" s="115"/>
      <c r="G25" s="120" t="s">
        <v>93</v>
      </c>
      <c r="H25" s="138">
        <f>ILp_VINmin</f>
        <v>31.25</v>
      </c>
      <c r="I25" s="116" t="s">
        <v>11</v>
      </c>
      <c r="J25" s="102"/>
      <c r="K25" s="102"/>
      <c r="L25" s="102"/>
      <c r="M25" s="102"/>
      <c r="N25" s="102"/>
      <c r="O25" s="102"/>
      <c r="P25" s="102"/>
      <c r="Q25" s="102"/>
      <c r="R25" s="102"/>
      <c r="S25" s="102"/>
      <c r="T25" s="102"/>
      <c r="U25" s="102"/>
      <c r="V25" s="102"/>
      <c r="W25" s="102"/>
      <c r="X25" s="102"/>
      <c r="Y25" s="102"/>
      <c r="Z25" s="102"/>
      <c r="AA25" s="90"/>
    </row>
    <row r="26" spans="1:27" x14ac:dyDescent="0.25">
      <c r="A26" s="102"/>
      <c r="B26" s="102"/>
      <c r="C26" s="102"/>
      <c r="D26" s="102"/>
      <c r="E26" s="102"/>
      <c r="F26" s="102"/>
      <c r="G26" s="103"/>
      <c r="H26" s="102"/>
      <c r="I26" s="102"/>
      <c r="J26" s="102"/>
      <c r="K26" s="102"/>
      <c r="L26" s="102"/>
      <c r="M26" s="102"/>
      <c r="N26" s="102"/>
      <c r="O26" s="102"/>
      <c r="P26" s="102"/>
      <c r="Q26" s="102"/>
      <c r="R26" s="102"/>
      <c r="S26" s="102"/>
      <c r="T26" s="102"/>
      <c r="U26" s="102"/>
      <c r="V26" s="102"/>
      <c r="W26" s="102"/>
      <c r="X26" s="102"/>
      <c r="Y26" s="102"/>
      <c r="Z26" s="102"/>
      <c r="AA26" s="90"/>
    </row>
    <row r="27" spans="1:27" ht="15.75" thickBot="1" x14ac:dyDescent="0.3">
      <c r="A27" s="117" t="s">
        <v>112</v>
      </c>
      <c r="B27" s="102"/>
      <c r="C27" s="102"/>
      <c r="D27" s="102"/>
      <c r="E27" s="102"/>
      <c r="F27" s="102"/>
      <c r="G27" s="103"/>
      <c r="H27" s="102"/>
      <c r="I27" s="102"/>
      <c r="J27" s="102"/>
      <c r="K27" s="102"/>
      <c r="L27" s="102"/>
      <c r="M27" s="102"/>
      <c r="N27" s="102"/>
      <c r="O27" s="102"/>
      <c r="P27" s="102"/>
      <c r="Q27" s="102"/>
      <c r="R27" s="102"/>
      <c r="S27" s="102"/>
      <c r="T27" s="102"/>
      <c r="U27" s="102"/>
      <c r="V27" s="102"/>
      <c r="W27" s="102"/>
      <c r="X27" s="102"/>
      <c r="Y27" s="102"/>
      <c r="Z27" s="102"/>
      <c r="AA27" s="90"/>
    </row>
    <row r="28" spans="1:27" x14ac:dyDescent="0.25">
      <c r="A28" s="105"/>
      <c r="B28" s="106"/>
      <c r="C28" s="106"/>
      <c r="D28" s="106"/>
      <c r="E28" s="106"/>
      <c r="F28" s="106"/>
      <c r="G28" s="107" t="s">
        <v>415</v>
      </c>
      <c r="H28" s="133">
        <v>10</v>
      </c>
      <c r="I28" s="108" t="s">
        <v>13</v>
      </c>
      <c r="J28" s="102"/>
      <c r="K28" s="102"/>
      <c r="L28" s="102"/>
      <c r="M28" s="102"/>
      <c r="N28" s="102"/>
      <c r="O28" s="102"/>
      <c r="P28" s="102"/>
      <c r="Q28" s="102"/>
      <c r="R28" s="102"/>
      <c r="S28" s="102"/>
      <c r="T28" s="102"/>
      <c r="U28" s="102"/>
      <c r="V28" s="102"/>
      <c r="W28" s="102"/>
      <c r="X28" s="102"/>
      <c r="Y28" s="102"/>
      <c r="Z28" s="102"/>
      <c r="AA28" s="90"/>
    </row>
    <row r="29" spans="1:27" ht="18" x14ac:dyDescent="0.35">
      <c r="A29" s="109"/>
      <c r="B29" s="102"/>
      <c r="C29" s="102"/>
      <c r="D29" s="102"/>
      <c r="E29" s="102"/>
      <c r="F29" s="102"/>
      <c r="G29" s="103" t="s">
        <v>170</v>
      </c>
      <c r="H29" s="135">
        <f>Ipk_selected</f>
        <v>36.111842105263165</v>
      </c>
      <c r="I29" s="111" t="s">
        <v>11</v>
      </c>
      <c r="J29" s="102"/>
      <c r="K29" s="102"/>
      <c r="L29" s="102"/>
      <c r="M29" s="102"/>
      <c r="N29" s="102"/>
      <c r="O29" s="102"/>
      <c r="P29" s="102"/>
      <c r="Q29" s="102"/>
      <c r="R29" s="102"/>
      <c r="S29" s="102"/>
      <c r="T29" s="102"/>
      <c r="U29" s="102"/>
      <c r="V29" s="102"/>
      <c r="W29" s="102"/>
      <c r="X29" s="102"/>
      <c r="Y29" s="102"/>
      <c r="Z29" s="102"/>
      <c r="AA29" s="90"/>
    </row>
    <row r="30" spans="1:27" ht="18" x14ac:dyDescent="0.35">
      <c r="A30" s="109"/>
      <c r="B30" s="102"/>
      <c r="C30" s="102"/>
      <c r="D30" s="102"/>
      <c r="E30" s="102"/>
      <c r="F30" s="102"/>
      <c r="G30" s="103" t="s">
        <v>418</v>
      </c>
      <c r="H30" s="135">
        <f>Variable_Management!B87*1000</f>
        <v>1.6615048278374929</v>
      </c>
      <c r="I30" s="111" t="s">
        <v>92</v>
      </c>
      <c r="J30" s="102"/>
      <c r="K30" s="102"/>
      <c r="L30" s="102"/>
      <c r="M30" s="102"/>
      <c r="N30" s="102"/>
      <c r="O30" s="102"/>
      <c r="P30" s="102"/>
      <c r="Q30" s="102"/>
      <c r="R30" s="102"/>
      <c r="S30" s="102"/>
      <c r="T30" s="102"/>
      <c r="U30" s="102"/>
      <c r="V30" s="102"/>
      <c r="W30" s="102"/>
      <c r="X30" s="102"/>
      <c r="Y30" s="102"/>
      <c r="Z30" s="102"/>
      <c r="AA30" s="90"/>
    </row>
    <row r="31" spans="1:27" ht="18" x14ac:dyDescent="0.35">
      <c r="A31" s="109"/>
      <c r="B31" s="102"/>
      <c r="C31" s="102"/>
      <c r="D31" s="102"/>
      <c r="E31" s="102"/>
      <c r="F31" s="102"/>
      <c r="G31" s="103" t="s">
        <v>419</v>
      </c>
      <c r="H31" s="134">
        <v>1.5</v>
      </c>
      <c r="I31" s="111" t="s">
        <v>92</v>
      </c>
      <c r="J31" s="102"/>
      <c r="K31" s="102"/>
      <c r="L31" s="102"/>
      <c r="M31" s="102"/>
      <c r="N31" s="102"/>
      <c r="O31" s="102"/>
      <c r="P31" s="102"/>
      <c r="Q31" s="102"/>
      <c r="R31" s="102"/>
      <c r="S31" s="102"/>
      <c r="T31" s="102"/>
      <c r="U31" s="102"/>
      <c r="V31" s="102"/>
      <c r="W31" s="102"/>
      <c r="X31" s="102"/>
      <c r="Y31" s="102"/>
      <c r="Z31" s="102"/>
      <c r="AA31" s="90"/>
    </row>
    <row r="32" spans="1:27" ht="15.75" thickBot="1" x14ac:dyDescent="0.3">
      <c r="A32" s="119"/>
      <c r="B32" s="115"/>
      <c r="C32" s="115"/>
      <c r="D32" s="115"/>
      <c r="E32" s="115"/>
      <c r="F32" s="115"/>
      <c r="G32" s="122" t="s">
        <v>143</v>
      </c>
      <c r="H32" s="139">
        <f>IL_pk_max</f>
        <v>40</v>
      </c>
      <c r="I32" s="123" t="s">
        <v>11</v>
      </c>
      <c r="J32" s="102"/>
      <c r="K32" s="102"/>
      <c r="L32" s="102"/>
      <c r="M32" s="102"/>
      <c r="N32" s="102"/>
      <c r="O32" s="102"/>
      <c r="P32" s="102"/>
      <c r="Q32" s="102"/>
      <c r="R32" s="102"/>
      <c r="S32" s="102"/>
      <c r="T32" s="102"/>
      <c r="U32" s="102"/>
      <c r="V32" s="102"/>
      <c r="W32" s="102"/>
      <c r="X32" s="102"/>
      <c r="Y32" s="102"/>
      <c r="Z32" s="102"/>
      <c r="AA32" s="90"/>
    </row>
    <row r="33" spans="1:27" x14ac:dyDescent="0.25">
      <c r="A33" s="102"/>
      <c r="B33" s="102"/>
      <c r="C33" s="102"/>
      <c r="D33" s="102"/>
      <c r="E33" s="102"/>
      <c r="F33" s="102"/>
      <c r="G33" s="103"/>
      <c r="H33" s="102"/>
      <c r="I33" s="102"/>
      <c r="J33" s="102"/>
      <c r="K33" s="102"/>
      <c r="L33" s="102"/>
      <c r="M33" s="102"/>
      <c r="N33" s="102"/>
      <c r="O33" s="102"/>
      <c r="P33" s="102"/>
      <c r="Q33" s="102"/>
      <c r="R33" s="102"/>
      <c r="S33" s="102"/>
      <c r="T33" s="102"/>
      <c r="U33" s="102"/>
      <c r="V33" s="102"/>
      <c r="W33" s="102"/>
      <c r="X33" s="102"/>
      <c r="Y33" s="102"/>
      <c r="Z33" s="102"/>
      <c r="AA33" s="90"/>
    </row>
    <row r="34" spans="1:27" ht="15.75" thickBot="1" x14ac:dyDescent="0.3">
      <c r="A34" s="117" t="s">
        <v>154</v>
      </c>
      <c r="B34" s="102"/>
      <c r="C34" s="102"/>
      <c r="D34" s="102"/>
      <c r="E34" s="102"/>
      <c r="F34" s="102"/>
      <c r="G34" s="103"/>
      <c r="H34" s="102"/>
      <c r="I34" s="102"/>
      <c r="J34" s="102"/>
      <c r="K34" s="102"/>
      <c r="L34" s="102"/>
      <c r="M34" s="102"/>
      <c r="N34" s="102"/>
      <c r="O34" s="102"/>
      <c r="P34" s="102"/>
      <c r="Q34" s="102"/>
      <c r="R34" s="102"/>
      <c r="S34" s="102"/>
      <c r="T34" s="102"/>
      <c r="U34" s="102"/>
      <c r="V34" s="102"/>
      <c r="W34" s="102"/>
      <c r="X34" s="102"/>
      <c r="Y34" s="102"/>
      <c r="Z34" s="102"/>
      <c r="AA34" s="90"/>
    </row>
    <row r="35" spans="1:27" ht="18" x14ac:dyDescent="0.35">
      <c r="A35" s="105"/>
      <c r="B35" s="106"/>
      <c r="C35" s="106"/>
      <c r="D35" s="106"/>
      <c r="E35" s="106"/>
      <c r="F35" s="106"/>
      <c r="G35" s="124" t="s">
        <v>451</v>
      </c>
      <c r="H35" s="133">
        <v>240</v>
      </c>
      <c r="I35" s="108" t="s">
        <v>155</v>
      </c>
      <c r="J35" s="102"/>
      <c r="K35" s="102"/>
      <c r="L35" s="102"/>
      <c r="M35" s="102"/>
      <c r="N35" s="102"/>
      <c r="O35" s="102"/>
      <c r="P35" s="102"/>
      <c r="Q35" s="102"/>
      <c r="R35" s="102"/>
      <c r="S35" s="102"/>
      <c r="T35" s="102"/>
      <c r="U35" s="102"/>
      <c r="V35" s="102"/>
      <c r="W35" s="102"/>
      <c r="X35" s="102"/>
      <c r="Y35" s="102"/>
      <c r="Z35" s="102"/>
      <c r="AA35" s="90"/>
    </row>
    <row r="36" spans="1:27" x14ac:dyDescent="0.25">
      <c r="A36" s="109"/>
      <c r="B36" s="102"/>
      <c r="C36" s="102"/>
      <c r="D36" s="102"/>
      <c r="E36" s="102"/>
      <c r="F36" s="102"/>
      <c r="G36" s="103" t="s">
        <v>156</v>
      </c>
      <c r="H36" s="135">
        <f>Cout_min*10^6</f>
        <v>468.75</v>
      </c>
      <c r="I36" s="111" t="s">
        <v>157</v>
      </c>
      <c r="J36" s="102"/>
      <c r="K36" s="102"/>
      <c r="L36" s="102"/>
      <c r="M36" s="102"/>
      <c r="N36" s="102"/>
      <c r="O36" s="102"/>
      <c r="P36" s="102"/>
      <c r="Q36" s="102"/>
      <c r="R36" s="102"/>
      <c r="S36" s="102"/>
      <c r="T36" s="102"/>
      <c r="U36" s="102"/>
      <c r="V36" s="102"/>
      <c r="W36" s="102"/>
      <c r="X36" s="102"/>
      <c r="Y36" s="102"/>
      <c r="Z36" s="102"/>
      <c r="AA36" s="90"/>
    </row>
    <row r="37" spans="1:27" ht="18" x14ac:dyDescent="0.35">
      <c r="A37" s="109"/>
      <c r="B37" s="102"/>
      <c r="C37" s="102"/>
      <c r="D37" s="102"/>
      <c r="E37" s="102"/>
      <c r="F37" s="102"/>
      <c r="G37" s="103" t="s">
        <v>158</v>
      </c>
      <c r="H37" s="134">
        <v>470</v>
      </c>
      <c r="I37" s="111" t="s">
        <v>157</v>
      </c>
      <c r="J37" s="102"/>
      <c r="K37" s="102"/>
      <c r="L37" s="102"/>
      <c r="M37" s="102"/>
      <c r="N37" s="102"/>
      <c r="O37" s="102"/>
      <c r="P37" s="102"/>
      <c r="Q37" s="102"/>
      <c r="R37" s="102"/>
      <c r="S37" s="102"/>
      <c r="T37" s="102"/>
      <c r="U37" s="102"/>
      <c r="V37" s="102"/>
      <c r="W37" s="102"/>
      <c r="X37" s="102"/>
      <c r="Y37" s="102"/>
      <c r="Z37" s="102"/>
      <c r="AA37" s="90"/>
    </row>
    <row r="38" spans="1:27" ht="18.75" thickBot="1" x14ac:dyDescent="0.4">
      <c r="A38" s="119"/>
      <c r="B38" s="115"/>
      <c r="C38" s="115"/>
      <c r="D38" s="115"/>
      <c r="E38" s="115"/>
      <c r="F38" s="115"/>
      <c r="G38" s="122" t="s">
        <v>165</v>
      </c>
      <c r="H38" s="140">
        <v>8</v>
      </c>
      <c r="I38" s="116" t="s">
        <v>92</v>
      </c>
      <c r="J38" s="102"/>
      <c r="K38" s="102"/>
      <c r="L38" s="102"/>
      <c r="M38" s="102"/>
      <c r="N38" s="102"/>
      <c r="O38" s="102"/>
      <c r="P38" s="102"/>
      <c r="Q38" s="102"/>
      <c r="R38" s="102"/>
      <c r="S38" s="102"/>
      <c r="T38" s="102"/>
      <c r="U38" s="102"/>
      <c r="V38" s="102"/>
      <c r="W38" s="102"/>
      <c r="X38" s="102"/>
      <c r="Y38" s="102"/>
      <c r="Z38" s="102"/>
      <c r="AA38" s="90"/>
    </row>
    <row r="39" spans="1:27" x14ac:dyDescent="0.25">
      <c r="A39" s="102"/>
      <c r="B39" s="102"/>
      <c r="C39" s="102"/>
      <c r="D39" s="102"/>
      <c r="E39" s="102"/>
      <c r="F39" s="102"/>
      <c r="G39" s="103"/>
      <c r="H39" s="102"/>
      <c r="I39" s="102"/>
      <c r="J39" s="102"/>
      <c r="K39" s="102"/>
      <c r="L39" s="102"/>
      <c r="M39" s="102"/>
      <c r="N39" s="102"/>
      <c r="O39" s="102"/>
      <c r="P39" s="102"/>
      <c r="Q39" s="102"/>
      <c r="R39" s="102"/>
      <c r="S39" s="102"/>
      <c r="T39" s="102"/>
      <c r="U39" s="102"/>
      <c r="V39" s="102"/>
      <c r="W39" s="102"/>
      <c r="X39" s="102"/>
      <c r="Y39" s="102"/>
      <c r="Z39" s="102"/>
      <c r="AA39" s="90"/>
    </row>
    <row r="40" spans="1:27" ht="15.75" thickBot="1" x14ac:dyDescent="0.3">
      <c r="A40" s="117" t="s">
        <v>548</v>
      </c>
      <c r="B40" s="102"/>
      <c r="C40" s="102"/>
      <c r="D40" s="102"/>
      <c r="E40" s="102"/>
      <c r="F40" s="102"/>
      <c r="G40" s="103"/>
      <c r="H40" s="102"/>
      <c r="I40" s="102"/>
      <c r="J40" s="102"/>
      <c r="K40" s="102"/>
      <c r="L40" s="102"/>
      <c r="M40" s="102"/>
      <c r="N40" s="102"/>
      <c r="O40" s="102"/>
      <c r="P40" s="102"/>
      <c r="Q40" s="102"/>
      <c r="R40" s="102"/>
      <c r="S40" s="102"/>
      <c r="T40" s="102"/>
      <c r="U40" s="102"/>
      <c r="V40" s="102"/>
      <c r="W40" s="102"/>
      <c r="X40" s="102"/>
      <c r="Y40" s="102"/>
      <c r="Z40" s="102"/>
      <c r="AA40" s="90"/>
    </row>
    <row r="41" spans="1:27" ht="18" x14ac:dyDescent="0.35">
      <c r="A41" s="105"/>
      <c r="B41" s="106"/>
      <c r="C41" s="106"/>
      <c r="D41" s="106"/>
      <c r="E41" s="106"/>
      <c r="F41" s="106"/>
      <c r="G41" s="124" t="s">
        <v>285</v>
      </c>
      <c r="H41" s="142">
        <f>Variable_Management!B117*(10^9)</f>
        <v>12.533333333333333</v>
      </c>
      <c r="I41" s="108" t="s">
        <v>183</v>
      </c>
      <c r="J41" s="102"/>
      <c r="K41" s="102"/>
      <c r="L41" s="102"/>
      <c r="M41" s="102"/>
      <c r="N41" s="102"/>
      <c r="O41" s="102"/>
      <c r="P41" s="102"/>
      <c r="Q41" s="102"/>
      <c r="R41" s="102"/>
      <c r="S41" s="102"/>
      <c r="T41" s="102"/>
      <c r="U41" s="102"/>
      <c r="V41" s="102"/>
      <c r="W41" s="102"/>
      <c r="X41" s="102"/>
      <c r="Y41" s="102"/>
      <c r="Z41" s="102"/>
      <c r="AA41" s="90"/>
    </row>
    <row r="42" spans="1:27" ht="18" x14ac:dyDescent="0.35">
      <c r="A42" s="109"/>
      <c r="B42" s="102"/>
      <c r="C42" s="102"/>
      <c r="D42" s="102"/>
      <c r="E42" s="102"/>
      <c r="F42" s="102"/>
      <c r="G42" s="103" t="s">
        <v>290</v>
      </c>
      <c r="H42" s="134">
        <v>10</v>
      </c>
      <c r="I42" s="111" t="s">
        <v>286</v>
      </c>
      <c r="J42" s="102"/>
      <c r="K42" s="102"/>
      <c r="L42" s="102"/>
      <c r="M42" s="102"/>
      <c r="N42" s="102"/>
      <c r="O42" s="102"/>
      <c r="P42" s="102"/>
      <c r="Q42" s="102"/>
      <c r="R42" s="102"/>
      <c r="S42" s="102"/>
      <c r="T42" s="102"/>
      <c r="U42" s="102"/>
      <c r="V42" s="102"/>
      <c r="W42" s="102"/>
      <c r="X42" s="102"/>
      <c r="Y42" s="102"/>
      <c r="Z42" s="102"/>
      <c r="AA42" s="90"/>
    </row>
    <row r="43" spans="1:27" ht="18.75" thickBot="1" x14ac:dyDescent="0.4">
      <c r="A43" s="119"/>
      <c r="B43" s="115"/>
      <c r="C43" s="115"/>
      <c r="D43" s="115"/>
      <c r="E43" s="115"/>
      <c r="F43" s="115"/>
      <c r="G43" s="122" t="s">
        <v>289</v>
      </c>
      <c r="H43" s="143">
        <f>Variable_Management!B119*(10^9)</f>
        <v>400</v>
      </c>
      <c r="I43" s="116" t="s">
        <v>183</v>
      </c>
      <c r="J43" s="102"/>
      <c r="K43" s="102"/>
      <c r="L43" s="102"/>
      <c r="M43" s="102"/>
      <c r="N43" s="102"/>
      <c r="O43" s="102"/>
      <c r="P43" s="102"/>
      <c r="Q43" s="102"/>
      <c r="R43" s="102"/>
      <c r="S43" s="102"/>
      <c r="T43" s="102"/>
      <c r="U43" s="102"/>
      <c r="V43" s="102"/>
      <c r="W43" s="102"/>
      <c r="X43" s="102"/>
      <c r="Y43" s="102"/>
      <c r="Z43" s="102"/>
      <c r="AA43" s="90"/>
    </row>
    <row r="44" spans="1:27" x14ac:dyDescent="0.25">
      <c r="A44" s="102"/>
      <c r="B44" s="102"/>
      <c r="C44" s="102"/>
      <c r="D44" s="102"/>
      <c r="E44" s="102"/>
      <c r="F44" s="102"/>
      <c r="G44" s="102"/>
      <c r="H44" s="102"/>
      <c r="I44" s="102"/>
      <c r="J44" s="102"/>
      <c r="K44" s="102"/>
      <c r="L44" s="102"/>
      <c r="M44" s="102"/>
      <c r="N44" s="102"/>
      <c r="O44" s="102"/>
      <c r="P44" s="102"/>
      <c r="Q44" s="102"/>
      <c r="R44" s="102"/>
      <c r="S44" s="102"/>
      <c r="T44" s="102"/>
      <c r="U44" s="102"/>
      <c r="V44" s="102"/>
      <c r="W44" s="102"/>
      <c r="X44" s="102"/>
      <c r="Y44" s="102"/>
      <c r="Z44" s="102"/>
      <c r="AA44" s="90"/>
    </row>
    <row r="45" spans="1:27" ht="15.75" thickBot="1" x14ac:dyDescent="0.3">
      <c r="A45" s="117" t="s">
        <v>547</v>
      </c>
      <c r="B45" s="102"/>
      <c r="C45" s="102"/>
      <c r="D45" s="102"/>
      <c r="E45" s="102"/>
      <c r="F45" s="102"/>
      <c r="G45" s="103"/>
      <c r="H45" s="102"/>
      <c r="I45" s="102"/>
      <c r="J45" s="102"/>
      <c r="K45" s="102"/>
      <c r="L45" s="102"/>
      <c r="M45" s="102"/>
      <c r="N45" s="102"/>
      <c r="O45" s="102"/>
      <c r="P45" s="102"/>
      <c r="Q45" s="102"/>
      <c r="R45" s="102"/>
      <c r="S45" s="102"/>
      <c r="T45" s="102"/>
      <c r="U45" s="102"/>
      <c r="V45" s="102"/>
      <c r="W45" s="102"/>
      <c r="X45" s="102"/>
      <c r="Y45" s="102"/>
      <c r="Z45" s="102"/>
      <c r="AA45" s="90"/>
    </row>
    <row r="46" spans="1:27" ht="18" x14ac:dyDescent="0.35">
      <c r="A46" s="105"/>
      <c r="B46" s="106"/>
      <c r="C46" s="106"/>
      <c r="D46" s="106"/>
      <c r="E46" s="106"/>
      <c r="F46" s="106"/>
      <c r="G46" s="124" t="s">
        <v>542</v>
      </c>
      <c r="H46" s="133">
        <v>11.2</v>
      </c>
      <c r="I46" s="108" t="s">
        <v>10</v>
      </c>
      <c r="J46" s="102"/>
      <c r="K46" s="102"/>
      <c r="L46" s="102"/>
      <c r="M46" s="102"/>
      <c r="N46" s="102"/>
      <c r="O46" s="102"/>
      <c r="P46" s="102"/>
      <c r="Q46" s="102"/>
      <c r="R46" s="102"/>
      <c r="S46" s="102"/>
      <c r="T46" s="102"/>
      <c r="U46" s="102"/>
      <c r="V46" s="102"/>
      <c r="W46" s="102"/>
      <c r="X46" s="102"/>
      <c r="Y46" s="102"/>
      <c r="Z46" s="102"/>
      <c r="AA46" s="90"/>
    </row>
    <row r="47" spans="1:27" ht="18" x14ac:dyDescent="0.35">
      <c r="A47" s="109"/>
      <c r="B47" s="102"/>
      <c r="C47" s="102"/>
      <c r="D47" s="102"/>
      <c r="E47" s="102"/>
      <c r="F47" s="102"/>
      <c r="G47" s="103" t="s">
        <v>543</v>
      </c>
      <c r="H47" s="134">
        <v>10</v>
      </c>
      <c r="I47" s="111" t="s">
        <v>10</v>
      </c>
      <c r="J47" s="102"/>
      <c r="K47" s="102"/>
      <c r="L47" s="102"/>
      <c r="M47" s="102"/>
      <c r="N47" s="102"/>
      <c r="O47" s="102"/>
      <c r="P47" s="102"/>
      <c r="Q47" s="102"/>
      <c r="R47" s="102"/>
      <c r="S47" s="102"/>
      <c r="T47" s="102"/>
      <c r="U47" s="102"/>
      <c r="V47" s="102"/>
      <c r="W47" s="102"/>
      <c r="X47" s="102"/>
      <c r="Y47" s="102"/>
      <c r="Z47" s="102"/>
      <c r="AA47" s="90"/>
    </row>
    <row r="48" spans="1:27" ht="18" x14ac:dyDescent="0.35">
      <c r="A48" s="109"/>
      <c r="B48" s="102"/>
      <c r="C48" s="102"/>
      <c r="D48" s="102"/>
      <c r="E48" s="102"/>
      <c r="F48" s="102"/>
      <c r="G48" s="103" t="s">
        <v>544</v>
      </c>
      <c r="H48" s="141">
        <f>Ruvlo_top_calc/1000</f>
        <v>94.545454545454376</v>
      </c>
      <c r="I48" s="121" t="s">
        <v>181</v>
      </c>
      <c r="J48" s="102"/>
      <c r="K48" s="102"/>
      <c r="L48" s="102"/>
      <c r="M48" s="102"/>
      <c r="N48" s="102"/>
      <c r="O48" s="102"/>
      <c r="P48" s="102"/>
      <c r="Q48" s="102"/>
      <c r="R48" s="102"/>
      <c r="S48" s="102"/>
      <c r="T48" s="102"/>
      <c r="U48" s="102"/>
      <c r="V48" s="102"/>
      <c r="W48" s="102"/>
      <c r="X48" s="102"/>
      <c r="Y48" s="102"/>
      <c r="Z48" s="102"/>
      <c r="AA48" s="90"/>
    </row>
    <row r="49" spans="1:27" ht="18" x14ac:dyDescent="0.35">
      <c r="A49" s="109"/>
      <c r="B49" s="102"/>
      <c r="C49" s="102"/>
      <c r="D49" s="102"/>
      <c r="E49" s="102"/>
      <c r="F49" s="102"/>
      <c r="G49" s="103" t="s">
        <v>545</v>
      </c>
      <c r="H49" s="134">
        <v>100</v>
      </c>
      <c r="I49" s="121" t="s">
        <v>181</v>
      </c>
      <c r="J49" s="102"/>
      <c r="K49" s="102"/>
      <c r="L49" s="102"/>
      <c r="M49" s="102"/>
      <c r="N49" s="102"/>
      <c r="O49" s="102"/>
      <c r="P49" s="102"/>
      <c r="Q49" s="102"/>
      <c r="R49" s="102"/>
      <c r="S49" s="102"/>
      <c r="T49" s="102"/>
      <c r="U49" s="102"/>
      <c r="V49" s="102"/>
      <c r="W49" s="102"/>
      <c r="X49" s="102"/>
      <c r="Y49" s="102"/>
      <c r="Z49" s="102"/>
      <c r="AA49" s="90"/>
    </row>
    <row r="50" spans="1:27" ht="18.75" thickBot="1" x14ac:dyDescent="0.4">
      <c r="A50" s="119"/>
      <c r="B50" s="115"/>
      <c r="C50" s="115"/>
      <c r="D50" s="115"/>
      <c r="E50" s="115"/>
      <c r="F50" s="115"/>
      <c r="G50" s="122" t="s">
        <v>546</v>
      </c>
      <c r="H50" s="167">
        <f>Ruvlo_bottom_calc/1000</f>
        <v>10.891089108910894</v>
      </c>
      <c r="I50" s="123" t="s">
        <v>181</v>
      </c>
      <c r="J50" s="102"/>
      <c r="K50" s="102"/>
      <c r="L50" s="102"/>
      <c r="M50" s="102"/>
      <c r="N50" s="102"/>
      <c r="O50" s="102"/>
      <c r="P50" s="102"/>
      <c r="Q50" s="102"/>
      <c r="R50" s="102"/>
      <c r="S50" s="102"/>
      <c r="T50" s="102"/>
      <c r="U50" s="102"/>
      <c r="V50" s="102"/>
      <c r="W50" s="102"/>
      <c r="X50" s="102"/>
      <c r="Y50" s="102"/>
      <c r="Z50" s="102"/>
      <c r="AA50" s="90"/>
    </row>
    <row r="51" spans="1:27" x14ac:dyDescent="0.25">
      <c r="A51" s="102"/>
      <c r="B51" s="102"/>
      <c r="C51" s="102"/>
      <c r="D51" s="102"/>
      <c r="E51" s="102"/>
      <c r="F51" s="102"/>
      <c r="G51" s="103"/>
      <c r="H51" s="102"/>
      <c r="I51" s="102"/>
      <c r="J51" s="102"/>
      <c r="K51" s="102"/>
      <c r="L51" s="102"/>
      <c r="M51" s="102"/>
      <c r="N51" s="102"/>
      <c r="O51" s="102"/>
      <c r="P51" s="102"/>
      <c r="Q51" s="102"/>
      <c r="R51" s="102"/>
      <c r="S51" s="102"/>
      <c r="T51" s="102"/>
      <c r="U51" s="102"/>
      <c r="V51" s="102"/>
      <c r="W51" s="102"/>
      <c r="X51" s="102"/>
      <c r="Y51" s="102"/>
      <c r="Z51" s="102"/>
      <c r="AA51" s="90"/>
    </row>
    <row r="52" spans="1:27" x14ac:dyDescent="0.25">
      <c r="A52" s="102"/>
      <c r="B52" s="102"/>
      <c r="C52" s="102"/>
      <c r="D52" s="102"/>
      <c r="E52" s="102"/>
      <c r="F52" s="102"/>
      <c r="G52" s="103"/>
      <c r="H52" s="102"/>
      <c r="I52" s="102"/>
      <c r="J52" s="102"/>
      <c r="K52" s="102"/>
      <c r="L52" s="102"/>
      <c r="M52" s="102"/>
      <c r="N52" s="102"/>
      <c r="O52" s="102"/>
      <c r="P52" s="102"/>
      <c r="Q52" s="102"/>
      <c r="R52" s="102"/>
      <c r="S52" s="102"/>
      <c r="T52" s="102"/>
      <c r="U52" s="102"/>
      <c r="V52" s="102"/>
      <c r="W52" s="102"/>
      <c r="X52" s="102"/>
      <c r="Y52" s="102"/>
      <c r="Z52" s="102"/>
      <c r="AA52" s="90"/>
    </row>
    <row r="53" spans="1:27" ht="15.75" thickBot="1" x14ac:dyDescent="0.3">
      <c r="A53" s="117" t="s">
        <v>313</v>
      </c>
      <c r="B53" s="102"/>
      <c r="C53" s="102"/>
      <c r="D53" s="102"/>
      <c r="E53" s="102"/>
      <c r="F53" s="102"/>
      <c r="G53" s="102"/>
      <c r="H53" s="102"/>
      <c r="I53" s="102"/>
      <c r="J53" s="102"/>
      <c r="K53" s="102"/>
      <c r="L53" s="102"/>
      <c r="M53" s="102"/>
      <c r="N53" s="102"/>
      <c r="O53" s="102"/>
      <c r="P53" s="102"/>
      <c r="Q53" s="102"/>
      <c r="R53" s="102"/>
      <c r="S53" s="102"/>
      <c r="T53" s="102"/>
      <c r="U53" s="102"/>
      <c r="V53" s="102"/>
      <c r="W53" s="102"/>
      <c r="X53" s="102"/>
      <c r="Y53" s="102"/>
      <c r="Z53" s="102"/>
      <c r="AA53" s="90"/>
    </row>
    <row r="54" spans="1:27" ht="18" x14ac:dyDescent="0.35">
      <c r="A54" s="125"/>
      <c r="B54" s="106"/>
      <c r="C54" s="106"/>
      <c r="D54" s="106"/>
      <c r="E54" s="106"/>
      <c r="F54" s="106"/>
      <c r="G54" s="126" t="s">
        <v>416</v>
      </c>
      <c r="H54" s="144" t="str">
        <f>VIN_nom&amp;"V"</f>
        <v>12V</v>
      </c>
      <c r="I54" s="108"/>
      <c r="J54" s="102"/>
      <c r="K54" s="102"/>
      <c r="L54" s="102"/>
      <c r="M54" s="102"/>
      <c r="N54" s="102"/>
      <c r="O54" s="102"/>
      <c r="P54" s="102"/>
      <c r="Q54" s="102"/>
      <c r="R54" s="102"/>
      <c r="S54" s="102"/>
      <c r="T54" s="102"/>
      <c r="U54" s="102"/>
      <c r="V54" s="102"/>
      <c r="W54" s="102"/>
      <c r="X54" s="102"/>
      <c r="Y54" s="102"/>
      <c r="Z54" s="102"/>
      <c r="AA54" s="90"/>
    </row>
    <row r="55" spans="1:27" x14ac:dyDescent="0.25">
      <c r="A55" s="109"/>
      <c r="B55" s="102"/>
      <c r="C55" s="102"/>
      <c r="D55" s="102"/>
      <c r="E55" s="102"/>
      <c r="F55" s="102"/>
      <c r="G55" s="128" t="s">
        <v>564</v>
      </c>
      <c r="H55" s="145"/>
      <c r="I55" s="111"/>
      <c r="J55" s="102"/>
      <c r="K55" s="102"/>
      <c r="L55" s="102"/>
      <c r="M55" s="102"/>
      <c r="N55" s="102"/>
      <c r="O55" s="102"/>
      <c r="P55" s="102"/>
      <c r="Q55" s="102"/>
      <c r="R55" s="102"/>
      <c r="S55" s="102"/>
      <c r="T55" s="102"/>
      <c r="U55" s="102"/>
      <c r="V55" s="102"/>
      <c r="W55" s="102"/>
      <c r="X55" s="102"/>
      <c r="Y55" s="102"/>
      <c r="Z55" s="102"/>
      <c r="AA55" s="90"/>
    </row>
    <row r="56" spans="1:27" x14ac:dyDescent="0.25">
      <c r="A56" s="127"/>
      <c r="B56" s="102"/>
      <c r="C56" s="102"/>
      <c r="D56" s="102"/>
      <c r="E56" s="102"/>
      <c r="F56" s="102"/>
      <c r="G56" s="103" t="s">
        <v>519</v>
      </c>
      <c r="H56" s="147" t="str">
        <f>CHOOSE(VOUT_range,"Low","High")</f>
        <v>High</v>
      </c>
      <c r="I56" s="111"/>
      <c r="J56" s="102"/>
      <c r="K56" s="102"/>
      <c r="L56" s="102"/>
      <c r="M56" s="102"/>
      <c r="N56" s="102"/>
      <c r="O56" s="102"/>
      <c r="P56" s="102"/>
      <c r="Q56" s="102"/>
      <c r="R56" s="102"/>
      <c r="S56" s="102"/>
      <c r="T56" s="102"/>
      <c r="U56" s="102"/>
      <c r="V56" s="102"/>
      <c r="W56" s="102"/>
      <c r="X56" s="102"/>
      <c r="Y56" s="102"/>
      <c r="Z56" s="102"/>
      <c r="AA56" s="90"/>
    </row>
    <row r="57" spans="1:27" ht="18" x14ac:dyDescent="0.35">
      <c r="A57" s="127"/>
      <c r="B57" s="102"/>
      <c r="C57" s="102"/>
      <c r="D57" s="102"/>
      <c r="E57" s="102"/>
      <c r="F57" s="102"/>
      <c r="G57" s="103" t="s">
        <v>566</v>
      </c>
      <c r="H57" s="146">
        <f>VTRK</f>
        <v>0.33333333333333331</v>
      </c>
      <c r="I57" s="121" t="s">
        <v>10</v>
      </c>
      <c r="J57" s="102"/>
      <c r="K57" s="102"/>
      <c r="L57" s="102"/>
      <c r="M57" s="102"/>
      <c r="N57" s="102"/>
      <c r="O57" s="102"/>
      <c r="P57" s="102"/>
      <c r="Q57" s="102"/>
      <c r="R57" s="102"/>
      <c r="S57" s="102"/>
      <c r="T57" s="102"/>
      <c r="U57" s="102"/>
      <c r="V57" s="102"/>
      <c r="W57" s="102"/>
      <c r="X57" s="102"/>
      <c r="Y57" s="102"/>
      <c r="Z57" s="102"/>
      <c r="AA57" s="90"/>
    </row>
    <row r="58" spans="1:27" ht="18" x14ac:dyDescent="0.35">
      <c r="A58" s="127"/>
      <c r="B58" s="102"/>
      <c r="C58" s="102"/>
      <c r="D58" s="102"/>
      <c r="E58" s="102"/>
      <c r="F58" s="102"/>
      <c r="G58" s="103" t="s">
        <v>599</v>
      </c>
      <c r="H58" s="163">
        <f>Variable_Management!B144/1000</f>
        <v>13.333333333333334</v>
      </c>
      <c r="I58" s="121" t="s">
        <v>181</v>
      </c>
      <c r="J58" s="102"/>
      <c r="K58" s="102"/>
      <c r="L58" s="102"/>
      <c r="M58" s="102"/>
      <c r="N58" s="102"/>
      <c r="O58" s="102"/>
      <c r="P58" s="102"/>
      <c r="Q58" s="102"/>
      <c r="R58" s="102"/>
      <c r="S58" s="102"/>
      <c r="T58" s="102"/>
      <c r="U58" s="102"/>
      <c r="V58" s="102"/>
      <c r="W58" s="102"/>
      <c r="X58" s="102"/>
      <c r="Y58" s="102"/>
      <c r="Z58" s="102"/>
      <c r="AA58" s="90"/>
    </row>
    <row r="59" spans="1:27" ht="18" x14ac:dyDescent="0.35">
      <c r="A59" s="127"/>
      <c r="B59" s="102"/>
      <c r="C59" s="102"/>
      <c r="D59" s="102"/>
      <c r="E59" s="102"/>
      <c r="F59" s="102"/>
      <c r="G59" s="103" t="s">
        <v>600</v>
      </c>
      <c r="H59" s="163">
        <f>Variable_Management!B143/1000</f>
        <v>23.333333333333336</v>
      </c>
      <c r="I59" s="121" t="s">
        <v>181</v>
      </c>
      <c r="J59" s="102"/>
      <c r="K59" s="102"/>
      <c r="L59" s="102"/>
      <c r="M59" s="102"/>
      <c r="N59" s="102"/>
      <c r="O59" s="102"/>
      <c r="P59" s="102"/>
      <c r="Q59" s="102"/>
      <c r="R59" s="102"/>
      <c r="S59" s="102"/>
      <c r="T59" s="102"/>
      <c r="U59" s="102"/>
      <c r="V59" s="102"/>
      <c r="W59" s="102"/>
      <c r="X59" s="102"/>
      <c r="Y59" s="102"/>
      <c r="Z59" s="102"/>
      <c r="AA59" s="90"/>
    </row>
    <row r="60" spans="1:27" ht="18" x14ac:dyDescent="0.35">
      <c r="A60" s="127"/>
      <c r="B60" s="102"/>
      <c r="C60" s="102"/>
      <c r="D60" s="102"/>
      <c r="E60" s="102"/>
      <c r="F60" s="102"/>
      <c r="G60" s="103" t="s">
        <v>592</v>
      </c>
      <c r="H60" s="134">
        <v>20</v>
      </c>
      <c r="I60" s="121" t="s">
        <v>181</v>
      </c>
      <c r="J60" s="102"/>
      <c r="K60" s="102"/>
      <c r="L60" s="102"/>
      <c r="M60" s="102"/>
      <c r="N60" s="102"/>
      <c r="O60" s="102"/>
      <c r="P60" s="102"/>
      <c r="Q60" s="102"/>
      <c r="R60" s="102"/>
      <c r="S60" s="102"/>
      <c r="T60" s="102"/>
      <c r="U60" s="102"/>
      <c r="V60" s="102"/>
      <c r="W60" s="102"/>
      <c r="X60" s="102"/>
      <c r="Y60" s="102"/>
      <c r="Z60" s="102"/>
      <c r="AA60" s="90"/>
    </row>
    <row r="61" spans="1:27" ht="18" x14ac:dyDescent="0.35">
      <c r="A61" s="109"/>
      <c r="B61" s="102"/>
      <c r="C61" s="102"/>
      <c r="D61" s="102"/>
      <c r="E61" s="102"/>
      <c r="F61" s="102"/>
      <c r="G61" s="103" t="s">
        <v>565</v>
      </c>
      <c r="H61" s="185">
        <f>RFBB_calc/1000</f>
        <v>10</v>
      </c>
      <c r="I61" s="121" t="s">
        <v>181</v>
      </c>
      <c r="J61" s="102"/>
      <c r="K61" s="102"/>
      <c r="L61" s="102"/>
      <c r="M61" s="102"/>
      <c r="N61" s="102"/>
      <c r="O61" s="102"/>
      <c r="P61" s="102"/>
      <c r="Q61" s="102"/>
      <c r="R61" s="102"/>
      <c r="S61" s="102"/>
      <c r="T61" s="102"/>
      <c r="U61" s="102"/>
      <c r="V61" s="102"/>
      <c r="W61" s="102"/>
      <c r="X61" s="102"/>
      <c r="Y61" s="102"/>
      <c r="Z61" s="102"/>
      <c r="AA61" s="90"/>
    </row>
    <row r="62" spans="1:27" ht="18" x14ac:dyDescent="0.35">
      <c r="A62" s="109"/>
      <c r="B62" s="102"/>
      <c r="C62" s="102"/>
      <c r="D62" s="102"/>
      <c r="E62" s="102"/>
      <c r="F62" s="102"/>
      <c r="G62" s="103" t="s">
        <v>596</v>
      </c>
      <c r="H62" s="134">
        <v>10</v>
      </c>
      <c r="I62" s="121" t="s">
        <v>181</v>
      </c>
      <c r="J62" s="102"/>
      <c r="K62" s="102"/>
      <c r="L62" s="102"/>
      <c r="M62" s="102"/>
      <c r="N62" s="102"/>
      <c r="O62" s="102"/>
      <c r="P62" s="102"/>
      <c r="Q62" s="102"/>
      <c r="R62" s="102"/>
      <c r="S62" s="102"/>
      <c r="T62" s="102"/>
      <c r="U62" s="102"/>
      <c r="V62" s="102"/>
      <c r="W62" s="102"/>
      <c r="X62" s="102"/>
      <c r="Y62" s="102"/>
      <c r="Z62" s="102"/>
      <c r="AA62" s="90"/>
    </row>
    <row r="63" spans="1:27" x14ac:dyDescent="0.25">
      <c r="A63" s="109"/>
      <c r="B63" s="102"/>
      <c r="C63" s="102"/>
      <c r="D63" s="102"/>
      <c r="E63" s="102"/>
      <c r="F63" s="102"/>
      <c r="G63" s="103"/>
      <c r="H63" s="136"/>
      <c r="I63" s="121"/>
      <c r="J63" s="102"/>
      <c r="K63" s="102"/>
      <c r="L63" s="102"/>
      <c r="M63" s="102"/>
      <c r="N63" s="102"/>
      <c r="O63" s="102"/>
      <c r="P63" s="102"/>
      <c r="Q63" s="102"/>
      <c r="R63" s="102"/>
      <c r="S63" s="102"/>
      <c r="T63" s="102"/>
      <c r="U63" s="102"/>
      <c r="V63" s="102"/>
      <c r="W63" s="102"/>
      <c r="X63" s="102"/>
      <c r="Y63" s="102"/>
      <c r="Z63" s="102"/>
      <c r="AA63" s="90"/>
    </row>
    <row r="64" spans="1:27" ht="18" x14ac:dyDescent="0.35">
      <c r="A64" s="109"/>
      <c r="B64" s="102"/>
      <c r="C64" s="102"/>
      <c r="D64" s="102"/>
      <c r="E64" s="102"/>
      <c r="F64" s="102"/>
      <c r="G64" s="103" t="s">
        <v>598</v>
      </c>
      <c r="H64" s="163">
        <f>fcross_est/1000</f>
        <v>10.610329539459689</v>
      </c>
      <c r="I64" s="111" t="s">
        <v>12</v>
      </c>
      <c r="J64" s="102"/>
      <c r="K64" s="102"/>
      <c r="L64" s="102"/>
      <c r="M64" s="102"/>
      <c r="N64" s="102"/>
      <c r="O64" s="102"/>
      <c r="P64" s="102"/>
      <c r="Q64" s="102"/>
      <c r="R64" s="102"/>
      <c r="S64" s="102"/>
      <c r="T64" s="102"/>
      <c r="U64" s="102"/>
      <c r="V64" s="102"/>
      <c r="W64" s="102"/>
      <c r="X64" s="102"/>
      <c r="Y64" s="102"/>
      <c r="Z64" s="102"/>
      <c r="AA64" s="90"/>
    </row>
    <row r="65" spans="1:27" ht="18" x14ac:dyDescent="0.35">
      <c r="A65" s="109"/>
      <c r="B65" s="102"/>
      <c r="C65" s="102"/>
      <c r="D65" s="102"/>
      <c r="E65" s="102"/>
      <c r="F65" s="102"/>
      <c r="G65" s="103" t="s">
        <v>597</v>
      </c>
      <c r="H65" s="134">
        <v>5.5</v>
      </c>
      <c r="I65" s="111" t="s">
        <v>12</v>
      </c>
      <c r="J65" s="102"/>
      <c r="K65" s="102"/>
      <c r="L65" s="102"/>
      <c r="M65" s="102"/>
      <c r="N65" s="102"/>
      <c r="O65" s="102"/>
      <c r="P65" s="102"/>
      <c r="Q65" s="102"/>
      <c r="R65" s="102"/>
      <c r="S65" s="102"/>
      <c r="T65" s="102"/>
      <c r="U65" s="102"/>
      <c r="V65" s="102"/>
      <c r="W65" s="102"/>
      <c r="X65" s="102"/>
      <c r="Y65" s="102"/>
      <c r="Z65" s="102"/>
      <c r="AA65" s="90"/>
    </row>
    <row r="66" spans="1:27" x14ac:dyDescent="0.25">
      <c r="A66" s="109"/>
      <c r="B66" s="102"/>
      <c r="C66" s="102"/>
      <c r="D66" s="102"/>
      <c r="E66" s="102"/>
      <c r="F66" s="102"/>
      <c r="G66" s="103"/>
      <c r="H66" s="136"/>
      <c r="I66" s="111"/>
      <c r="J66" s="102"/>
      <c r="K66" s="102"/>
      <c r="L66" s="102"/>
      <c r="M66" s="102"/>
      <c r="N66" s="102"/>
      <c r="O66" s="102"/>
      <c r="P66" s="102"/>
      <c r="Q66" s="102"/>
      <c r="R66" s="102"/>
      <c r="S66" s="102"/>
      <c r="T66" s="102"/>
      <c r="U66" s="102"/>
      <c r="V66" s="102"/>
      <c r="W66" s="102"/>
      <c r="X66" s="102"/>
      <c r="Y66" s="102"/>
      <c r="Z66" s="102"/>
      <c r="AA66" s="90"/>
    </row>
    <row r="67" spans="1:27" ht="15.75" thickBot="1" x14ac:dyDescent="0.3">
      <c r="A67" s="109"/>
      <c r="B67" s="102"/>
      <c r="C67" s="102"/>
      <c r="D67" s="102"/>
      <c r="E67" s="102"/>
      <c r="F67" s="129" t="s">
        <v>266</v>
      </c>
      <c r="G67" s="129"/>
      <c r="H67" s="147" t="s">
        <v>267</v>
      </c>
      <c r="I67" s="130"/>
      <c r="J67" s="102"/>
      <c r="K67" s="102"/>
      <c r="L67" s="102"/>
      <c r="M67" s="102"/>
      <c r="N67" s="102"/>
      <c r="O67" s="102"/>
      <c r="P67" s="102"/>
      <c r="Q67" s="102"/>
      <c r="R67" s="102"/>
      <c r="S67" s="102"/>
      <c r="T67" s="102"/>
      <c r="U67" s="102"/>
      <c r="V67" s="102"/>
      <c r="W67" s="102"/>
      <c r="X67" s="102"/>
      <c r="Y67" s="102"/>
      <c r="Z67" s="102"/>
      <c r="AA67" s="90"/>
    </row>
    <row r="68" spans="1:27" ht="18.75" thickBot="1" x14ac:dyDescent="0.4">
      <c r="A68" s="109"/>
      <c r="B68" s="102"/>
      <c r="C68" s="102"/>
      <c r="D68" s="102"/>
      <c r="E68" s="103" t="s">
        <v>265</v>
      </c>
      <c r="F68" s="186">
        <f>RCOMP_Calc/1000</f>
        <v>28.892270693021256</v>
      </c>
      <c r="G68" s="169" t="s">
        <v>181</v>
      </c>
      <c r="H68" s="149">
        <v>35.6</v>
      </c>
      <c r="I68" s="121" t="s">
        <v>181</v>
      </c>
      <c r="J68" s="102"/>
      <c r="K68" s="102"/>
      <c r="L68" s="102"/>
      <c r="M68" s="102"/>
      <c r="N68" s="102"/>
      <c r="O68" s="102"/>
      <c r="P68" s="102"/>
      <c r="Q68" s="102"/>
      <c r="R68" s="102"/>
      <c r="S68" s="102"/>
      <c r="T68" s="102"/>
      <c r="U68" s="102"/>
      <c r="V68" s="102"/>
      <c r="W68" s="102"/>
      <c r="X68" s="102"/>
      <c r="Y68" s="102"/>
      <c r="Z68" s="102"/>
      <c r="AA68" s="90"/>
    </row>
    <row r="69" spans="1:27" ht="18.75" thickBot="1" x14ac:dyDescent="0.4">
      <c r="A69" s="109"/>
      <c r="B69" s="102"/>
      <c r="C69" s="102"/>
      <c r="D69" s="102"/>
      <c r="E69" s="103" t="s">
        <v>380</v>
      </c>
      <c r="F69" s="186">
        <f>CCOMP_Calc*(10^9)</f>
        <v>2.9235198474752391</v>
      </c>
      <c r="G69" s="169" t="s">
        <v>183</v>
      </c>
      <c r="H69" s="149">
        <v>3.3</v>
      </c>
      <c r="I69" s="111" t="s">
        <v>183</v>
      </c>
      <c r="J69" s="102"/>
      <c r="K69" s="102"/>
      <c r="L69" s="102"/>
      <c r="M69" s="102"/>
      <c r="N69" s="102"/>
      <c r="O69" s="102"/>
      <c r="P69" s="102"/>
      <c r="Q69" s="102"/>
      <c r="R69" s="102"/>
      <c r="S69" s="102"/>
      <c r="T69" s="102"/>
      <c r="U69" s="102"/>
      <c r="V69" s="102"/>
      <c r="W69" s="102"/>
      <c r="X69" s="102"/>
      <c r="Y69" s="102"/>
      <c r="Z69" s="102"/>
      <c r="AA69" s="90"/>
    </row>
    <row r="70" spans="1:27" ht="18.75" thickBot="1" x14ac:dyDescent="0.4">
      <c r="A70" s="119"/>
      <c r="B70" s="115"/>
      <c r="C70" s="115"/>
      <c r="D70" s="115"/>
      <c r="E70" s="122" t="s">
        <v>381</v>
      </c>
      <c r="F70" s="148">
        <f>CHF_calc*(10^12)</f>
        <v>24.113286220195803</v>
      </c>
      <c r="G70" s="170" t="s">
        <v>182</v>
      </c>
      <c r="H70" s="140">
        <v>100</v>
      </c>
      <c r="I70" s="116" t="s">
        <v>182</v>
      </c>
      <c r="J70" s="102"/>
      <c r="K70" s="102"/>
      <c r="L70" s="102"/>
      <c r="M70" s="102"/>
      <c r="N70" s="102"/>
      <c r="O70" s="102"/>
      <c r="P70" s="102"/>
      <c r="Q70" s="102"/>
      <c r="R70" s="102"/>
      <c r="S70" s="102"/>
      <c r="T70" s="102"/>
      <c r="U70" s="102"/>
      <c r="V70" s="102"/>
      <c r="W70" s="102"/>
      <c r="X70" s="102"/>
      <c r="Y70" s="102"/>
      <c r="Z70" s="102"/>
      <c r="AA70" s="90"/>
    </row>
    <row r="71" spans="1:27" x14ac:dyDescent="0.25">
      <c r="A71" s="92"/>
      <c r="B71" s="92"/>
      <c r="C71" s="92"/>
      <c r="D71" s="92"/>
      <c r="E71" s="93"/>
      <c r="F71" s="184"/>
      <c r="G71" s="93"/>
      <c r="H71" s="92"/>
      <c r="I71" s="92"/>
      <c r="J71" s="92"/>
      <c r="K71" s="92"/>
      <c r="L71" s="92"/>
      <c r="M71" s="92"/>
      <c r="N71" s="92"/>
      <c r="O71" s="92"/>
      <c r="P71" s="92"/>
      <c r="Q71" s="92"/>
      <c r="R71" s="92"/>
      <c r="S71" s="92"/>
      <c r="T71" s="92"/>
      <c r="U71" s="92"/>
      <c r="V71" s="92"/>
      <c r="W71" s="92"/>
      <c r="X71" s="92"/>
      <c r="Y71" s="92"/>
      <c r="Z71" s="92"/>
      <c r="AA71" s="90"/>
    </row>
    <row r="72" spans="1:27" s="159" customFormat="1" ht="23.25" x14ac:dyDescent="0.35">
      <c r="A72" s="171" t="s">
        <v>264</v>
      </c>
      <c r="B72" s="172"/>
      <c r="C72" s="172"/>
      <c r="D72" s="172"/>
      <c r="E72" s="172"/>
      <c r="F72" s="172"/>
      <c r="G72" s="173"/>
      <c r="H72" s="172"/>
      <c r="I72" s="172"/>
      <c r="J72" s="172"/>
      <c r="K72" s="172"/>
      <c r="L72" s="172"/>
      <c r="M72" s="172"/>
      <c r="N72" s="172"/>
      <c r="O72" s="172"/>
      <c r="P72" s="172"/>
      <c r="Q72" s="172"/>
      <c r="R72" s="172"/>
      <c r="S72" s="172"/>
      <c r="T72" s="172"/>
      <c r="U72" s="172"/>
      <c r="V72" s="172"/>
      <c r="W72" s="172"/>
      <c r="X72" s="174"/>
      <c r="Y72" s="174"/>
      <c r="Z72" s="174"/>
      <c r="AA72" s="189"/>
    </row>
    <row r="73" spans="1:27" s="159" customFormat="1" x14ac:dyDescent="0.25">
      <c r="A73" s="172"/>
      <c r="B73" s="172"/>
      <c r="C73" s="172"/>
      <c r="D73" s="172"/>
      <c r="E73" s="172"/>
      <c r="F73" s="172"/>
      <c r="G73" s="172"/>
      <c r="H73" s="172"/>
      <c r="I73" s="172"/>
      <c r="J73" s="172"/>
      <c r="K73" s="172"/>
      <c r="L73" s="172"/>
      <c r="M73" s="172"/>
      <c r="N73" s="172"/>
      <c r="O73" s="172"/>
      <c r="P73" s="172"/>
      <c r="Q73" s="172"/>
      <c r="R73" s="172"/>
      <c r="S73" s="172"/>
      <c r="T73" s="172"/>
      <c r="U73" s="172"/>
      <c r="V73" s="172"/>
      <c r="W73" s="172"/>
      <c r="X73" s="174"/>
      <c r="Y73" s="174"/>
      <c r="Z73" s="174"/>
      <c r="AA73" s="189"/>
    </row>
    <row r="74" spans="1:27" s="159" customFormat="1" ht="18.75" thickBot="1" x14ac:dyDescent="0.4">
      <c r="A74" s="175" t="s">
        <v>594</v>
      </c>
      <c r="B74" s="172"/>
      <c r="C74" s="172"/>
      <c r="D74" s="172"/>
      <c r="E74" s="172"/>
      <c r="F74" s="172"/>
      <c r="G74" s="172"/>
      <c r="H74" s="172"/>
      <c r="I74" s="172"/>
      <c r="J74" s="172"/>
      <c r="K74" s="172"/>
      <c r="L74" s="172"/>
      <c r="M74" s="172"/>
      <c r="N74" s="172"/>
      <c r="O74" s="172"/>
      <c r="P74" s="172"/>
      <c r="Q74" s="172"/>
      <c r="R74" s="172"/>
      <c r="S74" s="172"/>
      <c r="T74" s="172"/>
      <c r="U74" s="172"/>
      <c r="V74" s="172"/>
      <c r="W74" s="172"/>
      <c r="X74" s="174"/>
      <c r="Y74" s="174"/>
      <c r="Z74" s="174"/>
      <c r="AA74" s="189"/>
    </row>
    <row r="75" spans="1:27" s="159" customFormat="1" ht="15.75" x14ac:dyDescent="0.3">
      <c r="A75" s="190"/>
      <c r="B75" s="191"/>
      <c r="C75" s="191"/>
      <c r="D75" s="191"/>
      <c r="E75" s="191"/>
      <c r="F75" s="191"/>
      <c r="G75" s="192" t="s">
        <v>510</v>
      </c>
      <c r="H75" s="207">
        <v>8.8000000000000007</v>
      </c>
      <c r="I75" s="193" t="s">
        <v>334</v>
      </c>
      <c r="J75" s="172"/>
      <c r="K75" s="172"/>
      <c r="L75" s="172"/>
      <c r="M75" s="172"/>
      <c r="N75" s="172"/>
      <c r="O75" s="172"/>
      <c r="P75" s="172"/>
      <c r="Q75" s="172"/>
      <c r="R75" s="172"/>
      <c r="S75" s="172"/>
      <c r="T75" s="172"/>
      <c r="U75" s="172"/>
      <c r="V75" s="172"/>
      <c r="W75" s="172"/>
      <c r="X75" s="174"/>
      <c r="Y75" s="174"/>
      <c r="Z75" s="174"/>
      <c r="AA75" s="189"/>
    </row>
    <row r="76" spans="1:27" s="159" customFormat="1" ht="15.75" x14ac:dyDescent="0.3">
      <c r="A76" s="194"/>
      <c r="B76" s="172"/>
      <c r="C76" s="172"/>
      <c r="D76" s="172"/>
      <c r="E76" s="172"/>
      <c r="F76" s="172"/>
      <c r="G76" s="176" t="s">
        <v>511</v>
      </c>
      <c r="H76" s="208">
        <v>10</v>
      </c>
      <c r="I76" s="195" t="s">
        <v>335</v>
      </c>
      <c r="J76" s="172"/>
      <c r="K76" s="172"/>
      <c r="L76" s="172"/>
      <c r="M76" s="172"/>
      <c r="N76" s="172"/>
      <c r="O76" s="172"/>
      <c r="P76" s="172"/>
      <c r="Q76" s="172"/>
      <c r="R76" s="172"/>
      <c r="S76" s="172"/>
      <c r="T76" s="172"/>
      <c r="U76" s="172"/>
      <c r="V76" s="172"/>
      <c r="W76" s="172"/>
      <c r="X76" s="174"/>
      <c r="Y76" s="174"/>
      <c r="Z76" s="174"/>
      <c r="AA76" s="189"/>
    </row>
    <row r="77" spans="1:27" s="159" customFormat="1" ht="15.75" x14ac:dyDescent="0.3">
      <c r="A77" s="194"/>
      <c r="B77" s="172"/>
      <c r="C77" s="172"/>
      <c r="D77" s="172"/>
      <c r="E77" s="172"/>
      <c r="F77" s="172"/>
      <c r="G77" s="176" t="s">
        <v>512</v>
      </c>
      <c r="H77" s="208">
        <v>2.4</v>
      </c>
      <c r="I77" s="195" t="s">
        <v>335</v>
      </c>
      <c r="J77" s="172"/>
      <c r="K77" s="172"/>
      <c r="L77" s="172"/>
      <c r="M77" s="172"/>
      <c r="N77" s="172"/>
      <c r="O77" s="172"/>
      <c r="P77" s="172"/>
      <c r="Q77" s="172"/>
      <c r="R77" s="172"/>
      <c r="S77" s="172"/>
      <c r="T77" s="172"/>
      <c r="U77" s="172"/>
      <c r="V77" s="172"/>
      <c r="W77" s="172"/>
      <c r="X77" s="174"/>
      <c r="Y77" s="174"/>
      <c r="Z77" s="174"/>
      <c r="AA77" s="189"/>
    </row>
    <row r="78" spans="1:27" s="159" customFormat="1" ht="15.75" x14ac:dyDescent="0.3">
      <c r="A78" s="196"/>
      <c r="B78" s="172"/>
      <c r="C78" s="172"/>
      <c r="D78" s="172"/>
      <c r="E78" s="172"/>
      <c r="F78" s="172"/>
      <c r="G78" s="176" t="s">
        <v>513</v>
      </c>
      <c r="H78" s="208">
        <v>4.5</v>
      </c>
      <c r="I78" s="195" t="s">
        <v>335</v>
      </c>
      <c r="J78" s="172"/>
      <c r="K78" s="172"/>
      <c r="L78" s="172"/>
      <c r="M78" s="172"/>
      <c r="N78" s="172"/>
      <c r="O78" s="172"/>
      <c r="P78" s="172"/>
      <c r="Q78" s="172"/>
      <c r="R78" s="172"/>
      <c r="S78" s="172"/>
      <c r="T78" s="172"/>
      <c r="U78" s="172"/>
      <c r="V78" s="172"/>
      <c r="W78" s="172"/>
      <c r="X78" s="174"/>
      <c r="Y78" s="174"/>
      <c r="Z78" s="174"/>
      <c r="AA78" s="189"/>
    </row>
    <row r="79" spans="1:27" s="159" customFormat="1" ht="15.75" x14ac:dyDescent="0.3">
      <c r="A79" s="196"/>
      <c r="B79" s="172"/>
      <c r="C79" s="172"/>
      <c r="D79" s="172"/>
      <c r="E79" s="172"/>
      <c r="F79" s="172"/>
      <c r="G79" s="176" t="s">
        <v>514</v>
      </c>
      <c r="H79" s="208">
        <v>0</v>
      </c>
      <c r="I79" s="195" t="s">
        <v>336</v>
      </c>
      <c r="J79" s="172"/>
      <c r="K79" s="172"/>
      <c r="L79" s="172"/>
      <c r="M79" s="172"/>
      <c r="N79" s="172"/>
      <c r="O79" s="172"/>
      <c r="P79" s="172"/>
      <c r="Q79" s="172"/>
      <c r="R79" s="172"/>
      <c r="S79" s="172"/>
      <c r="T79" s="172"/>
      <c r="U79" s="172"/>
      <c r="V79" s="172"/>
      <c r="W79" s="172"/>
      <c r="X79" s="174"/>
      <c r="Y79" s="174"/>
      <c r="Z79" s="174"/>
      <c r="AA79" s="189"/>
    </row>
    <row r="80" spans="1:27" s="159" customFormat="1" ht="16.5" thickBot="1" x14ac:dyDescent="0.35">
      <c r="A80" s="197"/>
      <c r="B80" s="198"/>
      <c r="C80" s="198"/>
      <c r="D80" s="198"/>
      <c r="E80" s="198"/>
      <c r="F80" s="198"/>
      <c r="G80" s="199" t="s">
        <v>515</v>
      </c>
      <c r="H80" s="209">
        <v>1.7</v>
      </c>
      <c r="I80" s="200" t="s">
        <v>10</v>
      </c>
      <c r="J80" s="172"/>
      <c r="K80" s="172"/>
      <c r="L80" s="172"/>
      <c r="M80" s="172"/>
      <c r="N80" s="172"/>
      <c r="O80" s="172"/>
      <c r="P80" s="172"/>
      <c r="Q80" s="172"/>
      <c r="R80" s="172"/>
      <c r="S80" s="172"/>
      <c r="T80" s="172"/>
      <c r="U80" s="172"/>
      <c r="V80" s="172"/>
      <c r="W80" s="172"/>
      <c r="X80" s="174"/>
      <c r="Y80" s="174"/>
      <c r="Z80" s="174"/>
      <c r="AA80" s="189"/>
    </row>
    <row r="81" spans="1:27" s="159" customFormat="1" x14ac:dyDescent="0.25">
      <c r="A81" s="172"/>
      <c r="B81" s="172"/>
      <c r="C81" s="172"/>
      <c r="D81" s="172"/>
      <c r="E81" s="172"/>
      <c r="F81" s="172"/>
      <c r="G81" s="173"/>
      <c r="H81" s="172"/>
      <c r="I81" s="172"/>
      <c r="J81" s="172"/>
      <c r="K81" s="172"/>
      <c r="L81" s="172"/>
      <c r="M81" s="172"/>
      <c r="N81" s="172"/>
      <c r="O81" s="172"/>
      <c r="P81" s="172"/>
      <c r="Q81" s="172"/>
      <c r="R81" s="172"/>
      <c r="S81" s="172"/>
      <c r="T81" s="172"/>
      <c r="U81" s="172"/>
      <c r="V81" s="172"/>
      <c r="W81" s="172"/>
      <c r="X81" s="174"/>
      <c r="Y81" s="174"/>
      <c r="Z81" s="174"/>
      <c r="AA81" s="189"/>
    </row>
    <row r="82" spans="1:27" s="159" customFormat="1" ht="18.75" thickBot="1" x14ac:dyDescent="0.4">
      <c r="A82" s="175" t="s">
        <v>595</v>
      </c>
      <c r="B82" s="172"/>
      <c r="C82" s="172"/>
      <c r="D82" s="172"/>
      <c r="E82" s="172"/>
      <c r="F82" s="172"/>
      <c r="G82" s="173"/>
      <c r="H82" s="172"/>
      <c r="I82" s="172"/>
      <c r="J82" s="172"/>
      <c r="K82" s="172"/>
      <c r="L82" s="172"/>
      <c r="M82" s="172"/>
      <c r="N82" s="172"/>
      <c r="O82" s="172"/>
      <c r="P82" s="172"/>
      <c r="Q82" s="172"/>
      <c r="R82" s="172"/>
      <c r="S82" s="172"/>
      <c r="T82" s="172"/>
      <c r="U82" s="172"/>
      <c r="V82" s="172"/>
      <c r="W82" s="172"/>
      <c r="X82" s="174"/>
      <c r="Y82" s="174"/>
      <c r="Z82" s="174"/>
      <c r="AA82" s="189"/>
    </row>
    <row r="83" spans="1:27" s="159" customFormat="1" ht="15.75" x14ac:dyDescent="0.3">
      <c r="A83" s="190"/>
      <c r="B83" s="191"/>
      <c r="C83" s="191"/>
      <c r="D83" s="191"/>
      <c r="E83" s="191"/>
      <c r="F83" s="191"/>
      <c r="G83" s="192" t="s">
        <v>583</v>
      </c>
      <c r="H83" s="207">
        <v>8.8000000000000007</v>
      </c>
      <c r="I83" s="193" t="s">
        <v>334</v>
      </c>
      <c r="J83" s="172"/>
      <c r="K83" s="172"/>
      <c r="L83" s="172"/>
      <c r="M83" s="172"/>
      <c r="N83" s="172"/>
      <c r="O83" s="172"/>
      <c r="P83" s="172"/>
      <c r="Q83" s="172"/>
      <c r="R83" s="172"/>
      <c r="S83" s="172"/>
      <c r="T83" s="172"/>
      <c r="U83" s="172"/>
      <c r="V83" s="172"/>
      <c r="W83" s="172"/>
      <c r="X83" s="174"/>
      <c r="Y83" s="174"/>
      <c r="Z83" s="174"/>
      <c r="AA83" s="189"/>
    </row>
    <row r="84" spans="1:27" s="159" customFormat="1" ht="15.75" x14ac:dyDescent="0.3">
      <c r="A84" s="196"/>
      <c r="B84" s="172"/>
      <c r="C84" s="172"/>
      <c r="D84" s="172"/>
      <c r="E84" s="172"/>
      <c r="F84" s="172"/>
      <c r="G84" s="176" t="s">
        <v>584</v>
      </c>
      <c r="H84" s="208">
        <v>10</v>
      </c>
      <c r="I84" s="195" t="s">
        <v>335</v>
      </c>
      <c r="J84" s="172"/>
      <c r="K84" s="172"/>
      <c r="L84" s="172"/>
      <c r="M84" s="172"/>
      <c r="N84" s="172"/>
      <c r="O84" s="172"/>
      <c r="P84" s="172"/>
      <c r="Q84" s="172"/>
      <c r="R84" s="172"/>
      <c r="S84" s="172"/>
      <c r="T84" s="172"/>
      <c r="U84" s="172"/>
      <c r="V84" s="172"/>
      <c r="W84" s="172"/>
      <c r="X84" s="174"/>
      <c r="Y84" s="174"/>
      <c r="Z84" s="174"/>
      <c r="AA84" s="189"/>
    </row>
    <row r="85" spans="1:27" s="159" customFormat="1" ht="15.75" x14ac:dyDescent="0.3">
      <c r="A85" s="196"/>
      <c r="B85" s="172"/>
      <c r="C85" s="172"/>
      <c r="D85" s="172"/>
      <c r="E85" s="172"/>
      <c r="F85" s="172"/>
      <c r="G85" s="176" t="s">
        <v>585</v>
      </c>
      <c r="H85" s="208">
        <v>2.4</v>
      </c>
      <c r="I85" s="195" t="s">
        <v>335</v>
      </c>
      <c r="J85" s="172"/>
      <c r="K85" s="172"/>
      <c r="L85" s="172"/>
      <c r="M85" s="172"/>
      <c r="N85" s="172"/>
      <c r="O85" s="172"/>
      <c r="P85" s="172"/>
      <c r="Q85" s="172"/>
      <c r="R85" s="172"/>
      <c r="S85" s="172"/>
      <c r="T85" s="172"/>
      <c r="U85" s="172"/>
      <c r="V85" s="172"/>
      <c r="W85" s="172"/>
      <c r="X85" s="174"/>
      <c r="Y85" s="174"/>
      <c r="Z85" s="174"/>
      <c r="AA85" s="189"/>
    </row>
    <row r="86" spans="1:27" s="159" customFormat="1" ht="15.75" x14ac:dyDescent="0.3">
      <c r="A86" s="196"/>
      <c r="B86" s="172"/>
      <c r="C86" s="172"/>
      <c r="D86" s="172"/>
      <c r="E86" s="172"/>
      <c r="F86" s="172"/>
      <c r="G86" s="176" t="s">
        <v>586</v>
      </c>
      <c r="H86" s="208">
        <v>4.5</v>
      </c>
      <c r="I86" s="195" t="s">
        <v>335</v>
      </c>
      <c r="J86" s="172"/>
      <c r="K86" s="172"/>
      <c r="L86" s="172"/>
      <c r="M86" s="172"/>
      <c r="N86" s="172"/>
      <c r="O86" s="172"/>
      <c r="P86" s="172"/>
      <c r="Q86" s="172"/>
      <c r="R86" s="172"/>
      <c r="S86" s="172"/>
      <c r="T86" s="172"/>
      <c r="U86" s="172"/>
      <c r="V86" s="172"/>
      <c r="W86" s="172"/>
      <c r="X86" s="174"/>
      <c r="Y86" s="174"/>
      <c r="Z86" s="174"/>
      <c r="AA86" s="189"/>
    </row>
    <row r="87" spans="1:27" s="159" customFormat="1" ht="15.75" x14ac:dyDescent="0.3">
      <c r="A87" s="196"/>
      <c r="B87" s="172"/>
      <c r="C87" s="172"/>
      <c r="D87" s="172"/>
      <c r="E87" s="172"/>
      <c r="F87" s="172"/>
      <c r="G87" s="176" t="s">
        <v>582</v>
      </c>
      <c r="H87" s="208">
        <v>0</v>
      </c>
      <c r="I87" s="195" t="s">
        <v>336</v>
      </c>
      <c r="J87" s="172"/>
      <c r="K87" s="172"/>
      <c r="L87" s="172"/>
      <c r="M87" s="172"/>
      <c r="N87" s="172"/>
      <c r="O87" s="172"/>
      <c r="P87" s="172"/>
      <c r="Q87" s="172"/>
      <c r="R87" s="172"/>
      <c r="S87" s="172"/>
      <c r="T87" s="172"/>
      <c r="U87" s="172"/>
      <c r="V87" s="172"/>
      <c r="W87" s="172"/>
      <c r="X87" s="174"/>
      <c r="Y87" s="174"/>
      <c r="Z87" s="174"/>
      <c r="AA87" s="189"/>
    </row>
    <row r="88" spans="1:27" s="159" customFormat="1" ht="15.75" x14ac:dyDescent="0.3">
      <c r="A88" s="196"/>
      <c r="B88" s="172"/>
      <c r="C88" s="172"/>
      <c r="D88" s="172"/>
      <c r="E88" s="172"/>
      <c r="F88" s="172"/>
      <c r="G88" s="176" t="s">
        <v>581</v>
      </c>
      <c r="H88" s="208">
        <v>1.7</v>
      </c>
      <c r="I88" s="195" t="s">
        <v>10</v>
      </c>
      <c r="J88" s="172"/>
      <c r="K88" s="172"/>
      <c r="L88" s="172"/>
      <c r="M88" s="172"/>
      <c r="N88" s="172"/>
      <c r="O88" s="172"/>
      <c r="P88" s="172"/>
      <c r="Q88" s="172"/>
      <c r="R88" s="172"/>
      <c r="S88" s="172"/>
      <c r="T88" s="172"/>
      <c r="U88" s="172"/>
      <c r="V88" s="172"/>
      <c r="W88" s="172"/>
      <c r="X88" s="174"/>
      <c r="Y88" s="174"/>
      <c r="Z88" s="174"/>
      <c r="AA88" s="189"/>
    </row>
    <row r="89" spans="1:27" s="159" customFormat="1" ht="18" x14ac:dyDescent="0.35">
      <c r="A89" s="196"/>
      <c r="B89" s="172"/>
      <c r="C89" s="172"/>
      <c r="D89" s="172"/>
      <c r="E89" s="172"/>
      <c r="F89" s="172"/>
      <c r="G89" s="173" t="s">
        <v>579</v>
      </c>
      <c r="H89" s="208">
        <v>33</v>
      </c>
      <c r="I89" s="201" t="s">
        <v>335</v>
      </c>
      <c r="J89" s="172"/>
      <c r="K89" s="172"/>
      <c r="L89" s="172"/>
      <c r="M89" s="172"/>
      <c r="N89" s="172"/>
      <c r="O89" s="172"/>
      <c r="P89" s="172"/>
      <c r="Q89" s="172"/>
      <c r="R89" s="172"/>
      <c r="S89" s="172"/>
      <c r="T89" s="172"/>
      <c r="U89" s="172"/>
      <c r="V89" s="172"/>
      <c r="W89" s="172"/>
      <c r="X89" s="174"/>
      <c r="Y89" s="174"/>
      <c r="Z89" s="174"/>
      <c r="AA89" s="189"/>
    </row>
    <row r="90" spans="1:27" s="159" customFormat="1" ht="18.75" thickBot="1" x14ac:dyDescent="0.4">
      <c r="A90" s="197"/>
      <c r="B90" s="198"/>
      <c r="C90" s="198"/>
      <c r="D90" s="198"/>
      <c r="E90" s="198"/>
      <c r="F90" s="198"/>
      <c r="G90" s="202" t="s">
        <v>580</v>
      </c>
      <c r="H90" s="209">
        <v>0.8</v>
      </c>
      <c r="I90" s="203" t="s">
        <v>10</v>
      </c>
      <c r="J90" s="172"/>
      <c r="K90" s="172"/>
      <c r="L90" s="172"/>
      <c r="M90" s="172"/>
      <c r="N90" s="172"/>
      <c r="O90" s="172"/>
      <c r="P90" s="172"/>
      <c r="Q90" s="172"/>
      <c r="R90" s="172"/>
      <c r="S90" s="172"/>
      <c r="T90" s="172"/>
      <c r="U90" s="172"/>
      <c r="V90" s="172"/>
      <c r="W90" s="172"/>
      <c r="X90" s="174"/>
      <c r="Y90" s="174"/>
      <c r="Z90" s="174"/>
      <c r="AA90" s="189"/>
    </row>
    <row r="91" spans="1:27" x14ac:dyDescent="0.25">
      <c r="A91" s="172"/>
      <c r="B91" s="172"/>
      <c r="C91" s="172"/>
      <c r="D91" s="172"/>
      <c r="E91" s="172"/>
      <c r="F91" s="172"/>
      <c r="G91" s="173"/>
      <c r="H91" s="172"/>
      <c r="I91" s="172"/>
      <c r="J91" s="172"/>
      <c r="K91" s="172"/>
      <c r="L91" s="172"/>
      <c r="M91" s="172"/>
      <c r="N91" s="172"/>
      <c r="O91" s="172"/>
      <c r="P91" s="172"/>
      <c r="Q91" s="172"/>
      <c r="R91" s="172"/>
      <c r="S91" s="172"/>
      <c r="T91" s="172"/>
      <c r="U91" s="172"/>
      <c r="V91" s="172"/>
      <c r="W91" s="172"/>
      <c r="X91" s="102"/>
      <c r="Y91" s="102"/>
      <c r="Z91" s="102"/>
      <c r="AA91" s="92"/>
    </row>
    <row r="92" spans="1:27" x14ac:dyDescent="0.25">
      <c r="A92" s="172"/>
      <c r="B92" s="172"/>
      <c r="C92" s="172"/>
      <c r="D92" s="172"/>
      <c r="E92" s="172"/>
      <c r="F92" s="172"/>
      <c r="G92" s="173"/>
      <c r="H92" s="172"/>
      <c r="I92" s="172"/>
      <c r="J92" s="172"/>
      <c r="K92" s="172"/>
      <c r="L92" s="172"/>
      <c r="M92" s="172"/>
      <c r="N92" s="172"/>
      <c r="O92" s="172"/>
      <c r="P92" s="172"/>
      <c r="Q92" s="172"/>
      <c r="R92" s="172"/>
      <c r="S92" s="172"/>
      <c r="T92" s="172"/>
      <c r="U92" s="172"/>
      <c r="V92" s="172"/>
      <c r="W92" s="172"/>
      <c r="X92" s="102"/>
      <c r="Y92" s="102"/>
      <c r="Z92" s="102"/>
      <c r="AA92" s="92"/>
    </row>
    <row r="93" spans="1:27" x14ac:dyDescent="0.25">
      <c r="A93" s="172"/>
      <c r="B93" s="172"/>
      <c r="C93" s="172"/>
      <c r="D93" s="172"/>
      <c r="E93" s="172"/>
      <c r="F93" s="172"/>
      <c r="G93" s="173"/>
      <c r="H93" s="172"/>
      <c r="I93" s="172"/>
      <c r="J93" s="172"/>
      <c r="K93" s="172"/>
      <c r="L93" s="172"/>
      <c r="M93" s="172"/>
      <c r="N93" s="172"/>
      <c r="O93" s="172"/>
      <c r="P93" s="172"/>
      <c r="Q93" s="172"/>
      <c r="R93" s="172"/>
      <c r="S93" s="172"/>
      <c r="T93" s="172"/>
      <c r="U93" s="172"/>
      <c r="V93" s="172"/>
      <c r="W93" s="172"/>
      <c r="X93" s="102"/>
      <c r="Y93" s="102"/>
      <c r="Z93" s="102"/>
      <c r="AA93" s="92"/>
    </row>
    <row r="94" spans="1:27" x14ac:dyDescent="0.25">
      <c r="A94" s="172"/>
      <c r="B94" s="172"/>
      <c r="C94" s="172"/>
      <c r="D94" s="172"/>
      <c r="E94" s="172"/>
      <c r="F94" s="172"/>
      <c r="G94" s="173"/>
      <c r="H94" s="172"/>
      <c r="I94" s="172"/>
      <c r="J94" s="172"/>
      <c r="K94" s="172"/>
      <c r="L94" s="172"/>
      <c r="M94" s="172"/>
      <c r="N94" s="172"/>
      <c r="O94" s="172"/>
      <c r="P94" s="172"/>
      <c r="Q94" s="172"/>
      <c r="R94" s="172"/>
      <c r="S94" s="172"/>
      <c r="T94" s="172"/>
      <c r="U94" s="172"/>
      <c r="V94" s="172"/>
      <c r="W94" s="172"/>
      <c r="X94" s="102"/>
      <c r="Y94" s="102"/>
      <c r="Z94" s="102"/>
      <c r="AA94" s="92"/>
    </row>
    <row r="95" spans="1:27" x14ac:dyDescent="0.25">
      <c r="A95" s="172"/>
      <c r="B95" s="172"/>
      <c r="C95" s="172"/>
      <c r="D95" s="172"/>
      <c r="E95" s="172"/>
      <c r="F95" s="172"/>
      <c r="G95" s="173"/>
      <c r="H95" s="172"/>
      <c r="I95" s="172"/>
      <c r="J95" s="172"/>
      <c r="K95" s="172"/>
      <c r="L95" s="172"/>
      <c r="M95" s="172"/>
      <c r="N95" s="172"/>
      <c r="O95" s="172"/>
      <c r="P95" s="172"/>
      <c r="Q95" s="172"/>
      <c r="R95" s="172"/>
      <c r="S95" s="172"/>
      <c r="T95" s="172"/>
      <c r="U95" s="172"/>
      <c r="V95" s="172"/>
      <c r="W95" s="172"/>
      <c r="X95" s="102"/>
      <c r="Y95" s="102"/>
      <c r="Z95" s="102"/>
      <c r="AA95" s="92"/>
    </row>
    <row r="96" spans="1:27" x14ac:dyDescent="0.25">
      <c r="A96" s="102"/>
      <c r="B96" s="102"/>
      <c r="C96" s="102"/>
      <c r="D96" s="102"/>
      <c r="E96" s="102"/>
      <c r="F96" s="102"/>
      <c r="G96" s="103"/>
      <c r="H96" s="102"/>
      <c r="I96" s="102"/>
      <c r="J96" s="102"/>
      <c r="K96" s="102"/>
      <c r="L96" s="102"/>
      <c r="M96" s="102"/>
      <c r="N96" s="102"/>
      <c r="O96" s="102"/>
      <c r="P96" s="102"/>
      <c r="Q96" s="102"/>
      <c r="R96" s="102"/>
      <c r="S96" s="102"/>
      <c r="T96" s="102"/>
      <c r="U96" s="102"/>
      <c r="V96" s="102"/>
      <c r="W96" s="102"/>
      <c r="X96" s="102"/>
      <c r="Y96" s="102"/>
      <c r="Z96" s="102"/>
      <c r="AA96" s="92"/>
    </row>
    <row r="97" spans="1:27" x14ac:dyDescent="0.25">
      <c r="A97" s="102"/>
      <c r="B97" s="102"/>
      <c r="C97" s="102"/>
      <c r="D97" s="102"/>
      <c r="E97" s="102"/>
      <c r="F97" s="102"/>
      <c r="G97" s="103"/>
      <c r="H97" s="102"/>
      <c r="I97" s="102"/>
      <c r="J97" s="102"/>
      <c r="K97" s="102"/>
      <c r="L97" s="102"/>
      <c r="M97" s="102"/>
      <c r="N97" s="102"/>
      <c r="O97" s="102"/>
      <c r="P97" s="102"/>
      <c r="Q97" s="102"/>
      <c r="R97" s="102"/>
      <c r="S97" s="102"/>
      <c r="T97" s="102"/>
      <c r="U97" s="102"/>
      <c r="V97" s="102"/>
      <c r="W97" s="102"/>
      <c r="X97" s="102"/>
      <c r="Y97" s="102"/>
      <c r="Z97" s="102"/>
      <c r="AA97" s="92"/>
    </row>
    <row r="98" spans="1:27" x14ac:dyDescent="0.25">
      <c r="A98" s="92"/>
      <c r="B98" s="92"/>
      <c r="C98" s="92"/>
      <c r="D98" s="92"/>
      <c r="E98" s="92"/>
      <c r="F98" s="92"/>
      <c r="G98" s="93"/>
      <c r="H98" s="92"/>
      <c r="I98" s="92"/>
      <c r="J98" s="92"/>
      <c r="K98" s="92"/>
      <c r="L98" s="92"/>
      <c r="M98" s="92"/>
      <c r="N98" s="92"/>
      <c r="O98" s="92"/>
      <c r="P98" s="92"/>
      <c r="Q98" s="92"/>
      <c r="R98" s="92"/>
      <c r="S98" s="92"/>
      <c r="T98" s="92"/>
      <c r="U98" s="92"/>
      <c r="V98" s="92"/>
      <c r="W98" s="92"/>
      <c r="X98" s="92"/>
      <c r="Y98" s="92"/>
      <c r="Z98" s="92"/>
      <c r="AA98" s="90"/>
    </row>
  </sheetData>
  <pageMargins left="0.2" right="0.2" top="0.25" bottom="0.25" header="0" footer="0"/>
  <pageSetup paperSize="9" scale="44"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60" r:id="rId4" name="Spinner 36">
              <controlPr defaultSize="0" autoPict="0">
                <anchor moveWithCells="1" sizeWithCells="1">
                  <from>
                    <xdr:col>7</xdr:col>
                    <xdr:colOff>561975</xdr:colOff>
                    <xdr:row>53</xdr:row>
                    <xdr:rowOff>0</xdr:rowOff>
                  </from>
                  <to>
                    <xdr:col>8</xdr:col>
                    <xdr:colOff>9525</xdr:colOff>
                    <xdr:row>55</xdr:row>
                    <xdr:rowOff>0</xdr:rowOff>
                  </to>
                </anchor>
              </controlPr>
            </control>
          </mc:Choice>
        </mc:AlternateContent>
      </controls>
    </mc:Choice>
  </mc:AlternateContent>
  <extLst>
    <ext xmlns:x14="http://schemas.microsoft.com/office/spreadsheetml/2009/9/main" uri="{CCE6A557-97BC-4b89-ADB6-D9C93CAAB3DF}">
      <x14:dataValidations xmlns:xm="http://schemas.microsoft.com/office/excel/2006/main" disablePrompts="1" count="1">
        <x14:dataValidation type="list" showInputMessage="1" showErrorMessage="1" xr:uid="{00000000-0002-0000-0000-000000000000}">
          <x14:formula1>
            <xm:f>Lists!$F$3:$F$5</xm:f>
          </x14:formula1>
          <xm:sqref>H12</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Q268"/>
  <sheetViews>
    <sheetView zoomScaleNormal="100" workbookViewId="0">
      <pane ySplit="5" topLeftCell="A6" activePane="bottomLeft" state="frozen"/>
      <selection pane="bottomLeft" activeCell="C53" sqref="C53"/>
    </sheetView>
  </sheetViews>
  <sheetFormatPr defaultRowHeight="15" x14ac:dyDescent="0.25"/>
  <cols>
    <col min="1" max="1" width="28.85546875" customWidth="1"/>
    <col min="2" max="2" width="19.5703125" customWidth="1"/>
    <col min="3" max="3" width="10.85546875" customWidth="1"/>
    <col min="4" max="4" width="10" bestFit="1" customWidth="1"/>
    <col min="5" max="5" width="18.5703125" customWidth="1"/>
    <col min="6" max="6" width="14.85546875" customWidth="1"/>
    <col min="7" max="7" width="15.140625" customWidth="1"/>
    <col min="8" max="9" width="12.5703125" customWidth="1"/>
    <col min="12" max="12" width="12.42578125" bestFit="1" customWidth="1"/>
  </cols>
  <sheetData>
    <row r="1" spans="1:17" ht="27.75" x14ac:dyDescent="0.4">
      <c r="A1" s="213" t="s">
        <v>15</v>
      </c>
      <c r="B1" s="213"/>
      <c r="C1" s="213"/>
      <c r="D1" s="213"/>
      <c r="E1" s="213"/>
      <c r="F1" s="213"/>
      <c r="G1" s="213"/>
      <c r="H1" s="213"/>
      <c r="I1" s="213"/>
      <c r="J1" s="213"/>
    </row>
    <row r="2" spans="1:17" x14ac:dyDescent="0.25">
      <c r="A2" s="5"/>
      <c r="B2" s="5" t="s">
        <v>16</v>
      </c>
      <c r="C2" s="6"/>
      <c r="D2" s="4"/>
      <c r="E2" s="5"/>
      <c r="F2" s="5"/>
      <c r="G2" s="5"/>
      <c r="H2" s="5"/>
      <c r="I2" s="5"/>
      <c r="J2" s="5"/>
    </row>
    <row r="3" spans="1:17" x14ac:dyDescent="0.25">
      <c r="A3" s="5"/>
      <c r="B3" s="5" t="s">
        <v>17</v>
      </c>
      <c r="C3" s="7"/>
      <c r="D3" s="4"/>
      <c r="E3" s="5"/>
      <c r="F3" s="14" t="s">
        <v>60</v>
      </c>
      <c r="G3" s="15" t="s">
        <v>61</v>
      </c>
      <c r="H3" s="24" t="s">
        <v>533</v>
      </c>
      <c r="I3" s="5"/>
      <c r="J3" s="5"/>
    </row>
    <row r="4" spans="1:17" x14ac:dyDescent="0.25">
      <c r="A4" s="5"/>
      <c r="B4" s="5" t="s">
        <v>18</v>
      </c>
      <c r="C4" s="8"/>
      <c r="D4" s="4"/>
      <c r="E4" s="5"/>
      <c r="F4" s="5"/>
      <c r="G4" s="5"/>
      <c r="H4" s="5"/>
      <c r="I4" s="5"/>
      <c r="J4" s="5"/>
    </row>
    <row r="5" spans="1:17" x14ac:dyDescent="0.25">
      <c r="A5" s="9" t="s">
        <v>19</v>
      </c>
      <c r="B5" s="9" t="s">
        <v>20</v>
      </c>
      <c r="C5" s="9" t="s">
        <v>21</v>
      </c>
      <c r="D5" s="4"/>
      <c r="E5" s="214" t="s">
        <v>22</v>
      </c>
      <c r="F5" s="214"/>
      <c r="G5" s="214"/>
      <c r="H5" s="214"/>
      <c r="I5" s="5"/>
      <c r="J5" s="9" t="s">
        <v>23</v>
      </c>
      <c r="K5" s="9" t="s">
        <v>67</v>
      </c>
      <c r="L5" s="4"/>
      <c r="M5" s="4"/>
      <c r="N5" s="4"/>
      <c r="O5" s="4"/>
      <c r="P5" s="4"/>
      <c r="Q5" s="4"/>
    </row>
    <row r="6" spans="1:17" ht="15.75" x14ac:dyDescent="0.25">
      <c r="A6" s="10" t="s">
        <v>24</v>
      </c>
      <c r="B6" s="9"/>
      <c r="C6" s="9"/>
      <c r="D6" s="9"/>
      <c r="E6" s="5"/>
      <c r="F6" s="5"/>
      <c r="G6" s="5"/>
      <c r="H6" s="5"/>
      <c r="I6" s="5"/>
      <c r="J6" s="9"/>
      <c r="K6" s="4"/>
      <c r="L6" s="4"/>
      <c r="M6" s="4"/>
      <c r="N6" s="4"/>
      <c r="O6" s="4"/>
      <c r="P6" s="4"/>
      <c r="Q6" s="4"/>
    </row>
    <row r="7" spans="1:17" x14ac:dyDescent="0.25">
      <c r="A7" t="s">
        <v>25</v>
      </c>
      <c r="B7" s="3">
        <f>'Design Converter'!H7</f>
        <v>10</v>
      </c>
      <c r="C7" t="s">
        <v>10</v>
      </c>
      <c r="E7" t="s">
        <v>28</v>
      </c>
    </row>
    <row r="8" spans="1:17" x14ac:dyDescent="0.25">
      <c r="A8" t="s">
        <v>26</v>
      </c>
      <c r="B8" s="3">
        <f>'Design Converter'!H8</f>
        <v>12</v>
      </c>
      <c r="C8" t="s">
        <v>10</v>
      </c>
      <c r="E8" t="s">
        <v>29</v>
      </c>
      <c r="K8">
        <f>IF(VIN_min&lt;VIN_min,1,IF(VIN_nom&gt;VIN_max,1,0))</f>
        <v>0</v>
      </c>
    </row>
    <row r="9" spans="1:17" x14ac:dyDescent="0.25">
      <c r="A9" t="s">
        <v>27</v>
      </c>
      <c r="B9" s="3">
        <f>'Design Converter'!H9</f>
        <v>18</v>
      </c>
      <c r="C9" t="s">
        <v>10</v>
      </c>
      <c r="E9" t="s">
        <v>30</v>
      </c>
    </row>
    <row r="10" spans="1:17" x14ac:dyDescent="0.25">
      <c r="A10" t="s">
        <v>64</v>
      </c>
      <c r="B10" s="3">
        <f>'Design Converter'!H13*1000</f>
        <v>2000000</v>
      </c>
      <c r="C10" t="s">
        <v>65</v>
      </c>
      <c r="E10" t="s">
        <v>66</v>
      </c>
    </row>
    <row r="11" spans="1:17" x14ac:dyDescent="0.25">
      <c r="A11" t="s">
        <v>68</v>
      </c>
      <c r="B11" s="18">
        <f>((2.21*10^10)/Fsw)-955</f>
        <v>10095</v>
      </c>
      <c r="C11" s="2" t="s">
        <v>36</v>
      </c>
      <c r="E11" t="s">
        <v>69</v>
      </c>
    </row>
    <row r="12" spans="1:17" x14ac:dyDescent="0.25">
      <c r="A12" t="s">
        <v>31</v>
      </c>
      <c r="B12" s="3">
        <f>'Design Converter'!H10</f>
        <v>20</v>
      </c>
      <c r="C12" t="s">
        <v>10</v>
      </c>
      <c r="E12" t="s">
        <v>32</v>
      </c>
    </row>
    <row r="13" spans="1:17" x14ac:dyDescent="0.25">
      <c r="A13" t="s">
        <v>33</v>
      </c>
      <c r="B13" s="3">
        <f>'Design Converter'!H11</f>
        <v>15</v>
      </c>
      <c r="C13" t="s">
        <v>11</v>
      </c>
      <c r="E13" t="s">
        <v>34</v>
      </c>
    </row>
    <row r="14" spans="1:17" x14ac:dyDescent="0.25">
      <c r="A14" t="s">
        <v>35</v>
      </c>
      <c r="B14" s="17">
        <f>VOUT/IOUT</f>
        <v>1.3333333333333333</v>
      </c>
      <c r="C14" s="2" t="s">
        <v>36</v>
      </c>
      <c r="E14" t="s">
        <v>41</v>
      </c>
    </row>
    <row r="15" spans="1:17" x14ac:dyDescent="0.25">
      <c r="A15" t="s">
        <v>37</v>
      </c>
      <c r="B15" s="1">
        <f>VOUT*IOUT</f>
        <v>300</v>
      </c>
      <c r="C15" s="2" t="s">
        <v>38</v>
      </c>
      <c r="E15" t="s">
        <v>40</v>
      </c>
    </row>
    <row r="16" spans="1:17" x14ac:dyDescent="0.25">
      <c r="A16" t="s">
        <v>39</v>
      </c>
      <c r="B16" s="11">
        <v>1</v>
      </c>
      <c r="E16" t="s">
        <v>525</v>
      </c>
    </row>
    <row r="17" spans="1:11" x14ac:dyDescent="0.25">
      <c r="A17" t="s">
        <v>531</v>
      </c>
      <c r="B17" s="12">
        <v>1</v>
      </c>
      <c r="E17" t="s">
        <v>532</v>
      </c>
    </row>
    <row r="19" spans="1:11" x14ac:dyDescent="0.25">
      <c r="A19" t="s">
        <v>518</v>
      </c>
      <c r="B19">
        <f>IF(VOUT&lt;=15,1,2)</f>
        <v>2</v>
      </c>
      <c r="E19" t="s">
        <v>520</v>
      </c>
    </row>
    <row r="20" spans="1:11" x14ac:dyDescent="0.25">
      <c r="A20" t="s">
        <v>522</v>
      </c>
      <c r="B20">
        <f>IF('Design Converter'!H12="FPWM",3,IF('Design Converter'!H12="DEM",2,1))</f>
        <v>2</v>
      </c>
      <c r="E20" t="s">
        <v>523</v>
      </c>
    </row>
    <row r="22" spans="1:11" x14ac:dyDescent="0.25">
      <c r="A22" t="s">
        <v>42</v>
      </c>
      <c r="B22" s="1">
        <f>1-VIN_min*EFF_est/VOUT</f>
        <v>0.5</v>
      </c>
      <c r="E22" t="s">
        <v>420</v>
      </c>
    </row>
    <row r="23" spans="1:11" x14ac:dyDescent="0.25">
      <c r="A23" t="s">
        <v>43</v>
      </c>
      <c r="B23" s="12">
        <f>Constants!B20-0.02</f>
        <v>0.79818181818181821</v>
      </c>
      <c r="E23" t="s">
        <v>528</v>
      </c>
    </row>
    <row r="24" spans="1:11" x14ac:dyDescent="0.25">
      <c r="B24" s="160"/>
    </row>
    <row r="25" spans="1:11" x14ac:dyDescent="0.25">
      <c r="A25" t="s">
        <v>424</v>
      </c>
      <c r="B25" s="150">
        <f>IF(B22&gt;Dc_max_IC,1,2)</f>
        <v>2</v>
      </c>
      <c r="E25" t="s">
        <v>526</v>
      </c>
      <c r="K25">
        <f>IF(B25=1,1,0)</f>
        <v>0</v>
      </c>
    </row>
    <row r="26" spans="1:11" x14ac:dyDescent="0.25">
      <c r="E26" t="s">
        <v>527</v>
      </c>
    </row>
    <row r="28" spans="1:11" x14ac:dyDescent="0.25">
      <c r="A28" s="19" t="s">
        <v>72</v>
      </c>
      <c r="E28" t="b">
        <f>AND((1-(VIN_max/VOUT))&lt;Dc_rip_max,(1-(VIN_min/VOUT))&lt;Dc_rip_max)</f>
        <v>0</v>
      </c>
    </row>
    <row r="29" spans="1:11" x14ac:dyDescent="0.25">
      <c r="A29" s="151" t="s">
        <v>426</v>
      </c>
    </row>
    <row r="30" spans="1:11" x14ac:dyDescent="0.25">
      <c r="A30" t="s">
        <v>88</v>
      </c>
      <c r="B30" s="3">
        <f>'Design Converter'!H21/100</f>
        <v>0.1</v>
      </c>
      <c r="E30" t="s">
        <v>107</v>
      </c>
    </row>
    <row r="31" spans="1:11" x14ac:dyDescent="0.25">
      <c r="A31" t="s">
        <v>118</v>
      </c>
      <c r="B31" s="12">
        <v>0.33</v>
      </c>
      <c r="C31" t="s">
        <v>13</v>
      </c>
      <c r="E31" t="s">
        <v>117</v>
      </c>
    </row>
    <row r="32" spans="1:11" x14ac:dyDescent="0.25">
      <c r="A32" t="s">
        <v>425</v>
      </c>
      <c r="B32" s="16">
        <f>IF(AND((1-(VIN_max/VOUT))&lt;Dc_rip_max,(1-(VIN_min/VOUT))&gt;=Dc_rip_max),Dc_rip_max,IF((1-(VIN_max/VOUT))&gt;Dc_rip_max,(1-(VIN_max/VOUT)),IF((1-(VIN_min/VOUT))&lt;Dc_rip_max,(1-(VIN_min/VOUT)),0.33)))</f>
        <v>0.33</v>
      </c>
    </row>
    <row r="33" spans="1:5" x14ac:dyDescent="0.25">
      <c r="A33" t="s">
        <v>94</v>
      </c>
      <c r="B33" s="1">
        <f>VOUT*(1-DC_rip)</f>
        <v>13.399999999999999</v>
      </c>
      <c r="C33" t="s">
        <v>10</v>
      </c>
      <c r="E33" t="s">
        <v>120</v>
      </c>
    </row>
    <row r="35" spans="1:5" x14ac:dyDescent="0.25">
      <c r="A35" t="s">
        <v>95</v>
      </c>
      <c r="B35" s="16">
        <f>(VOUT*IOUT)/(VIN_33)</f>
        <v>22.388059701492541</v>
      </c>
      <c r="C35" t="s">
        <v>11</v>
      </c>
      <c r="E35" t="s">
        <v>119</v>
      </c>
    </row>
    <row r="36" spans="1:5" x14ac:dyDescent="0.25">
      <c r="A36" t="s">
        <v>96</v>
      </c>
      <c r="B36" s="23">
        <f>(VIN_33*DC_rip)/(IIN_33*ILrip*Fsw)</f>
        <v>9.8757999999999974E-7</v>
      </c>
      <c r="C36" t="s">
        <v>87</v>
      </c>
      <c r="E36" t="s">
        <v>440</v>
      </c>
    </row>
    <row r="38" spans="1:5" x14ac:dyDescent="0.25">
      <c r="A38" s="151" t="s">
        <v>529</v>
      </c>
    </row>
    <row r="39" spans="1:5" x14ac:dyDescent="0.25">
      <c r="A39" t="s">
        <v>429</v>
      </c>
      <c r="B39" s="3">
        <f>'Design Converter'!H21/100</f>
        <v>0.1</v>
      </c>
      <c r="E39" t="s">
        <v>430</v>
      </c>
    </row>
    <row r="40" spans="1:5" x14ac:dyDescent="0.25">
      <c r="A40" t="s">
        <v>428</v>
      </c>
      <c r="B40" s="23">
        <f>((DC_DCM_max^2)*(VIN_min^2))/(2*IOUT*VOUT*Fsw-2*IOUT*VIN_min*Fsw)</f>
        <v>1.6666666666666671E-9</v>
      </c>
      <c r="C40" t="s">
        <v>87</v>
      </c>
      <c r="E40" t="s">
        <v>427</v>
      </c>
    </row>
    <row r="41" spans="1:5" x14ac:dyDescent="0.25">
      <c r="A41" t="s">
        <v>431</v>
      </c>
      <c r="B41" s="12">
        <v>0.2</v>
      </c>
      <c r="E41" t="s">
        <v>432</v>
      </c>
    </row>
    <row r="42" spans="1:5" x14ac:dyDescent="0.25">
      <c r="A42" t="s">
        <v>433</v>
      </c>
      <c r="B42" s="23">
        <f>(1-M_L_DCM)*((VIN_min^2)*(1-(VIN_min/VOUT)))/(2*IOUT*VOUT*Fsw)</f>
        <v>3.3333333333333334E-8</v>
      </c>
      <c r="C42" t="s">
        <v>87</v>
      </c>
      <c r="E42" t="s">
        <v>434</v>
      </c>
    </row>
    <row r="43" spans="1:5" x14ac:dyDescent="0.25">
      <c r="A43" t="s">
        <v>435</v>
      </c>
      <c r="B43" s="23">
        <f>MIN(B40,B42)</f>
        <v>1.6666666666666671E-9</v>
      </c>
      <c r="C43" t="s">
        <v>87</v>
      </c>
      <c r="E43" t="s">
        <v>436</v>
      </c>
    </row>
    <row r="44" spans="1:5" x14ac:dyDescent="0.25">
      <c r="B44" s="154"/>
    </row>
    <row r="45" spans="1:5" x14ac:dyDescent="0.25">
      <c r="A45" t="s">
        <v>439</v>
      </c>
      <c r="B45" s="23">
        <f>IF(B25=1,B43,Lopt_2)</f>
        <v>9.8757999999999974E-7</v>
      </c>
      <c r="E45" t="s">
        <v>437</v>
      </c>
    </row>
    <row r="47" spans="1:5" x14ac:dyDescent="0.25">
      <c r="A47" t="s">
        <v>89</v>
      </c>
      <c r="B47" s="21">
        <f>CHOOSE(B25,'Design Converter'!H23*10^-9,'Design Converter'!H23*10^-6)</f>
        <v>9.9999999999999995E-7</v>
      </c>
      <c r="C47" t="s">
        <v>87</v>
      </c>
      <c r="E47" t="s">
        <v>90</v>
      </c>
    </row>
    <row r="48" spans="1:5" x14ac:dyDescent="0.25">
      <c r="A48" t="s">
        <v>91</v>
      </c>
      <c r="B48" s="3">
        <f>'Design Converter'!H24*10^-3</f>
        <v>1.3799999999999999E-3</v>
      </c>
      <c r="C48" s="2" t="s">
        <v>36</v>
      </c>
      <c r="E48" t="s">
        <v>121</v>
      </c>
    </row>
    <row r="49" spans="1:9" x14ac:dyDescent="0.25">
      <c r="A49" t="s">
        <v>122</v>
      </c>
      <c r="B49" s="12">
        <v>0.2</v>
      </c>
      <c r="C49" s="2"/>
      <c r="E49" t="s">
        <v>123</v>
      </c>
    </row>
    <row r="50" spans="1:9" x14ac:dyDescent="0.25">
      <c r="B50" t="s">
        <v>97</v>
      </c>
    </row>
    <row r="51" spans="1:9" x14ac:dyDescent="0.25">
      <c r="A51" s="31" t="s">
        <v>441</v>
      </c>
    </row>
    <row r="53" spans="1:9" x14ac:dyDescent="0.25">
      <c r="A53" s="22" t="s">
        <v>442</v>
      </c>
    </row>
    <row r="54" spans="1:9" x14ac:dyDescent="0.25">
      <c r="A54" t="s">
        <v>443</v>
      </c>
      <c r="B54">
        <f>IF(B20=3,1,IF((VOUT*IOUT)/(VIN_min*Np)&lt;((VIN_min*(1-(VIN_min/VOUT)))/(2*Lm*Fsw)),0,1))</f>
        <v>1</v>
      </c>
      <c r="E54" t="s">
        <v>534</v>
      </c>
      <c r="I54" s="31"/>
    </row>
    <row r="55" spans="1:9" x14ac:dyDescent="0.25">
      <c r="A55" t="s">
        <v>77</v>
      </c>
      <c r="B55" s="1">
        <f>IF(B54=0,SQRT((2*(IOUT/Np)*Lm*Fsw*(VOUT-VIN_min)/(VIN_min^2))),(1-VIN_min/VOUT))</f>
        <v>0.5</v>
      </c>
      <c r="E55" t="s">
        <v>421</v>
      </c>
    </row>
    <row r="56" spans="1:9" x14ac:dyDescent="0.25">
      <c r="B56" s="13">
        <f>B55/Fsw</f>
        <v>2.4999999999999999E-7</v>
      </c>
      <c r="C56" t="s">
        <v>51</v>
      </c>
      <c r="E56" t="s">
        <v>276</v>
      </c>
    </row>
    <row r="57" spans="1:9" x14ac:dyDescent="0.25">
      <c r="A57" t="s">
        <v>82</v>
      </c>
      <c r="B57" s="17">
        <f>(VOUT*IOUT)/(VIN_min)</f>
        <v>30</v>
      </c>
      <c r="C57" t="s">
        <v>11</v>
      </c>
      <c r="E57" t="s">
        <v>84</v>
      </c>
    </row>
    <row r="58" spans="1:9" x14ac:dyDescent="0.25">
      <c r="A58" t="s">
        <v>100</v>
      </c>
      <c r="B58" s="16">
        <f>(VIN_min*Dc_VIN_min)/(Lm*Fsw)</f>
        <v>2.5</v>
      </c>
      <c r="C58" t="s">
        <v>11</v>
      </c>
      <c r="E58" t="s">
        <v>101</v>
      </c>
    </row>
    <row r="59" spans="1:9" x14ac:dyDescent="0.25">
      <c r="A59" t="s">
        <v>98</v>
      </c>
      <c r="B59" s="16">
        <f>IF(B54=0,(VIN_min*Dc_VIN_min)/(Lm*Fsw),(IL_avg_VIN_min/EFF_est)+(ILrip_VINmin/2))</f>
        <v>31.25</v>
      </c>
      <c r="C59" t="s">
        <v>11</v>
      </c>
      <c r="E59" t="s">
        <v>99</v>
      </c>
    </row>
    <row r="61" spans="1:9" x14ac:dyDescent="0.25">
      <c r="A61" s="22" t="s">
        <v>29</v>
      </c>
    </row>
    <row r="62" spans="1:9" x14ac:dyDescent="0.25">
      <c r="A62" t="s">
        <v>444</v>
      </c>
      <c r="B62">
        <f>IF(B20=3,1,IF((VOUT*IOUT)/(VIN_nom*Np)&lt;((VIN_nom*(1-(VIN_nom/VOUT)))/(2*Lm*Fsw)),0,1))</f>
        <v>1</v>
      </c>
      <c r="E62" t="s">
        <v>530</v>
      </c>
    </row>
    <row r="63" spans="1:9" x14ac:dyDescent="0.25">
      <c r="A63" t="s">
        <v>78</v>
      </c>
      <c r="B63" s="1">
        <f>IF(B62=0,SQRT((2*(IOUT/Np)*Lm*Fsw*(VOUT-VIN_nom)/(VIN_nom^2))),(1-VIN_nom/VOUT))</f>
        <v>0.4</v>
      </c>
      <c r="E63" t="s">
        <v>422</v>
      </c>
    </row>
    <row r="64" spans="1:9" x14ac:dyDescent="0.25">
      <c r="B64" s="13">
        <f>B63/Fsw</f>
        <v>2.0000000000000002E-7</v>
      </c>
      <c r="C64" t="s">
        <v>51</v>
      </c>
      <c r="E64" t="s">
        <v>276</v>
      </c>
    </row>
    <row r="65" spans="1:5" x14ac:dyDescent="0.25">
      <c r="A65" t="s">
        <v>83</v>
      </c>
      <c r="B65" s="17">
        <f>(VOUT*IOUT)/(VIN_nom)</f>
        <v>25</v>
      </c>
      <c r="C65" t="s">
        <v>11</v>
      </c>
      <c r="E65" t="s">
        <v>85</v>
      </c>
    </row>
    <row r="66" spans="1:5" x14ac:dyDescent="0.25">
      <c r="A66" t="s">
        <v>102</v>
      </c>
      <c r="B66" s="16">
        <f>(VIN_nom*Dc_VIN_nom)/(Lm*Fsw)</f>
        <v>2.4000000000000004</v>
      </c>
      <c r="C66" t="s">
        <v>11</v>
      </c>
      <c r="E66" t="s">
        <v>108</v>
      </c>
    </row>
    <row r="67" spans="1:5" x14ac:dyDescent="0.25">
      <c r="A67" t="s">
        <v>103</v>
      </c>
      <c r="B67" s="16">
        <f>IF(B62=0,(VIN_nom*Dc_VIN_nom)/(Lm*Fsw),(IL_avg_VIN_nom/EFF_est)+(ILrip_VINnom/2))</f>
        <v>26.2</v>
      </c>
      <c r="C67" t="s">
        <v>11</v>
      </c>
      <c r="E67" t="s">
        <v>109</v>
      </c>
    </row>
    <row r="69" spans="1:5" x14ac:dyDescent="0.25">
      <c r="A69" s="22" t="s">
        <v>30</v>
      </c>
    </row>
    <row r="70" spans="1:5" x14ac:dyDescent="0.25">
      <c r="A70" t="s">
        <v>445</v>
      </c>
      <c r="B70">
        <f>IF(B20=3,1,IF((VOUT*IOUT)/(VIN_max*Np)&lt;((VIN_max*(1-(VIN_max/VOUT)))/(2*Lm*Fsw)),0,1))</f>
        <v>1</v>
      </c>
      <c r="E70" t="s">
        <v>530</v>
      </c>
    </row>
    <row r="71" spans="1:5" x14ac:dyDescent="0.25">
      <c r="A71" t="s">
        <v>79</v>
      </c>
      <c r="B71" s="1">
        <f>IF(B70=0,SQRT((2*(IOUT/Np)*Lm*Fsw*(VOUT-VIN_max)/(VIN_max^2))),(1-VIN_max/VOUT))</f>
        <v>9.9999999999999978E-2</v>
      </c>
      <c r="E71" t="s">
        <v>423</v>
      </c>
    </row>
    <row r="72" spans="1:5" x14ac:dyDescent="0.25">
      <c r="B72" s="13">
        <f>B71/Fsw</f>
        <v>4.9999999999999991E-8</v>
      </c>
      <c r="C72" t="s">
        <v>51</v>
      </c>
      <c r="E72" t="s">
        <v>276</v>
      </c>
    </row>
    <row r="73" spans="1:5" x14ac:dyDescent="0.25">
      <c r="A73" t="s">
        <v>446</v>
      </c>
      <c r="B73" s="17">
        <f>(VOUT*IOUT)/(VIN_max)</f>
        <v>16.666666666666668</v>
      </c>
      <c r="C73" t="s">
        <v>11</v>
      </c>
      <c r="E73" t="s">
        <v>86</v>
      </c>
    </row>
    <row r="74" spans="1:5" x14ac:dyDescent="0.25">
      <c r="A74" t="s">
        <v>104</v>
      </c>
      <c r="B74" s="16">
        <f>(VIN_max*Dc_VIN_max)/(Lm*Fsw)</f>
        <v>0.8999999999999998</v>
      </c>
      <c r="C74" t="s">
        <v>11</v>
      </c>
      <c r="E74" t="s">
        <v>110</v>
      </c>
    </row>
    <row r="75" spans="1:5" x14ac:dyDescent="0.25">
      <c r="A75" t="s">
        <v>105</v>
      </c>
      <c r="B75" s="16">
        <f>IF(B70=0,(VIN_max*Dc_VIN_max)/(Lm*Fsw),(IL_avg_VIN_max/EFF_est)+(ILrip_VINmax/2))</f>
        <v>17.116666666666667</v>
      </c>
      <c r="C75" t="s">
        <v>11</v>
      </c>
      <c r="E75" t="s">
        <v>111</v>
      </c>
    </row>
    <row r="77" spans="1:5" x14ac:dyDescent="0.25">
      <c r="A77" s="19" t="s">
        <v>106</v>
      </c>
    </row>
    <row r="78" spans="1:5" x14ac:dyDescent="0.25">
      <c r="A78" t="s">
        <v>113</v>
      </c>
      <c r="B78" s="3">
        <f>'Design Converter'!H28/100</f>
        <v>0.1</v>
      </c>
      <c r="E78" t="s">
        <v>114</v>
      </c>
    </row>
    <row r="79" spans="1:5" x14ac:dyDescent="0.25">
      <c r="A79" t="s">
        <v>601</v>
      </c>
      <c r="B79" s="12">
        <v>0.95</v>
      </c>
      <c r="E79" t="s">
        <v>602</v>
      </c>
    </row>
    <row r="80" spans="1:5" x14ac:dyDescent="0.25">
      <c r="A80" t="s">
        <v>115</v>
      </c>
      <c r="B80" s="17">
        <f>IF(B54=0,(1+Ipk_margin)*ILp_VINmin,((IL_avg_VIN_min/B79)+(ILrip_VINmin/2))*(1+Ipk_margin))</f>
        <v>36.111842105263165</v>
      </c>
      <c r="C80" t="s">
        <v>11</v>
      </c>
      <c r="E80" t="s">
        <v>116</v>
      </c>
    </row>
    <row r="81" spans="1:11" x14ac:dyDescent="0.25">
      <c r="B81" s="34"/>
    </row>
    <row r="82" spans="1:11" x14ac:dyDescent="0.25">
      <c r="A82" t="s">
        <v>126</v>
      </c>
      <c r="B82" s="12">
        <v>0.66600000000000004</v>
      </c>
      <c r="E82" t="s">
        <v>535</v>
      </c>
    </row>
    <row r="83" spans="1:11" x14ac:dyDescent="0.25">
      <c r="A83" t="s">
        <v>124</v>
      </c>
      <c r="B83" s="23">
        <f>IF(OR(Dc_VIN_min&lt;0.5,B54=0),1000,(Lm*Vsl*Fsw)/(B82*(VOUT-VIN_min)))</f>
        <v>1.3513513513513513E-2</v>
      </c>
      <c r="C83" s="2" t="s">
        <v>36</v>
      </c>
      <c r="E83" t="s">
        <v>125</v>
      </c>
    </row>
    <row r="84" spans="1:11" x14ac:dyDescent="0.25">
      <c r="A84" t="s">
        <v>131</v>
      </c>
      <c r="B84" s="23">
        <f>Vcl/Ipk_selected</f>
        <v>1.6615048278374928E-3</v>
      </c>
      <c r="C84" s="2" t="s">
        <v>36</v>
      </c>
      <c r="E84" t="s">
        <v>492</v>
      </c>
    </row>
    <row r="86" spans="1:11" x14ac:dyDescent="0.25">
      <c r="A86" t="s">
        <v>134</v>
      </c>
      <c r="B86" s="1">
        <f>IF(Rcs_wo_sl&gt;Rcs_max,1,0)</f>
        <v>0</v>
      </c>
      <c r="E86" t="s">
        <v>448</v>
      </c>
    </row>
    <row r="87" spans="1:11" x14ac:dyDescent="0.25">
      <c r="A87" t="s">
        <v>135</v>
      </c>
      <c r="B87" s="25">
        <f>IF(B54=0,Rcs_wo_sl,IF(B86=0,Rcs_wo_sl,Rcs_w_sl))</f>
        <v>1.6615048278374928E-3</v>
      </c>
      <c r="C87" s="2" t="s">
        <v>36</v>
      </c>
      <c r="E87" t="s">
        <v>447</v>
      </c>
    </row>
    <row r="88" spans="1:11" x14ac:dyDescent="0.25">
      <c r="A88" t="s">
        <v>136</v>
      </c>
      <c r="B88" s="1">
        <v>0</v>
      </c>
      <c r="C88" s="2" t="s">
        <v>36</v>
      </c>
      <c r="E88" t="s">
        <v>536</v>
      </c>
    </row>
    <row r="90" spans="1:11" x14ac:dyDescent="0.25">
      <c r="A90" t="s">
        <v>137</v>
      </c>
      <c r="B90" s="26">
        <f>'Design Converter'!H31/1000</f>
        <v>1.5E-3</v>
      </c>
      <c r="C90" s="2" t="s">
        <v>36</v>
      </c>
      <c r="E90" t="s">
        <v>139</v>
      </c>
    </row>
    <row r="91" spans="1:11" x14ac:dyDescent="0.25">
      <c r="A91" t="s">
        <v>138</v>
      </c>
      <c r="B91" s="3">
        <v>0</v>
      </c>
      <c r="C91" s="2" t="s">
        <v>36</v>
      </c>
      <c r="E91" t="s">
        <v>537</v>
      </c>
    </row>
    <row r="93" spans="1:11" x14ac:dyDescent="0.25">
      <c r="A93" t="s">
        <v>142</v>
      </c>
      <c r="B93">
        <f>(Vsl*Fsw)/(((VOUT-VIN_min)/Lm)*R_cs)</f>
        <v>6</v>
      </c>
      <c r="C93" t="s">
        <v>150</v>
      </c>
      <c r="E93" t="s">
        <v>140</v>
      </c>
      <c r="K93">
        <f>IF(B62=0,0,IF(B93&lt;0.5,1,0))</f>
        <v>0</v>
      </c>
    </row>
    <row r="94" spans="1:11" x14ac:dyDescent="0.25">
      <c r="A94" t="s">
        <v>144</v>
      </c>
      <c r="B94" s="17">
        <f>(Vcl-(Isl*R_sl*Dc_VIN_min))/R_cs</f>
        <v>40</v>
      </c>
      <c r="C94" t="s">
        <v>11</v>
      </c>
      <c r="E94" t="s">
        <v>146</v>
      </c>
      <c r="K94">
        <f>IF(IL_pk&lt;Ipk_selected,1,0)</f>
        <v>0</v>
      </c>
    </row>
    <row r="95" spans="1:11" x14ac:dyDescent="0.25">
      <c r="A95" t="s">
        <v>145</v>
      </c>
      <c r="B95" s="17">
        <f>(Vcl-(Isl*R_sl*Dc_VIN_max))/R_cs</f>
        <v>40</v>
      </c>
      <c r="C95" t="s">
        <v>11</v>
      </c>
      <c r="E95" t="s">
        <v>147</v>
      </c>
    </row>
    <row r="96" spans="1:11" x14ac:dyDescent="0.25">
      <c r="A96" t="s">
        <v>148</v>
      </c>
      <c r="B96" s="12">
        <f>0.15</f>
        <v>0.15</v>
      </c>
      <c r="E96" t="s">
        <v>149</v>
      </c>
    </row>
    <row r="97" spans="1:5" x14ac:dyDescent="0.25">
      <c r="A97" t="s">
        <v>151</v>
      </c>
      <c r="B97" s="20">
        <f>(1+B96)*B95</f>
        <v>46</v>
      </c>
      <c r="C97" t="s">
        <v>11</v>
      </c>
      <c r="E97" t="s">
        <v>152</v>
      </c>
    </row>
    <row r="99" spans="1:5" x14ac:dyDescent="0.25">
      <c r="A99" s="22" t="s">
        <v>153</v>
      </c>
      <c r="E99" t="s">
        <v>538</v>
      </c>
    </row>
    <row r="102" spans="1:5" x14ac:dyDescent="0.25">
      <c r="A102" s="28" t="s">
        <v>154</v>
      </c>
      <c r="E102" t="s">
        <v>549</v>
      </c>
    </row>
    <row r="104" spans="1:5" x14ac:dyDescent="0.25">
      <c r="A104" t="s">
        <v>449</v>
      </c>
      <c r="B104" s="1">
        <f>IF(B54=0,2*Fsw/(Dc_VIN_min*5),(VOUT/IOUT)*((VIN_min^2)/VOUT^2)/(Lm*5))</f>
        <v>66666.666666666672</v>
      </c>
      <c r="C104" t="s">
        <v>489</v>
      </c>
      <c r="E104" t="s">
        <v>540</v>
      </c>
    </row>
    <row r="105" spans="1:5" x14ac:dyDescent="0.25">
      <c r="B105">
        <f>B104/(2*PI())</f>
        <v>10610.32953945969</v>
      </c>
      <c r="C105" t="s">
        <v>65</v>
      </c>
    </row>
    <row r="106" spans="1:5" x14ac:dyDescent="0.25">
      <c r="A106" t="s">
        <v>160</v>
      </c>
      <c r="B106" s="29">
        <f>'Design Converter'!H35/1000</f>
        <v>0.24</v>
      </c>
      <c r="C106" t="s">
        <v>10</v>
      </c>
      <c r="E106" t="s">
        <v>159</v>
      </c>
    </row>
    <row r="107" spans="1:5" x14ac:dyDescent="0.25">
      <c r="A107" t="s">
        <v>450</v>
      </c>
      <c r="B107" s="1">
        <f>IOUT-0.5*IOUT</f>
        <v>7.5</v>
      </c>
      <c r="C107" t="s">
        <v>11</v>
      </c>
    </row>
    <row r="108" spans="1:5" x14ac:dyDescent="0.25">
      <c r="A108" t="s">
        <v>161</v>
      </c>
      <c r="B108" s="1">
        <f>B107/(Vout_rip_sel*B104)</f>
        <v>4.6874999999999998E-4</v>
      </c>
      <c r="C108" t="s">
        <v>162</v>
      </c>
      <c r="E108" t="s">
        <v>163</v>
      </c>
    </row>
    <row r="109" spans="1:5" x14ac:dyDescent="0.25">
      <c r="A109" t="s">
        <v>164</v>
      </c>
      <c r="B109" s="165">
        <f>SQRT((1-Dc_VIN_min)*((IOUT^2)*(Dc_VIN_min/((1-Dc_VIN_min)^2))+((ILrip_VINmin^2)/3)))</f>
        <v>15.034682127223929</v>
      </c>
      <c r="C109" t="s">
        <v>11</v>
      </c>
      <c r="E109" s="31" t="s">
        <v>541</v>
      </c>
    </row>
    <row r="110" spans="1:5" x14ac:dyDescent="0.25">
      <c r="A110" t="s">
        <v>169</v>
      </c>
      <c r="B110" s="3">
        <f>'Design Converter'!H37*(10^-6)</f>
        <v>4.6999999999999999E-4</v>
      </c>
      <c r="C110" t="s">
        <v>162</v>
      </c>
      <c r="E110" t="s">
        <v>167</v>
      </c>
    </row>
    <row r="111" spans="1:5" x14ac:dyDescent="0.25">
      <c r="A111" t="s">
        <v>166</v>
      </c>
      <c r="B111" s="3">
        <f>'Design Converter'!H38/1000</f>
        <v>8.0000000000000002E-3</v>
      </c>
      <c r="C111" s="2" t="s">
        <v>36</v>
      </c>
      <c r="E111" t="s">
        <v>168</v>
      </c>
    </row>
    <row r="112" spans="1:5" x14ac:dyDescent="0.25">
      <c r="A112" t="s">
        <v>274</v>
      </c>
      <c r="B112" s="166">
        <f>SQRT((IOUT^2)+(IL_avg_VIN_min^2)-(2*IOUT*IL_avg_VIN_min)-(2*Dc_VIN_min*(IOUT^2))-(Dc_VIN_min*(IL_avg_VIN_min^2))+(2*Dc_VIN_min*IOUT*IL_avg_VIN_min))</f>
        <v>0</v>
      </c>
      <c r="E112" s="164" t="s">
        <v>275</v>
      </c>
    </row>
    <row r="113" spans="1:7" x14ac:dyDescent="0.25">
      <c r="E113" s="72"/>
    </row>
    <row r="115" spans="1:7" x14ac:dyDescent="0.25">
      <c r="A115" s="28" t="s">
        <v>292</v>
      </c>
    </row>
    <row r="116" spans="1:7" x14ac:dyDescent="0.25">
      <c r="A116" t="s">
        <v>278</v>
      </c>
      <c r="B116" s="12">
        <f>Iss</f>
        <v>1.9999999999999998E-5</v>
      </c>
      <c r="C116" t="s">
        <v>11</v>
      </c>
      <c r="E116" t="s">
        <v>280</v>
      </c>
    </row>
    <row r="117" spans="1:7" x14ac:dyDescent="0.25">
      <c r="A117" t="s">
        <v>281</v>
      </c>
      <c r="B117" s="1">
        <f>Iss*VOUT*Cout/(Vref*IOUT)</f>
        <v>1.2533333333333333E-8</v>
      </c>
      <c r="C117" t="s">
        <v>162</v>
      </c>
      <c r="E117" t="s">
        <v>282</v>
      </c>
    </row>
    <row r="118" spans="1:7" x14ac:dyDescent="0.25">
      <c r="A118" t="s">
        <v>283</v>
      </c>
      <c r="B118" s="3">
        <f>'Design Converter'!H42*(10^-3)</f>
        <v>0.01</v>
      </c>
      <c r="C118" t="s">
        <v>51</v>
      </c>
      <c r="E118" t="s">
        <v>284</v>
      </c>
    </row>
    <row r="119" spans="1:7" x14ac:dyDescent="0.25">
      <c r="A119" t="s">
        <v>287</v>
      </c>
      <c r="B119" s="1">
        <f>(tss*Iss)/(Vref*(1-(VIN_min/VOUT)))</f>
        <v>3.9999999999999998E-7</v>
      </c>
      <c r="C119" t="s">
        <v>162</v>
      </c>
      <c r="E119" t="s">
        <v>288</v>
      </c>
    </row>
    <row r="121" spans="1:7" x14ac:dyDescent="0.25">
      <c r="A121" s="28" t="s">
        <v>291</v>
      </c>
    </row>
    <row r="122" spans="1:7" x14ac:dyDescent="0.25">
      <c r="A122" t="s">
        <v>293</v>
      </c>
      <c r="B122" s="3">
        <f>'Design Converter'!H46</f>
        <v>11.2</v>
      </c>
      <c r="C122" t="s">
        <v>10</v>
      </c>
      <c r="E122" t="s">
        <v>295</v>
      </c>
      <c r="G122" s="31"/>
    </row>
    <row r="123" spans="1:7" x14ac:dyDescent="0.25">
      <c r="A123" t="s">
        <v>294</v>
      </c>
      <c r="B123" s="3">
        <f>'Design Converter'!H47</f>
        <v>10</v>
      </c>
      <c r="C123" t="s">
        <v>10</v>
      </c>
      <c r="E123" t="s">
        <v>296</v>
      </c>
    </row>
    <row r="124" spans="1:7" x14ac:dyDescent="0.25">
      <c r="A124" t="s">
        <v>298</v>
      </c>
      <c r="B124" s="12">
        <f>UV_rise</f>
        <v>1.1000000000000001</v>
      </c>
      <c r="C124" t="s">
        <v>10</v>
      </c>
      <c r="E124" t="s">
        <v>303</v>
      </c>
    </row>
    <row r="125" spans="1:7" x14ac:dyDescent="0.25">
      <c r="A125" t="s">
        <v>299</v>
      </c>
      <c r="B125" s="12">
        <f>UV_fall</f>
        <v>1.075</v>
      </c>
      <c r="C125" t="s">
        <v>10</v>
      </c>
      <c r="E125" t="s">
        <v>302</v>
      </c>
    </row>
    <row r="126" spans="1:7" x14ac:dyDescent="0.25">
      <c r="A126" t="s">
        <v>304</v>
      </c>
      <c r="B126" s="12">
        <f>UV_I_hyst</f>
        <v>9.9999999999999991E-6</v>
      </c>
      <c r="C126" t="s">
        <v>11</v>
      </c>
      <c r="E126" t="s">
        <v>306</v>
      </c>
      <c r="G126" s="168">
        <f>(Vuvlo_on*0.977)-Vuvlo_off</f>
        <v>0.94239999999999924</v>
      </c>
    </row>
    <row r="127" spans="1:7" x14ac:dyDescent="0.25">
      <c r="A127" t="s">
        <v>307</v>
      </c>
      <c r="B127" s="16">
        <f>((Vuvlo_on*(UV_fall/UV_rise))-Vuvlo_off)/UV_I_hyst</f>
        <v>94545.45454545437</v>
      </c>
      <c r="C127" s="2" t="s">
        <v>36</v>
      </c>
      <c r="E127" t="s">
        <v>394</v>
      </c>
      <c r="G127" s="20">
        <f>B125/B124</f>
        <v>0.97727272727272718</v>
      </c>
    </row>
    <row r="128" spans="1:7" x14ac:dyDescent="0.25">
      <c r="A128" t="s">
        <v>307</v>
      </c>
      <c r="B128" s="3">
        <f>'Design Converter'!H49*1000</f>
        <v>100000</v>
      </c>
      <c r="C128" s="2" t="s">
        <v>36</v>
      </c>
      <c r="E128" t="s">
        <v>395</v>
      </c>
    </row>
    <row r="129" spans="1:7" x14ac:dyDescent="0.25">
      <c r="A129" t="s">
        <v>308</v>
      </c>
      <c r="B129" s="18">
        <f>UV_rise*Ruvlo_top/(Vuvlo_on-UV_rise)</f>
        <v>10891.089108910894</v>
      </c>
      <c r="C129" s="2" t="s">
        <v>36</v>
      </c>
      <c r="E129" t="s">
        <v>396</v>
      </c>
    </row>
    <row r="130" spans="1:7" x14ac:dyDescent="0.25">
      <c r="A130" t="s">
        <v>309</v>
      </c>
      <c r="B130" s="34">
        <f>UV_rise*(Ruvlo_top+Ruvlo_bottom_calc)/Ruvlo_bottom_calc</f>
        <v>11.199999999999998</v>
      </c>
      <c r="E130" t="s">
        <v>311</v>
      </c>
    </row>
    <row r="131" spans="1:7" x14ac:dyDescent="0.25">
      <c r="A131" t="s">
        <v>310</v>
      </c>
      <c r="B131" s="34">
        <f>Ruvlo_top*((UV_fall/Ruvlo_top)-(UV_I_hyst)+(UV_fall/Ruvlo_bottom_calc))</f>
        <v>9.9454545454545435</v>
      </c>
      <c r="E131" t="s">
        <v>312</v>
      </c>
      <c r="G131" s="31"/>
    </row>
    <row r="134" spans="1:7" x14ac:dyDescent="0.25">
      <c r="A134" s="28" t="s">
        <v>171</v>
      </c>
    </row>
    <row r="135" spans="1:7" x14ac:dyDescent="0.25">
      <c r="A135" s="32" t="s">
        <v>197</v>
      </c>
      <c r="B135" s="3" t="str">
        <f>'Design Converter'!H54</f>
        <v>12V</v>
      </c>
      <c r="C135" t="s">
        <v>10</v>
      </c>
      <c r="E135" t="s">
        <v>238</v>
      </c>
    </row>
    <row r="136" spans="1:7" x14ac:dyDescent="0.25">
      <c r="A136" s="32"/>
    </row>
    <row r="137" spans="1:7" x14ac:dyDescent="0.25">
      <c r="A137" s="31" t="s">
        <v>252</v>
      </c>
    </row>
    <row r="138" spans="1:7" x14ac:dyDescent="0.25">
      <c r="A138" t="s">
        <v>550</v>
      </c>
      <c r="B138">
        <f>VOUT_range</f>
        <v>2</v>
      </c>
      <c r="E138" t="s">
        <v>520</v>
      </c>
    </row>
    <row r="139" spans="1:7" x14ac:dyDescent="0.25">
      <c r="A139" t="s">
        <v>551</v>
      </c>
      <c r="B139">
        <f>CHOOSE(VOUT_range,Kfb_low,Kfb_high)</f>
        <v>60</v>
      </c>
      <c r="C139" t="s">
        <v>150</v>
      </c>
    </row>
    <row r="140" spans="1:7" x14ac:dyDescent="0.25">
      <c r="A140" t="s">
        <v>558</v>
      </c>
      <c r="B140">
        <f>CHOOSE(VOUT_range,Rmax_low,Rmax_high)</f>
        <v>35000</v>
      </c>
      <c r="C140" t="s">
        <v>469</v>
      </c>
    </row>
    <row r="141" spans="1:7" x14ac:dyDescent="0.25">
      <c r="A141" t="s">
        <v>559</v>
      </c>
      <c r="B141">
        <f>CHOOSE(VOUT_range,Rmin_low,Rmin_high)</f>
        <v>20000</v>
      </c>
      <c r="C141" t="s">
        <v>469</v>
      </c>
    </row>
    <row r="142" spans="1:7" x14ac:dyDescent="0.25">
      <c r="A142" t="s">
        <v>562</v>
      </c>
      <c r="B142" s="1">
        <f>VOUT/Kfb</f>
        <v>0.33333333333333331</v>
      </c>
      <c r="C142" t="s">
        <v>10</v>
      </c>
      <c r="E142" t="s">
        <v>563</v>
      </c>
    </row>
    <row r="143" spans="1:7" x14ac:dyDescent="0.25">
      <c r="A143" t="s">
        <v>560</v>
      </c>
      <c r="B143" s="1">
        <f>((Vref*Rmax)-(VTRK*Rmax))/Vref</f>
        <v>23333.333333333336</v>
      </c>
      <c r="E143">
        <f>Vref</f>
        <v>1</v>
      </c>
    </row>
    <row r="144" spans="1:7" x14ac:dyDescent="0.25">
      <c r="A144" t="s">
        <v>561</v>
      </c>
      <c r="B144" s="1">
        <f>((Vref*Rmin)-(VTRK*Rmin))/Vref</f>
        <v>13333.333333333334</v>
      </c>
    </row>
    <row r="145" spans="1:5" x14ac:dyDescent="0.25">
      <c r="A145" t="s">
        <v>189</v>
      </c>
      <c r="B145" s="3">
        <f>'Design Converter'!H60*(10^3)</f>
        <v>20000</v>
      </c>
      <c r="C145" s="2" t="s">
        <v>36</v>
      </c>
      <c r="E145" t="s">
        <v>239</v>
      </c>
    </row>
    <row r="146" spans="1:5" x14ac:dyDescent="0.25">
      <c r="A146" t="s">
        <v>243</v>
      </c>
      <c r="B146" s="18">
        <f>RFBT/((Vref/VTRK)-1)</f>
        <v>10000</v>
      </c>
      <c r="C146" s="2" t="s">
        <v>36</v>
      </c>
      <c r="E146" t="s">
        <v>246</v>
      </c>
    </row>
    <row r="147" spans="1:5" x14ac:dyDescent="0.25">
      <c r="A147" t="s">
        <v>190</v>
      </c>
      <c r="B147" s="3">
        <f>'Design Converter'!H62*(10^3)</f>
        <v>10000</v>
      </c>
      <c r="C147" s="2" t="s">
        <v>36</v>
      </c>
      <c r="E147" t="s">
        <v>247</v>
      </c>
    </row>
    <row r="148" spans="1:5" x14ac:dyDescent="0.25">
      <c r="A148" t="s">
        <v>248</v>
      </c>
      <c r="B148">
        <f>VOUT/(RFBB+RFBT)</f>
        <v>6.6666666666666664E-4</v>
      </c>
      <c r="C148" s="2" t="s">
        <v>11</v>
      </c>
      <c r="E148" t="s">
        <v>567</v>
      </c>
    </row>
    <row r="149" spans="1:5" x14ac:dyDescent="0.25">
      <c r="C149" s="2"/>
    </row>
    <row r="150" spans="1:5" x14ac:dyDescent="0.25">
      <c r="A150" s="31" t="s">
        <v>253</v>
      </c>
      <c r="E150" t="s">
        <v>388</v>
      </c>
    </row>
    <row r="152" spans="1:5" x14ac:dyDescent="0.25">
      <c r="A152" s="22" t="s">
        <v>452</v>
      </c>
      <c r="E152" t="s">
        <v>504</v>
      </c>
    </row>
    <row r="153" spans="1:5" x14ac:dyDescent="0.25">
      <c r="A153" s="22"/>
    </row>
    <row r="154" spans="1:5" x14ac:dyDescent="0.25">
      <c r="A154" t="s">
        <v>501</v>
      </c>
      <c r="B154" s="20">
        <f>(R_cs*Acs/(2*Lm*Fsw))*(1-(VIN_min/VOUT))*(VIN_min/VOUT)</f>
        <v>9.3749999999999997E-4</v>
      </c>
      <c r="E154" t="s">
        <v>497</v>
      </c>
    </row>
    <row r="155" spans="1:5" x14ac:dyDescent="0.25">
      <c r="A155" t="s">
        <v>502</v>
      </c>
      <c r="B155" s="20">
        <f>1/((0.5-(1-(VIN_min/VOUT)))*(R_cs*Acs/(Lm*Fsw))+(Vsl*Acs/VOUT))</f>
        <v>44.444444444444443</v>
      </c>
      <c r="E155" t="s">
        <v>497</v>
      </c>
    </row>
    <row r="156" spans="1:5" x14ac:dyDescent="0.25">
      <c r="A156" t="s">
        <v>503</v>
      </c>
      <c r="B156" s="20">
        <f>2+((VOUT*((VIN_min/VOUT)^2))/(IOUT*R_cs*Acs))*((1/Km_VINmin)+(Kex_VINmin/(VIN_min/VOUT)))</f>
        <v>2.541666666666667</v>
      </c>
      <c r="E156" t="s">
        <v>497</v>
      </c>
    </row>
    <row r="157" spans="1:5" x14ac:dyDescent="0.25">
      <c r="A157" s="22"/>
      <c r="B157" s="20"/>
    </row>
    <row r="158" spans="1:5" x14ac:dyDescent="0.25">
      <c r="A158" s="22"/>
      <c r="B158" s="20"/>
    </row>
    <row r="159" spans="1:5" x14ac:dyDescent="0.25">
      <c r="A159" s="22"/>
      <c r="B159" s="20"/>
    </row>
    <row r="160" spans="1:5" x14ac:dyDescent="0.25">
      <c r="A160" t="s">
        <v>398</v>
      </c>
      <c r="B160" s="20">
        <f>(Gcomp*(VIN_min/VOUT)*(VOUT/IOUT))/(Kd_VINmin*R_cs*Acs/Np)</f>
        <v>17.486338797814202</v>
      </c>
    </row>
    <row r="161" spans="1:5" x14ac:dyDescent="0.25">
      <c r="B161" s="20"/>
    </row>
    <row r="162" spans="1:5" x14ac:dyDescent="0.25">
      <c r="A162" t="s">
        <v>399</v>
      </c>
      <c r="B162" s="20">
        <f>Kd_VINmin/(Cout*(VOUT/IOUT))</f>
        <v>4055.851063829788</v>
      </c>
      <c r="C162" t="s">
        <v>385</v>
      </c>
      <c r="E162" t="s">
        <v>384</v>
      </c>
    </row>
    <row r="163" spans="1:5" x14ac:dyDescent="0.25">
      <c r="A163" t="s">
        <v>400</v>
      </c>
      <c r="B163" s="20">
        <f>B162/(2*PI())</f>
        <v>645.50874525303311</v>
      </c>
      <c r="C163" t="s">
        <v>65</v>
      </c>
      <c r="E163" t="s">
        <v>249</v>
      </c>
    </row>
    <row r="164" spans="1:5" x14ac:dyDescent="0.25">
      <c r="B164" s="20"/>
    </row>
    <row r="165" spans="1:5" x14ac:dyDescent="0.25">
      <c r="A165" t="s">
        <v>401</v>
      </c>
      <c r="B165" s="20">
        <f>1/(Cout*Resr)</f>
        <v>265957.44680851063</v>
      </c>
      <c r="C165" t="s">
        <v>386</v>
      </c>
      <c r="E165" t="s">
        <v>387</v>
      </c>
    </row>
    <row r="166" spans="1:5" x14ac:dyDescent="0.25">
      <c r="A166" t="s">
        <v>402</v>
      </c>
      <c r="B166" s="20">
        <f>B165/(2*PI())</f>
        <v>42328.442311674291</v>
      </c>
      <c r="C166" t="s">
        <v>65</v>
      </c>
      <c r="E166" t="s">
        <v>251</v>
      </c>
    </row>
    <row r="167" spans="1:5" x14ac:dyDescent="0.25">
      <c r="B167" s="20"/>
    </row>
    <row r="168" spans="1:5" x14ac:dyDescent="0.25">
      <c r="A168" t="s">
        <v>403</v>
      </c>
      <c r="B168" s="20">
        <f>((VOUT/IOUT)*((VIN_min/VOUT)^2))/(Lm)</f>
        <v>333333.33333333331</v>
      </c>
      <c r="E168" t="s">
        <v>383</v>
      </c>
    </row>
    <row r="169" spans="1:5" x14ac:dyDescent="0.25">
      <c r="A169" t="s">
        <v>404</v>
      </c>
      <c r="B169" s="20">
        <f>B168/(2*PI())</f>
        <v>53051.647697298446</v>
      </c>
      <c r="C169" t="s">
        <v>65</v>
      </c>
      <c r="E169" t="s">
        <v>250</v>
      </c>
    </row>
    <row r="170" spans="1:5" x14ac:dyDescent="0.25">
      <c r="B170" s="20">
        <f>Fsw/10</f>
        <v>200000</v>
      </c>
      <c r="C170" t="s">
        <v>65</v>
      </c>
      <c r="E170" t="s">
        <v>256</v>
      </c>
    </row>
    <row r="171" spans="1:5" x14ac:dyDescent="0.25">
      <c r="B171" s="30">
        <f>IF((B169/5)&lt;(B170),0,1)</f>
        <v>0</v>
      </c>
      <c r="E171" t="s">
        <v>257</v>
      </c>
    </row>
    <row r="172" spans="1:5" x14ac:dyDescent="0.25">
      <c r="B172" s="20"/>
    </row>
    <row r="173" spans="1:5" x14ac:dyDescent="0.25">
      <c r="A173" t="s">
        <v>405</v>
      </c>
      <c r="B173" s="20">
        <f>(Vsl*Fsw)</f>
        <v>90000</v>
      </c>
      <c r="C173" t="s">
        <v>150</v>
      </c>
      <c r="E173" t="s">
        <v>505</v>
      </c>
    </row>
    <row r="174" spans="1:5" x14ac:dyDescent="0.25">
      <c r="A174" t="s">
        <v>406</v>
      </c>
      <c r="B174" s="20">
        <f>(R_cs*VIN_min)/Lm</f>
        <v>15000</v>
      </c>
      <c r="C174" t="s">
        <v>150</v>
      </c>
      <c r="E174" t="s">
        <v>214</v>
      </c>
    </row>
    <row r="175" spans="1:5" x14ac:dyDescent="0.25">
      <c r="B175" s="20"/>
    </row>
    <row r="176" spans="1:5" x14ac:dyDescent="0.25">
      <c r="A176" t="s">
        <v>407</v>
      </c>
      <c r="B176" s="20">
        <f>2*PI()*Fsw</f>
        <v>12566370.614359172</v>
      </c>
      <c r="C176" t="s">
        <v>216</v>
      </c>
      <c r="E176" t="s">
        <v>498</v>
      </c>
    </row>
    <row r="177" spans="1:5" x14ac:dyDescent="0.25">
      <c r="A177" t="s">
        <v>408</v>
      </c>
      <c r="B177" s="20">
        <f>1/(PI()*(((VIN_min/VOUT)*(1+(B173/B174)))-0.5))</f>
        <v>0.1061032953945969</v>
      </c>
      <c r="E177" t="s">
        <v>499</v>
      </c>
    </row>
    <row r="178" spans="1:5" x14ac:dyDescent="0.25">
      <c r="B178" s="20"/>
    </row>
    <row r="179" spans="1:5" x14ac:dyDescent="0.25">
      <c r="A179" t="s">
        <v>254</v>
      </c>
      <c r="B179" s="20">
        <f>IF(B171=0,fz_rhp/5,Fsw/10)</f>
        <v>10610.32953945969</v>
      </c>
      <c r="C179" t="s">
        <v>65</v>
      </c>
      <c r="E179" t="s">
        <v>464</v>
      </c>
    </row>
    <row r="180" spans="1:5" x14ac:dyDescent="0.25">
      <c r="B180" s="29">
        <f>fcross</f>
        <v>5500</v>
      </c>
      <c r="C180" t="s">
        <v>539</v>
      </c>
      <c r="E180" t="s">
        <v>570</v>
      </c>
    </row>
    <row r="181" spans="1:5" x14ac:dyDescent="0.25">
      <c r="A181" t="s">
        <v>261</v>
      </c>
      <c r="B181" s="51">
        <f>SQRT(B163*fcross)</f>
        <v>1884.2234737131587</v>
      </c>
      <c r="C181" t="s">
        <v>65</v>
      </c>
      <c r="E181" t="s">
        <v>490</v>
      </c>
    </row>
    <row r="182" spans="1:5" x14ac:dyDescent="0.25">
      <c r="A182" t="s">
        <v>263</v>
      </c>
      <c r="B182" s="30">
        <f>SQRT(fz_rhp*Fsw/2)</f>
        <v>230329.43298089033</v>
      </c>
      <c r="C182" t="s">
        <v>65</v>
      </c>
      <c r="E182" t="s">
        <v>417</v>
      </c>
    </row>
    <row r="184" spans="1:5" x14ac:dyDescent="0.25">
      <c r="A184" t="s">
        <v>509</v>
      </c>
      <c r="B184" s="20">
        <f>10^(-Loop_Modeling!AD7/20)</f>
        <v>0.48455706582975705</v>
      </c>
    </row>
    <row r="185" spans="1:5" x14ac:dyDescent="0.25">
      <c r="A185" t="s">
        <v>507</v>
      </c>
      <c r="B185" s="20">
        <f>SQRT(1+((B179/fp_ea_est)^2))</f>
        <v>1.0010604706549411</v>
      </c>
    </row>
    <row r="186" spans="1:5" x14ac:dyDescent="0.25">
      <c r="A186" t="s">
        <v>508</v>
      </c>
      <c r="B186" s="20">
        <f>SQRT(1+(fz_ea_est/B179)^2)</f>
        <v>1.0156456242055103</v>
      </c>
    </row>
    <row r="188" spans="1:5" x14ac:dyDescent="0.25">
      <c r="A188" t="s">
        <v>472</v>
      </c>
      <c r="B188" s="17">
        <f>(fp_ea_est*B184*Kfb)/((fp_ea_est-fz_ea_est)*gm_ea)*(B185/B186)</f>
        <v>28892.270693021255</v>
      </c>
      <c r="C188" s="2" t="s">
        <v>36</v>
      </c>
      <c r="E188" s="31" t="s">
        <v>506</v>
      </c>
    </row>
    <row r="189" spans="1:5" x14ac:dyDescent="0.25">
      <c r="A189" t="s">
        <v>473</v>
      </c>
      <c r="B189" s="155">
        <f>1/(2*PI()*fz_ea_est*Rcomp_calc_CCM)</f>
        <v>2.923519847475239E-9</v>
      </c>
      <c r="C189" s="2" t="s">
        <v>162</v>
      </c>
    </row>
    <row r="190" spans="1:5" x14ac:dyDescent="0.25">
      <c r="A190" t="s">
        <v>474</v>
      </c>
      <c r="B190" s="155">
        <f>((gm_ea)/(2*PI()*fp_ea_est*B184*Kfb))*(B186/B185)</f>
        <v>2.4113286220195804E-11</v>
      </c>
      <c r="C190" t="s">
        <v>162</v>
      </c>
    </row>
    <row r="193" spans="1:5" x14ac:dyDescent="0.25">
      <c r="A193" s="22" t="s">
        <v>453</v>
      </c>
      <c r="E193" s="31"/>
    </row>
    <row r="195" spans="1:5" x14ac:dyDescent="0.25">
      <c r="A195" t="s">
        <v>459</v>
      </c>
      <c r="B195">
        <f>Fsw/((R_cs*Acs*(VIN_min/Lm))+((R_sl+Rsl_int)*Isl))</f>
        <v>13.333325333338134</v>
      </c>
      <c r="C195" t="s">
        <v>150</v>
      </c>
      <c r="E195" t="s">
        <v>479</v>
      </c>
    </row>
    <row r="196" spans="1:5" x14ac:dyDescent="0.25">
      <c r="A196" t="s">
        <v>458</v>
      </c>
      <c r="B196">
        <f>(B195*2*VOUT/Dc_VIN_min)*(((VOUT/VIN_min)-1)/((2*VOUT/VIN_min)-1))</f>
        <v>355.55534222235025</v>
      </c>
      <c r="C196" t="s">
        <v>150</v>
      </c>
    </row>
    <row r="197" spans="1:5" x14ac:dyDescent="0.25">
      <c r="A197" t="s">
        <v>460</v>
      </c>
      <c r="B197">
        <f>(IOUT*((2*VOUT)-VIN_min))/(Cout*VOUT*(VOUT-VIN_min))</f>
        <v>4787.2340425531911</v>
      </c>
      <c r="C197" t="s">
        <v>385</v>
      </c>
    </row>
    <row r="198" spans="1:5" x14ac:dyDescent="0.25">
      <c r="B198">
        <f>B197/(2*PI())</f>
        <v>761.91196161013727</v>
      </c>
      <c r="C198" t="s">
        <v>65</v>
      </c>
    </row>
    <row r="199" spans="1:5" x14ac:dyDescent="0.25">
      <c r="A199" t="s">
        <v>461</v>
      </c>
      <c r="B199">
        <f>1/(Cout*Resr)</f>
        <v>265957.44680851063</v>
      </c>
      <c r="C199" t="s">
        <v>385</v>
      </c>
    </row>
    <row r="200" spans="1:5" x14ac:dyDescent="0.25">
      <c r="B200">
        <f>B199/(2*PI())</f>
        <v>42328.442311674291</v>
      </c>
      <c r="C200" t="s">
        <v>65</v>
      </c>
    </row>
    <row r="201" spans="1:5" x14ac:dyDescent="0.25">
      <c r="A201" t="s">
        <v>462</v>
      </c>
      <c r="B201">
        <f>2*Fsw/(Dc_VIN_min)</f>
        <v>8000000</v>
      </c>
      <c r="C201" t="s">
        <v>385</v>
      </c>
      <c r="E201" t="s">
        <v>478</v>
      </c>
    </row>
    <row r="202" spans="1:5" x14ac:dyDescent="0.25">
      <c r="B202">
        <f>B201/(2*PI())</f>
        <v>1273239.5447351628</v>
      </c>
      <c r="C202" t="s">
        <v>65</v>
      </c>
    </row>
    <row r="204" spans="1:5" x14ac:dyDescent="0.25">
      <c r="A204" t="s">
        <v>463</v>
      </c>
      <c r="B204">
        <f>IF(2*Fsw/(2*PI()*Dc_VIN_min*5)&lt;Fsw/10,2*Fsw/(2*PI()*Dc_VIN_min*5),Fsw/10)</f>
        <v>200000</v>
      </c>
      <c r="C204" t="s">
        <v>65</v>
      </c>
      <c r="E204" t="s">
        <v>569</v>
      </c>
    </row>
    <row r="205" spans="1:5" x14ac:dyDescent="0.25">
      <c r="B205" s="29">
        <f>fcross</f>
        <v>5500</v>
      </c>
      <c r="C205" t="s">
        <v>539</v>
      </c>
      <c r="E205" t="s">
        <v>570</v>
      </c>
    </row>
    <row r="206" spans="1:5" x14ac:dyDescent="0.25">
      <c r="A206" t="s">
        <v>261</v>
      </c>
      <c r="B206" s="51">
        <f>SQRT(B198*fcross)</f>
        <v>2047.0749348413592</v>
      </c>
      <c r="C206" t="s">
        <v>65</v>
      </c>
    </row>
    <row r="207" spans="1:5" x14ac:dyDescent="0.25">
      <c r="A207" t="s">
        <v>263</v>
      </c>
      <c r="B207" s="30">
        <f>Fsw/2</f>
        <v>1000000</v>
      </c>
      <c r="C207" t="s">
        <v>65</v>
      </c>
    </row>
    <row r="209" spans="1:5" x14ac:dyDescent="0.25">
      <c r="A209" t="s">
        <v>509</v>
      </c>
      <c r="B209" s="20">
        <f>10^(-Loop_Modeling!AQ7/20)</f>
        <v>8.9353339845285068E-2</v>
      </c>
    </row>
    <row r="210" spans="1:5" x14ac:dyDescent="0.25">
      <c r="A210" t="s">
        <v>507</v>
      </c>
      <c r="B210" s="20">
        <f>SQRT(1+((fcross/B207)^2))</f>
        <v>1.0000151248856188</v>
      </c>
    </row>
    <row r="211" spans="1:5" x14ac:dyDescent="0.25">
      <c r="A211" t="s">
        <v>508</v>
      </c>
      <c r="B211" s="20">
        <f>SQRT(1+(B206/fcross)^2)</f>
        <v>1.0670189537048906</v>
      </c>
    </row>
    <row r="214" spans="1:5" x14ac:dyDescent="0.25">
      <c r="A214" t="s">
        <v>466</v>
      </c>
      <c r="B214">
        <f>(B207*B209*Kfb)/((B207-B206)*gm_ea)*(B210/B211)</f>
        <v>5034.8486474009742</v>
      </c>
      <c r="C214" t="s">
        <v>469</v>
      </c>
      <c r="E214" t="s">
        <v>260</v>
      </c>
    </row>
    <row r="215" spans="1:5" x14ac:dyDescent="0.25">
      <c r="A215" t="s">
        <v>470</v>
      </c>
      <c r="B215">
        <f>1/(2*PI()*B206*RCOMP_CALC_DCM)</f>
        <v>1.544187281874238E-8</v>
      </c>
      <c r="C215" t="s">
        <v>162</v>
      </c>
      <c r="E215" t="s">
        <v>467</v>
      </c>
    </row>
    <row r="216" spans="1:5" x14ac:dyDescent="0.25">
      <c r="A216" t="s">
        <v>471</v>
      </c>
      <c r="B216">
        <f>((gm_ea)/(2*PI()*B207*Kfb))*(B211/B210)</f>
        <v>2.8303128727561271E-12</v>
      </c>
      <c r="C216" t="s">
        <v>162</v>
      </c>
      <c r="E216" t="s">
        <v>468</v>
      </c>
    </row>
    <row r="217" spans="1:5" ht="16.5" customHeight="1" x14ac:dyDescent="0.25"/>
    <row r="218" spans="1:5" ht="16.5" customHeight="1" x14ac:dyDescent="0.25">
      <c r="A218" s="152" t="s">
        <v>465</v>
      </c>
    </row>
    <row r="219" spans="1:5" x14ac:dyDescent="0.25">
      <c r="B219">
        <f>IF(B54=0,B204,B179)</f>
        <v>10610.32953945969</v>
      </c>
      <c r="C219" t="s">
        <v>65</v>
      </c>
      <c r="E219" t="s">
        <v>568</v>
      </c>
    </row>
    <row r="220" spans="1:5" x14ac:dyDescent="0.25">
      <c r="A220" t="s">
        <v>254</v>
      </c>
      <c r="B220" s="3">
        <f>'Design Converter'!H65*1000</f>
        <v>5500</v>
      </c>
      <c r="C220" t="s">
        <v>65</v>
      </c>
      <c r="E220" t="s">
        <v>255</v>
      </c>
    </row>
    <row r="222" spans="1:5" x14ac:dyDescent="0.25">
      <c r="A222" t="s">
        <v>259</v>
      </c>
      <c r="B222">
        <f>IF(B54=0,RCOMP_CALC_DCM,Rcomp_calc_CCM)</f>
        <v>28892.270693021255</v>
      </c>
    </row>
    <row r="223" spans="1:5" x14ac:dyDescent="0.25">
      <c r="A223" t="s">
        <v>180</v>
      </c>
      <c r="B223" s="3">
        <f>'Design Converter'!H68*1000</f>
        <v>35600</v>
      </c>
      <c r="C223" s="2" t="s">
        <v>36</v>
      </c>
      <c r="E223" t="s">
        <v>186</v>
      </c>
    </row>
    <row r="224" spans="1:5" x14ac:dyDescent="0.25">
      <c r="A224" t="s">
        <v>262</v>
      </c>
      <c r="B224">
        <f>IF(B54=0,CCOMP_CALC_DCM,CCOMP_calc_CCM)</f>
        <v>2.923519847475239E-9</v>
      </c>
    </row>
    <row r="225" spans="1:5" x14ac:dyDescent="0.25">
      <c r="A225" t="s">
        <v>184</v>
      </c>
      <c r="B225" s="3">
        <f>'Design Converter'!H69*(10^-9)</f>
        <v>3.3000000000000002E-9</v>
      </c>
      <c r="C225" t="s">
        <v>162</v>
      </c>
      <c r="E225" t="s">
        <v>187</v>
      </c>
    </row>
    <row r="226" spans="1:5" x14ac:dyDescent="0.25">
      <c r="A226" t="s">
        <v>475</v>
      </c>
      <c r="B226">
        <f>IF(B54=0,CHF_CALC_DCM,CHF_CALC_CCM)</f>
        <v>2.4113286220195804E-11</v>
      </c>
    </row>
    <row r="227" spans="1:5" x14ac:dyDescent="0.25">
      <c r="A227" t="s">
        <v>185</v>
      </c>
      <c r="B227" s="3">
        <f>'Design Converter'!H70*(10^-12)</f>
        <v>1E-10</v>
      </c>
      <c r="C227" t="s">
        <v>162</v>
      </c>
      <c r="E227" t="s">
        <v>188</v>
      </c>
    </row>
    <row r="229" spans="1:5" x14ac:dyDescent="0.25">
      <c r="A229" s="28" t="s">
        <v>320</v>
      </c>
    </row>
    <row r="230" spans="1:5" x14ac:dyDescent="0.25">
      <c r="A230" s="28" t="s">
        <v>338</v>
      </c>
    </row>
    <row r="231" spans="1:5" x14ac:dyDescent="0.25">
      <c r="A231" s="86" t="s">
        <v>392</v>
      </c>
      <c r="E231" t="s">
        <v>393</v>
      </c>
    </row>
    <row r="236" spans="1:5" x14ac:dyDescent="0.25">
      <c r="A236" s="28" t="s">
        <v>575</v>
      </c>
    </row>
    <row r="237" spans="1:5" ht="15.75" x14ac:dyDescent="0.3">
      <c r="A237" t="s">
        <v>347</v>
      </c>
      <c r="B237" s="3">
        <f>'Design Converter'!H75*(10^-3)</f>
        <v>8.8000000000000005E-3</v>
      </c>
      <c r="C237" s="2" t="s">
        <v>36</v>
      </c>
      <c r="E237" s="78" t="s">
        <v>327</v>
      </c>
    </row>
    <row r="238" spans="1:5" ht="15.75" x14ac:dyDescent="0.3">
      <c r="A238" t="s">
        <v>339</v>
      </c>
      <c r="B238" s="3">
        <f>'Design Converter'!H76*(10^-9)</f>
        <v>1E-8</v>
      </c>
      <c r="C238" t="s">
        <v>162</v>
      </c>
      <c r="E238" s="78" t="s">
        <v>328</v>
      </c>
    </row>
    <row r="239" spans="1:5" ht="15.75" x14ac:dyDescent="0.3">
      <c r="A239" t="s">
        <v>341</v>
      </c>
      <c r="B239" s="3">
        <f>'Design Converter'!H77*(10^-9)</f>
        <v>2.4E-9</v>
      </c>
      <c r="C239" t="s">
        <v>162</v>
      </c>
      <c r="E239" s="78" t="s">
        <v>329</v>
      </c>
    </row>
    <row r="240" spans="1:5" ht="15.75" x14ac:dyDescent="0.3">
      <c r="A240" t="s">
        <v>340</v>
      </c>
      <c r="B240" s="3">
        <f>'Design Converter'!H78*(10^-9)</f>
        <v>4.5000000000000006E-9</v>
      </c>
      <c r="C240" t="s">
        <v>162</v>
      </c>
      <c r="E240" s="78" t="s">
        <v>330</v>
      </c>
    </row>
    <row r="241" spans="1:8" ht="15.75" x14ac:dyDescent="0.3">
      <c r="A241" t="s">
        <v>342</v>
      </c>
      <c r="B241" s="3">
        <f>'Design Converter'!H79</f>
        <v>0</v>
      </c>
      <c r="C241" s="2" t="s">
        <v>36</v>
      </c>
      <c r="E241" s="78" t="s">
        <v>331</v>
      </c>
    </row>
    <row r="242" spans="1:8" x14ac:dyDescent="0.25">
      <c r="A242" t="s">
        <v>348</v>
      </c>
      <c r="B242" s="12">
        <v>5</v>
      </c>
      <c r="C242" s="2"/>
      <c r="E242" s="78" t="s">
        <v>349</v>
      </c>
      <c r="H242" t="s">
        <v>358</v>
      </c>
    </row>
    <row r="243" spans="1:8" ht="15.75" x14ac:dyDescent="0.3">
      <c r="A243" t="s">
        <v>343</v>
      </c>
      <c r="B243" s="187">
        <v>50</v>
      </c>
      <c r="C243" s="2" t="s">
        <v>337</v>
      </c>
      <c r="E243" s="78" t="s">
        <v>332</v>
      </c>
    </row>
    <row r="244" spans="1:8" ht="15.75" x14ac:dyDescent="0.3">
      <c r="A244" t="s">
        <v>344</v>
      </c>
      <c r="B244" s="3">
        <f>'Design Converter'!H80</f>
        <v>1.7</v>
      </c>
      <c r="C244" s="2" t="s">
        <v>10</v>
      </c>
      <c r="E244" s="78" t="s">
        <v>333</v>
      </c>
    </row>
    <row r="245" spans="1:8" x14ac:dyDescent="0.25">
      <c r="A245" t="s">
        <v>354</v>
      </c>
      <c r="B245" s="12">
        <f>Vcc</f>
        <v>5</v>
      </c>
      <c r="C245" s="2" t="s">
        <v>10</v>
      </c>
      <c r="E245" s="78" t="s">
        <v>359</v>
      </c>
    </row>
    <row r="246" spans="1:8" x14ac:dyDescent="0.25">
      <c r="C246" s="2"/>
      <c r="E246" s="78"/>
    </row>
    <row r="247" spans="1:8" x14ac:dyDescent="0.25">
      <c r="C247" s="2"/>
      <c r="E247" s="78"/>
    </row>
    <row r="248" spans="1:8" x14ac:dyDescent="0.25">
      <c r="A248" t="s">
        <v>350</v>
      </c>
      <c r="B248" s="25">
        <f>Vth+(((VOUT*IOUT)/VIN_min)/gfs)</f>
        <v>2.2999999999999998</v>
      </c>
      <c r="C248" s="2" t="s">
        <v>10</v>
      </c>
      <c r="E248" s="78" t="s">
        <v>351</v>
      </c>
    </row>
    <row r="249" spans="1:8" x14ac:dyDescent="0.25">
      <c r="A249" t="s">
        <v>360</v>
      </c>
      <c r="B249" s="1">
        <f>(Qgd+(Qgs/2))*((Rgate+B242)/(Vcc-B248))</f>
        <v>8.611111111111111E-9</v>
      </c>
      <c r="C249" s="2" t="s">
        <v>51</v>
      </c>
      <c r="E249" s="78" t="s">
        <v>352</v>
      </c>
    </row>
    <row r="250" spans="1:8" ht="15.75" thickBot="1" x14ac:dyDescent="0.3">
      <c r="A250" t="s">
        <v>361</v>
      </c>
      <c r="B250" s="1">
        <f>(Qgd+(Qgs/2))*((B242+Rgate)/B248)</f>
        <v>1.0108695652173915E-8</v>
      </c>
      <c r="C250" t="s">
        <v>51</v>
      </c>
      <c r="E250" s="79" t="s">
        <v>353</v>
      </c>
    </row>
    <row r="253" spans="1:8" x14ac:dyDescent="0.25">
      <c r="A253" s="28" t="s">
        <v>576</v>
      </c>
    </row>
    <row r="254" spans="1:8" ht="15.75" x14ac:dyDescent="0.3">
      <c r="A254" t="s">
        <v>347</v>
      </c>
      <c r="B254" s="3">
        <f>'Design Converter'!H83*(10^-3)</f>
        <v>8.8000000000000005E-3</v>
      </c>
      <c r="C254" s="2" t="s">
        <v>36</v>
      </c>
      <c r="E254" s="78" t="s">
        <v>327</v>
      </c>
    </row>
    <row r="255" spans="1:8" ht="15.75" x14ac:dyDescent="0.3">
      <c r="A255" t="s">
        <v>339</v>
      </c>
      <c r="B255" s="3">
        <f>'Design Converter'!H84*(10^-9)</f>
        <v>1E-8</v>
      </c>
      <c r="C255" t="s">
        <v>162</v>
      </c>
      <c r="E255" s="78" t="s">
        <v>328</v>
      </c>
    </row>
    <row r="256" spans="1:8" ht="15.75" x14ac:dyDescent="0.3">
      <c r="A256" t="s">
        <v>341</v>
      </c>
      <c r="B256" s="3">
        <f>'Design Converter'!H85*(10^-9)</f>
        <v>2.4E-9</v>
      </c>
      <c r="C256" t="s">
        <v>162</v>
      </c>
      <c r="E256" s="78" t="s">
        <v>329</v>
      </c>
    </row>
    <row r="257" spans="1:5" ht="15.75" x14ac:dyDescent="0.3">
      <c r="A257" t="s">
        <v>340</v>
      </c>
      <c r="B257" s="3">
        <f>'Design Converter'!H86*(10^-9)</f>
        <v>4.5000000000000006E-9</v>
      </c>
      <c r="C257" t="s">
        <v>162</v>
      </c>
      <c r="E257" s="78" t="s">
        <v>330</v>
      </c>
    </row>
    <row r="258" spans="1:5" ht="15.75" x14ac:dyDescent="0.3">
      <c r="A258" t="s">
        <v>342</v>
      </c>
      <c r="B258" s="3">
        <f>'Design Converter'!H87</f>
        <v>0</v>
      </c>
      <c r="C258" s="2" t="s">
        <v>36</v>
      </c>
      <c r="E258" s="78" t="s">
        <v>331</v>
      </c>
    </row>
    <row r="259" spans="1:5" x14ac:dyDescent="0.25">
      <c r="A259" t="s">
        <v>348</v>
      </c>
      <c r="B259" s="12">
        <v>5</v>
      </c>
      <c r="C259" s="2"/>
      <c r="E259" s="78" t="s">
        <v>349</v>
      </c>
    </row>
    <row r="260" spans="1:5" ht="15.75" x14ac:dyDescent="0.3">
      <c r="A260" t="s">
        <v>343</v>
      </c>
      <c r="B260" s="187">
        <v>50</v>
      </c>
      <c r="C260" s="2" t="s">
        <v>337</v>
      </c>
      <c r="E260" s="78" t="s">
        <v>332</v>
      </c>
    </row>
    <row r="261" spans="1:5" ht="15.75" x14ac:dyDescent="0.3">
      <c r="A261" t="s">
        <v>344</v>
      </c>
      <c r="B261" s="3">
        <f>'Design Converter'!H88</f>
        <v>1.7</v>
      </c>
      <c r="C261" s="2" t="s">
        <v>10</v>
      </c>
      <c r="E261" s="78" t="s">
        <v>333</v>
      </c>
    </row>
    <row r="262" spans="1:5" x14ac:dyDescent="0.25">
      <c r="A262" t="s">
        <v>354</v>
      </c>
      <c r="B262" s="12">
        <f>Vcc</f>
        <v>5</v>
      </c>
      <c r="C262" s="2" t="s">
        <v>10</v>
      </c>
      <c r="E262" s="78" t="s">
        <v>359</v>
      </c>
    </row>
    <row r="263" spans="1:5" x14ac:dyDescent="0.25">
      <c r="A263" t="s">
        <v>346</v>
      </c>
      <c r="B263" s="3">
        <f>'Design Converter'!H89*10^-9</f>
        <v>3.3000000000000004E-8</v>
      </c>
      <c r="C263" t="s">
        <v>345</v>
      </c>
      <c r="E263" t="s">
        <v>577</v>
      </c>
    </row>
    <row r="264" spans="1:5" x14ac:dyDescent="0.25">
      <c r="A264" t="s">
        <v>321</v>
      </c>
      <c r="B264" s="3">
        <f>'Design Converter'!H90</f>
        <v>0.8</v>
      </c>
      <c r="C264" t="s">
        <v>10</v>
      </c>
      <c r="E264" t="s">
        <v>578</v>
      </c>
    </row>
    <row r="265" spans="1:5" x14ac:dyDescent="0.25">
      <c r="C265" s="2"/>
      <c r="E265" s="78"/>
    </row>
    <row r="266" spans="1:5" x14ac:dyDescent="0.25">
      <c r="A266" t="s">
        <v>350</v>
      </c>
      <c r="B266" s="25">
        <f>Vth+(((VOUT*IOUT)/VIN_min)/B260)</f>
        <v>2.2999999999999998</v>
      </c>
      <c r="C266" s="2" t="s">
        <v>10</v>
      </c>
      <c r="E266" s="78" t="s">
        <v>351</v>
      </c>
    </row>
    <row r="267" spans="1:5" x14ac:dyDescent="0.25">
      <c r="A267" t="s">
        <v>360</v>
      </c>
      <c r="B267" s="1">
        <f>(B256+(B257/2))*((B258+B259)/(Vcc-B266))</f>
        <v>8.611111111111111E-9</v>
      </c>
      <c r="C267" s="2" t="s">
        <v>51</v>
      </c>
      <c r="E267" s="78" t="s">
        <v>352</v>
      </c>
    </row>
    <row r="268" spans="1:5" ht="15.75" thickBot="1" x14ac:dyDescent="0.3">
      <c r="A268" t="s">
        <v>361</v>
      </c>
      <c r="B268" s="1">
        <f>(Qgd+(Qgs/2))*((B259+Rgate)/B266)</f>
        <v>1.0108695652173915E-8</v>
      </c>
      <c r="C268" t="s">
        <v>51</v>
      </c>
      <c r="E268" s="79" t="s">
        <v>353</v>
      </c>
    </row>
  </sheetData>
  <mergeCells count="2">
    <mergeCell ref="A1:J1"/>
    <mergeCell ref="E5:H5"/>
  </mergeCells>
  <pageMargins left="0.7" right="0.7" top="0.75" bottom="0.75" header="0.3" footer="0.3"/>
  <pageSetup orientation="portrait" r:id="rId1"/>
  <ignoredErrors>
    <ignoredError sqref="B199 B201" formula="1"/>
  </ignoredErrors>
  <drawing r:id="rId2"/>
  <legacyDrawing r:id="rId3"/>
  <oleObjects>
    <mc:AlternateContent xmlns:mc="http://schemas.openxmlformats.org/markup-compatibility/2006">
      <mc:Choice Requires="x14">
        <oleObject progId="Mathcad" shapeId="2053" r:id="rId4">
          <objectPr defaultSize="0" autoPict="0" r:id="rId5">
            <anchor moveWithCells="1">
              <from>
                <xdr:col>8</xdr:col>
                <xdr:colOff>57150</xdr:colOff>
                <xdr:row>110</xdr:row>
                <xdr:rowOff>0</xdr:rowOff>
              </from>
              <to>
                <xdr:col>13</xdr:col>
                <xdr:colOff>19050</xdr:colOff>
                <xdr:row>112</xdr:row>
                <xdr:rowOff>28575</xdr:rowOff>
              </to>
            </anchor>
          </objectPr>
        </oleObject>
      </mc:Choice>
      <mc:Fallback>
        <oleObject progId="Mathcad" shapeId="2053" r:id="rId4"/>
      </mc:Fallback>
    </mc:AlternateContent>
  </oleObjec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AW157"/>
  <sheetViews>
    <sheetView topLeftCell="P1" zoomScaleNormal="100" workbookViewId="0">
      <pane ySplit="6" topLeftCell="A118" activePane="bottomLeft" state="frozen"/>
      <selection activeCell="R1" sqref="R1"/>
      <selection pane="bottomLeft" activeCell="AM101" sqref="AM101"/>
    </sheetView>
  </sheetViews>
  <sheetFormatPr defaultRowHeight="15" x14ac:dyDescent="0.25"/>
  <cols>
    <col min="10" max="10" width="10" bestFit="1" customWidth="1"/>
    <col min="18" max="18" width="8.85546875"/>
    <col min="21" max="21" width="8.85546875"/>
    <col min="24" max="24" width="8.85546875"/>
    <col min="25" max="25" width="12" bestFit="1" customWidth="1"/>
    <col min="28" max="28" width="8.85546875"/>
    <col min="30" max="30" width="8.85546875"/>
    <col min="35" max="35" width="8.85546875"/>
    <col min="39" max="39" width="11" bestFit="1" customWidth="1"/>
    <col min="40" max="40" width="11" customWidth="1"/>
    <col min="43" max="44" width="8.7109375"/>
    <col min="45" max="46" width="8.85546875"/>
  </cols>
  <sheetData>
    <row r="1" spans="1:49" ht="27.75" x14ac:dyDescent="0.4">
      <c r="A1" s="213" t="s">
        <v>15</v>
      </c>
      <c r="B1" s="213"/>
      <c r="C1" s="213"/>
      <c r="D1" s="213"/>
      <c r="E1" s="213"/>
      <c r="F1" s="213"/>
      <c r="G1" s="213"/>
      <c r="H1" s="213"/>
      <c r="I1" s="213"/>
      <c r="J1" s="213"/>
      <c r="K1" s="213"/>
      <c r="L1" s="213"/>
      <c r="M1" s="213"/>
    </row>
    <row r="4" spans="1:49" ht="15.75" thickBot="1" x14ac:dyDescent="0.3">
      <c r="R4" s="81"/>
      <c r="S4" s="81"/>
      <c r="T4" s="81"/>
      <c r="U4" s="81"/>
      <c r="V4" s="81"/>
      <c r="W4" s="81"/>
      <c r="X4" s="81"/>
      <c r="Y4" s="81"/>
      <c r="Z4" s="81"/>
      <c r="AA4" s="81"/>
      <c r="AB4" s="81"/>
      <c r="AC4" s="81"/>
      <c r="AD4" s="81"/>
      <c r="AE4" s="81"/>
      <c r="AF4" s="81"/>
      <c r="AG4" s="81"/>
      <c r="AH4" s="81"/>
      <c r="AI4" s="81"/>
      <c r="AJ4" s="81"/>
      <c r="AK4" s="81"/>
      <c r="AL4" s="81"/>
      <c r="AM4" s="81"/>
      <c r="AN4" s="81"/>
      <c r="AO4" s="81"/>
      <c r="AP4" s="81"/>
      <c r="AQ4" s="81"/>
      <c r="AR4" s="81"/>
      <c r="AS4" s="81"/>
      <c r="AT4" s="81"/>
      <c r="AU4" s="81"/>
      <c r="AV4" s="81"/>
      <c r="AW4" s="81"/>
    </row>
    <row r="5" spans="1:49" ht="30" x14ac:dyDescent="0.25">
      <c r="R5" s="219" t="s">
        <v>314</v>
      </c>
      <c r="S5" s="220"/>
      <c r="T5" s="220"/>
      <c r="U5" s="221"/>
      <c r="V5" s="219" t="s">
        <v>315</v>
      </c>
      <c r="W5" s="220"/>
      <c r="X5" s="221"/>
      <c r="Y5" s="219" t="s">
        <v>379</v>
      </c>
      <c r="Z5" s="220"/>
      <c r="AA5" s="220"/>
      <c r="AB5" s="220"/>
      <c r="AC5" s="220"/>
      <c r="AD5" s="221"/>
      <c r="AE5" s="219" t="s">
        <v>573</v>
      </c>
      <c r="AF5" s="220"/>
      <c r="AG5" s="220"/>
      <c r="AH5" s="220"/>
      <c r="AI5" s="221"/>
      <c r="AJ5" s="219" t="s">
        <v>574</v>
      </c>
      <c r="AK5" s="220"/>
      <c r="AL5" s="220"/>
      <c r="AM5" s="220"/>
      <c r="AN5" s="222"/>
      <c r="AO5" s="221"/>
      <c r="AP5" s="215" t="s">
        <v>376</v>
      </c>
      <c r="AQ5" s="216"/>
      <c r="AR5" s="216"/>
      <c r="AS5" s="217"/>
      <c r="AT5" s="218"/>
      <c r="AU5" s="83" t="s">
        <v>369</v>
      </c>
      <c r="AV5" s="84"/>
      <c r="AW5" s="85"/>
    </row>
    <row r="6" spans="1:49" ht="18" x14ac:dyDescent="0.35">
      <c r="R6" s="73" t="s">
        <v>31</v>
      </c>
      <c r="S6" s="71" t="s">
        <v>33</v>
      </c>
      <c r="T6" s="71" t="s">
        <v>270</v>
      </c>
      <c r="U6" s="74" t="s">
        <v>273</v>
      </c>
      <c r="V6" s="73" t="s">
        <v>271</v>
      </c>
      <c r="W6" s="71" t="s">
        <v>272</v>
      </c>
      <c r="X6" s="74" t="s">
        <v>319</v>
      </c>
      <c r="Y6" s="73" t="s">
        <v>316</v>
      </c>
      <c r="Z6" s="71" t="s">
        <v>318</v>
      </c>
      <c r="AA6" s="71" t="s">
        <v>317</v>
      </c>
      <c r="AB6" s="80" t="s">
        <v>323</v>
      </c>
      <c r="AC6" s="80" t="s">
        <v>324</v>
      </c>
      <c r="AD6" s="82" t="s">
        <v>367</v>
      </c>
      <c r="AE6" s="73" t="s">
        <v>362</v>
      </c>
      <c r="AF6" s="71" t="s">
        <v>363</v>
      </c>
      <c r="AG6" s="80" t="s">
        <v>365</v>
      </c>
      <c r="AH6" s="80" t="s">
        <v>364</v>
      </c>
      <c r="AI6" s="82" t="s">
        <v>366</v>
      </c>
      <c r="AJ6" s="73" t="s">
        <v>322</v>
      </c>
      <c r="AK6" s="71" t="s">
        <v>587</v>
      </c>
      <c r="AL6" s="71" t="s">
        <v>325</v>
      </c>
      <c r="AM6" s="71" t="s">
        <v>326</v>
      </c>
      <c r="AN6" s="188" t="s">
        <v>588</v>
      </c>
      <c r="AO6" s="74" t="s">
        <v>591</v>
      </c>
      <c r="AP6" s="73" t="s">
        <v>368</v>
      </c>
      <c r="AQ6" s="206" t="s">
        <v>324</v>
      </c>
      <c r="AR6" s="206" t="s">
        <v>593</v>
      </c>
      <c r="AS6" s="71" t="s">
        <v>371</v>
      </c>
      <c r="AT6" s="74" t="s">
        <v>372</v>
      </c>
      <c r="AU6" s="73" t="s">
        <v>370</v>
      </c>
      <c r="AV6" s="71" t="s">
        <v>378</v>
      </c>
      <c r="AW6" s="74" t="s">
        <v>377</v>
      </c>
    </row>
    <row r="7" spans="1:49" x14ac:dyDescent="0.25">
      <c r="Q7">
        <v>0</v>
      </c>
      <c r="R7" s="73">
        <f t="shared" ref="R7:R70" si="0">VOUT</f>
        <v>20</v>
      </c>
      <c r="S7" s="71">
        <f t="shared" ref="S7:S38" si="1">Q7*$O$12</f>
        <v>0</v>
      </c>
      <c r="T7" s="71">
        <f t="shared" ref="T7:T70" si="2">VIN_var</f>
        <v>12</v>
      </c>
      <c r="U7" s="74">
        <f t="shared" ref="U7:U38" si="3">(R7*S7)/(T7*EFF_est)</f>
        <v>0</v>
      </c>
      <c r="V7" s="73">
        <f>IF(Variable_Management!$B$20=3,2,IF((S7*R7/T7)&lt;((T7*(1-(T7/R7)))/(2*Lm*Fsw)),1,2))</f>
        <v>1</v>
      </c>
      <c r="W7" s="71">
        <f>CHOOSE(V7,SQRT((2*S7*Lm*Fsw*(R7-T7))/((T7)^2)),1-(T7/R7))</f>
        <v>0</v>
      </c>
      <c r="X7" s="74">
        <f t="shared" ref="X7:X38" si="4">CHOOSE(V7,(Lm*Z7*Fsw)/(R7-T7),1-W7)</f>
        <v>0</v>
      </c>
      <c r="Y7" s="73">
        <f t="shared" ref="Y7:Y38" si="5">(T7*W7)/(Lm*Fsw)</f>
        <v>0</v>
      </c>
      <c r="Z7" s="71">
        <f>CHOOSE(V7,Y7,U7+(0.5*Y7))</f>
        <v>0</v>
      </c>
      <c r="AA7" s="71">
        <f>CHOOSE(V7,Z7*SQRT((W7+X7)/3),SQRT((U7^2)+((Y7^2)/12)))</f>
        <v>0</v>
      </c>
      <c r="AB7" s="71">
        <v>0</v>
      </c>
      <c r="AC7" s="71">
        <f t="shared" ref="AC7:AC38" si="6">(AA7^2)*Rdcr</f>
        <v>0</v>
      </c>
      <c r="AD7" s="74">
        <f>AB7+AC7</f>
        <v>0</v>
      </c>
      <c r="AE7" s="73">
        <f>U7*W7</f>
        <v>0</v>
      </c>
      <c r="AF7" s="71">
        <f>CHOOSE(V7,Z7*SQRT(W7/3),SQRT(W7*((Z7^2)+((Y7^2)/3)-(Z7*Y7))))</f>
        <v>0</v>
      </c>
      <c r="AG7" s="71">
        <f t="shared" ref="AG7:AG38" si="7">(AF7^2)*RDS_on</f>
        <v>0</v>
      </c>
      <c r="AH7" s="71">
        <f>((R7*U7)/2)*Fsw*(tr_sw+tf_sw)</f>
        <v>0</v>
      </c>
      <c r="AI7" s="74">
        <f>AG7+AH7</f>
        <v>0</v>
      </c>
      <c r="AJ7" s="73">
        <f>X7*U7</f>
        <v>0</v>
      </c>
      <c r="AK7" s="71">
        <f>CHOOSE(V7,Z7*SQRT(X7/3),SQRT(X7*((Z7^2)+((Y7^2)/3)-(Y7*Z7))))</f>
        <v>0</v>
      </c>
      <c r="AL7" s="71">
        <f t="shared" ref="AL7:AL38" si="8">(AK7^2)*RDS_on_HS</f>
        <v>0</v>
      </c>
      <c r="AM7" s="71">
        <f>CHOOSE(V7,0,(R7+Vd_rect)*Qrr*Fsw)</f>
        <v>0</v>
      </c>
      <c r="AN7" s="188">
        <f>Vd_rect*t_dead*Fsw*Z7</f>
        <v>0</v>
      </c>
      <c r="AO7" s="74">
        <f>AL7+AM7+AN7</f>
        <v>0</v>
      </c>
      <c r="AP7" s="73">
        <f>(AA7^2)*R_cs</f>
        <v>0</v>
      </c>
      <c r="AQ7" s="206">
        <f t="shared" ref="AQ7:AQ38" si="9">Rdcr*AA7^2</f>
        <v>0</v>
      </c>
      <c r="AR7" s="206">
        <f t="shared" ref="AR7:AR38" si="10">ABS(7.759*10^-3*Fsw^0.9458*(0.00787*Y7)^2.304)</f>
        <v>0</v>
      </c>
      <c r="AS7" s="71">
        <f t="shared" ref="AS7:AS38" si="11">(Qg_tot+Qg_tot_HS)*Vcc*Fsw</f>
        <v>0.19999999999999998</v>
      </c>
      <c r="AT7" s="74">
        <f t="shared" ref="AT7:AT38" si="12">IQ*T7</f>
        <v>3.96E-5</v>
      </c>
      <c r="AU7" s="73">
        <f>AP7+AO7+AI7+AD7+AS7+AT7+AQ7+AR7</f>
        <v>0.20003959999999998</v>
      </c>
      <c r="AV7" s="71">
        <f>R7*S7</f>
        <v>0</v>
      </c>
      <c r="AW7" s="74">
        <f>(AV7/(AV7+AU7))*100</f>
        <v>0</v>
      </c>
    </row>
    <row r="8" spans="1:49" x14ac:dyDescent="0.25">
      <c r="M8">
        <f>Fsw</f>
        <v>2000000</v>
      </c>
      <c r="Q8">
        <v>1</v>
      </c>
      <c r="R8" s="73">
        <f t="shared" si="0"/>
        <v>20</v>
      </c>
      <c r="S8" s="71">
        <f t="shared" si="1"/>
        <v>0.1</v>
      </c>
      <c r="T8" s="71">
        <f t="shared" si="2"/>
        <v>12</v>
      </c>
      <c r="U8" s="74">
        <f t="shared" si="3"/>
        <v>0.16666666666666666</v>
      </c>
      <c r="V8" s="73">
        <f>IF(Variable_Management!$B$20=3,2,IF((S8*R8/T8)&lt;((T8*(1-(T8/R8)))/(2*Lm*Fsw)),1,2))</f>
        <v>1</v>
      </c>
      <c r="W8" s="71">
        <f t="shared" ref="W8:W38" si="13">CHOOSE(V8,SQRT((2*S8*Lm*Fsw*(R8-T8))/((T8)^2)),1-(T8/R8))</f>
        <v>0.14907119849998596</v>
      </c>
      <c r="X8" s="74">
        <f t="shared" si="4"/>
        <v>0.22360679774997894</v>
      </c>
      <c r="Y8" s="73">
        <f t="shared" si="5"/>
        <v>0.89442719099991574</v>
      </c>
      <c r="Z8" s="71">
        <f t="shared" ref="Z8:Z15" si="14">CHOOSE(V8,Y8,U8+(0.5*Y8))</f>
        <v>0.89442719099991574</v>
      </c>
      <c r="AA8" s="71">
        <f t="shared" ref="AA8:AA15" si="15">CHOOSE(V8,Z8*SQRT((W8+X8)/3),SQRT((U8^2)+((Y8^2)/12)))</f>
        <v>0.31524720300105857</v>
      </c>
      <c r="AB8" s="71">
        <v>0</v>
      </c>
      <c r="AC8" s="71">
        <f t="shared" si="6"/>
        <v>1.3714550261998708E-4</v>
      </c>
      <c r="AD8" s="74">
        <f t="shared" ref="AD8:AD71" si="16">AB8+AC8</f>
        <v>1.3714550261998708E-4</v>
      </c>
      <c r="AE8" s="73">
        <f>U8*W8</f>
        <v>2.484519974999766E-2</v>
      </c>
      <c r="AF8" s="71">
        <f t="shared" ref="AF8:AF71" si="17">CHOOSE(V8,Z8*SQRT(W8/3),SQRT(W8*((Z8^2)+((Y8^2)/3)-(Z8*Y8))))</f>
        <v>0.1993798374961627</v>
      </c>
      <c r="AG8" s="71">
        <f t="shared" si="7"/>
        <v>3.4982041247996699E-4</v>
      </c>
      <c r="AH8" s="71">
        <f t="shared" ref="AH8:AH38" si="18">((R8*U8)/2)*Fsw*(tr_sw+tf_sw)</f>
        <v>6.2399355877616747E-2</v>
      </c>
      <c r="AI8" s="74">
        <f t="shared" ref="AI8:AI71" si="19">AG8+AH8</f>
        <v>6.2749176290096714E-2</v>
      </c>
      <c r="AJ8" s="73">
        <f t="shared" ref="AJ8:AJ71" si="20">X8*U8</f>
        <v>3.7267799624996489E-2</v>
      </c>
      <c r="AK8" s="71">
        <f t="shared" ref="AK8:AK38" si="21">CHOOSE(V8,Z8*SQRT(X8/3),SQRT(X8*((Z8^2)+((Y8^2)/3)-(Y8*Z8))))</f>
        <v>0.24418943343231372</v>
      </c>
      <c r="AL8" s="71">
        <f t="shared" si="8"/>
        <v>5.2473061871995054E-4</v>
      </c>
      <c r="AM8" s="71">
        <f t="shared" ref="AM8:AM39" si="22">CHOOSE(V8,(R8+Vd_rect)*Qrr*Fsw,(R8+Vd_rect)*Qrr*Fsw)</f>
        <v>1.3728000000000002</v>
      </c>
      <c r="AN8" s="188">
        <f t="shared" ref="AN8:AN38" si="23">Vd_rect*t_dead*Fsw*Z8</f>
        <v>2.8621670111997306E-2</v>
      </c>
      <c r="AO8" s="74">
        <f t="shared" ref="AO8:AO71" si="24">AL8+AM8+AN8</f>
        <v>1.4019464007307174</v>
      </c>
      <c r="AP8" s="73">
        <f t="shared" ref="AP8:AP38" si="25">(AA8^2)*R_cs</f>
        <v>1.4907119849998595E-4</v>
      </c>
      <c r="AQ8" s="206">
        <f t="shared" si="9"/>
        <v>1.3714550261998708E-4</v>
      </c>
      <c r="AR8" s="206">
        <f t="shared" si="10"/>
        <v>7.7625671513701408E-2</v>
      </c>
      <c r="AS8" s="71">
        <f t="shared" si="11"/>
        <v>0.19999999999999998</v>
      </c>
      <c r="AT8" s="74">
        <f t="shared" si="12"/>
        <v>3.96E-5</v>
      </c>
      <c r="AU8" s="73">
        <f t="shared" ref="AU8:AU71" si="26">AP8+AO8+AI8+AD8+AS8+AT8+AQ8+AR8</f>
        <v>1.7427842107382554</v>
      </c>
      <c r="AV8" s="71">
        <f t="shared" ref="AV8:AV71" si="27">R8*S8</f>
        <v>2</v>
      </c>
      <c r="AW8" s="74">
        <f t="shared" ref="AW8:AW71" si="28">(AV8/(AV8+AU8))*100</f>
        <v>53.436155743681113</v>
      </c>
    </row>
    <row r="9" spans="1:49" x14ac:dyDescent="0.25">
      <c r="N9" s="71" t="s">
        <v>198</v>
      </c>
      <c r="O9" s="71">
        <f>VIN_var</f>
        <v>12</v>
      </c>
      <c r="P9" t="s">
        <v>10</v>
      </c>
      <c r="Q9">
        <v>2</v>
      </c>
      <c r="R9" s="73">
        <f t="shared" si="0"/>
        <v>20</v>
      </c>
      <c r="S9" s="71">
        <f t="shared" si="1"/>
        <v>0.2</v>
      </c>
      <c r="T9" s="71">
        <f t="shared" si="2"/>
        <v>12</v>
      </c>
      <c r="U9" s="74">
        <f t="shared" si="3"/>
        <v>0.33333333333333331</v>
      </c>
      <c r="V9" s="73">
        <f>IF(Variable_Management!$B$20=3,2,IF((S9*R9/T9)&lt;((T9*(1-(T9/R9)))/(2*Lm*Fsw)),1,2))</f>
        <v>1</v>
      </c>
      <c r="W9" s="71">
        <f t="shared" si="13"/>
        <v>0.21081851067789195</v>
      </c>
      <c r="X9" s="74">
        <f t="shared" si="4"/>
        <v>0.31622776601683794</v>
      </c>
      <c r="Y9" s="73">
        <f t="shared" si="5"/>
        <v>1.2649110640673518</v>
      </c>
      <c r="Z9" s="71">
        <f t="shared" si="14"/>
        <v>1.2649110640673518</v>
      </c>
      <c r="AA9" s="71">
        <f t="shared" si="15"/>
        <v>0.53018048584470046</v>
      </c>
      <c r="AB9" s="71">
        <v>0</v>
      </c>
      <c r="AC9" s="71">
        <f t="shared" si="6"/>
        <v>3.8790605964732119E-4</v>
      </c>
      <c r="AD9" s="74">
        <f t="shared" si="16"/>
        <v>3.8790605964732119E-4</v>
      </c>
      <c r="AE9" s="73">
        <f t="shared" ref="AE9:AE72" si="29">U9*W9</f>
        <v>7.0272836892630641E-2</v>
      </c>
      <c r="AF9" s="71">
        <f t="shared" si="17"/>
        <v>0.3353155812487828</v>
      </c>
      <c r="AG9" s="71">
        <f t="shared" si="7"/>
        <v>9.8944154344823973E-4</v>
      </c>
      <c r="AH9" s="71">
        <f t="shared" si="18"/>
        <v>0.12479871175523349</v>
      </c>
      <c r="AI9" s="74">
        <f t="shared" si="19"/>
        <v>0.12578815329868173</v>
      </c>
      <c r="AJ9" s="73">
        <f t="shared" si="20"/>
        <v>0.10540925533894598</v>
      </c>
      <c r="AK9" s="71">
        <f t="shared" si="21"/>
        <v>0.4106760384321364</v>
      </c>
      <c r="AL9" s="71">
        <f t="shared" si="8"/>
        <v>1.4841623151723596E-3</v>
      </c>
      <c r="AM9" s="71">
        <f t="shared" si="22"/>
        <v>1.3728000000000002</v>
      </c>
      <c r="AN9" s="188">
        <f t="shared" si="23"/>
        <v>4.0477154050155256E-2</v>
      </c>
      <c r="AO9" s="74">
        <f t="shared" si="24"/>
        <v>1.4147613163653279</v>
      </c>
      <c r="AP9" s="73">
        <f t="shared" si="25"/>
        <v>4.2163702135578394E-4</v>
      </c>
      <c r="AQ9" s="206">
        <f t="shared" si="9"/>
        <v>3.8790605964732119E-4</v>
      </c>
      <c r="AR9" s="206">
        <f t="shared" si="10"/>
        <v>0.17250112237317342</v>
      </c>
      <c r="AS9" s="71">
        <f t="shared" si="11"/>
        <v>0.19999999999999998</v>
      </c>
      <c r="AT9" s="74">
        <f t="shared" si="12"/>
        <v>3.96E-5</v>
      </c>
      <c r="AU9" s="73">
        <f t="shared" si="26"/>
        <v>1.9142876411778333</v>
      </c>
      <c r="AV9" s="71">
        <f t="shared" si="27"/>
        <v>4</v>
      </c>
      <c r="AW9" s="74">
        <f t="shared" si="28"/>
        <v>67.632828206566529</v>
      </c>
    </row>
    <row r="10" spans="1:49" x14ac:dyDescent="0.25">
      <c r="N10" s="71"/>
      <c r="O10" s="71"/>
      <c r="Q10">
        <v>3</v>
      </c>
      <c r="R10" s="73">
        <f t="shared" si="0"/>
        <v>20</v>
      </c>
      <c r="S10" s="71">
        <f t="shared" si="1"/>
        <v>0.30000000000000004</v>
      </c>
      <c r="T10" s="71">
        <f t="shared" si="2"/>
        <v>12</v>
      </c>
      <c r="U10" s="74">
        <f t="shared" si="3"/>
        <v>0.50000000000000011</v>
      </c>
      <c r="V10" s="73">
        <f>IF(Variable_Management!$B$20=3,2,IF((S10*R10/T10)&lt;((T10*(1-(T10/R10)))/(2*Lm*Fsw)),1,2))</f>
        <v>1</v>
      </c>
      <c r="W10" s="71">
        <f t="shared" si="13"/>
        <v>0.25819888974716115</v>
      </c>
      <c r="X10" s="74">
        <f t="shared" si="4"/>
        <v>0.38729833462074165</v>
      </c>
      <c r="Y10" s="73">
        <f t="shared" si="5"/>
        <v>1.5491933384829668</v>
      </c>
      <c r="Z10" s="71">
        <f t="shared" si="14"/>
        <v>1.5491933384829668</v>
      </c>
      <c r="AA10" s="71">
        <f t="shared" si="15"/>
        <v>0.71860822392616841</v>
      </c>
      <c r="AB10" s="71">
        <v>0</v>
      </c>
      <c r="AC10" s="71">
        <f t="shared" si="6"/>
        <v>7.126289357021646E-4</v>
      </c>
      <c r="AD10" s="74">
        <f t="shared" si="16"/>
        <v>7.126289357021646E-4</v>
      </c>
      <c r="AE10" s="73">
        <f t="shared" si="29"/>
        <v>0.1290994448735806</v>
      </c>
      <c r="AF10" s="71">
        <f t="shared" si="17"/>
        <v>0.45448774658699981</v>
      </c>
      <c r="AG10" s="71">
        <f t="shared" si="7"/>
        <v>1.8177201838200149E-3</v>
      </c>
      <c r="AH10" s="71">
        <f t="shared" si="18"/>
        <v>0.1871980676328503</v>
      </c>
      <c r="AI10" s="74">
        <f t="shared" si="19"/>
        <v>0.18901578781667031</v>
      </c>
      <c r="AJ10" s="73">
        <f t="shared" si="20"/>
        <v>0.19364916731037088</v>
      </c>
      <c r="AK10" s="71">
        <f t="shared" si="21"/>
        <v>0.55663153674274812</v>
      </c>
      <c r="AL10" s="71">
        <f t="shared" si="8"/>
        <v>2.7265802757300219E-3</v>
      </c>
      <c r="AM10" s="71">
        <f t="shared" si="22"/>
        <v>1.3728000000000002</v>
      </c>
      <c r="AN10" s="188">
        <f t="shared" si="23"/>
        <v>4.9574186831454939E-2</v>
      </c>
      <c r="AO10" s="74">
        <f t="shared" si="24"/>
        <v>1.4251007671071851</v>
      </c>
      <c r="AP10" s="73">
        <f t="shared" si="25"/>
        <v>7.7459666924148331E-4</v>
      </c>
      <c r="AQ10" s="206">
        <f t="shared" si="9"/>
        <v>7.126289357021646E-4</v>
      </c>
      <c r="AR10" s="206">
        <f t="shared" si="10"/>
        <v>0.27520039668534835</v>
      </c>
      <c r="AS10" s="71">
        <f t="shared" si="11"/>
        <v>0.19999999999999998</v>
      </c>
      <c r="AT10" s="74">
        <f t="shared" si="12"/>
        <v>3.96E-5</v>
      </c>
      <c r="AU10" s="73">
        <f t="shared" si="26"/>
        <v>2.0915564061498495</v>
      </c>
      <c r="AV10" s="71">
        <f t="shared" si="27"/>
        <v>6.0000000000000009</v>
      </c>
      <c r="AW10" s="74">
        <f t="shared" si="28"/>
        <v>74.151370871490215</v>
      </c>
    </row>
    <row r="11" spans="1:49" x14ac:dyDescent="0.25">
      <c r="N11" s="71" t="s">
        <v>268</v>
      </c>
      <c r="O11" s="71">
        <v>150</v>
      </c>
      <c r="Q11">
        <v>4</v>
      </c>
      <c r="R11" s="73">
        <f t="shared" si="0"/>
        <v>20</v>
      </c>
      <c r="S11" s="71">
        <f t="shared" si="1"/>
        <v>0.4</v>
      </c>
      <c r="T11" s="71">
        <f t="shared" si="2"/>
        <v>12</v>
      </c>
      <c r="U11" s="74">
        <f t="shared" si="3"/>
        <v>0.66666666666666663</v>
      </c>
      <c r="V11" s="73">
        <f>IF(Variable_Management!$B$20=3,2,IF((S11*R11/T11)&lt;((T11*(1-(T11/R11)))/(2*Lm*Fsw)),1,2))</f>
        <v>1</v>
      </c>
      <c r="W11" s="71">
        <f t="shared" si="13"/>
        <v>0.29814239699997191</v>
      </c>
      <c r="X11" s="74">
        <f t="shared" si="4"/>
        <v>0.44721359549995787</v>
      </c>
      <c r="Y11" s="73">
        <f t="shared" si="5"/>
        <v>1.7888543819998315</v>
      </c>
      <c r="Z11" s="71">
        <f t="shared" si="14"/>
        <v>1.7888543819998315</v>
      </c>
      <c r="AA11" s="71">
        <f t="shared" si="15"/>
        <v>0.89165373996856245</v>
      </c>
      <c r="AB11" s="71">
        <v>0</v>
      </c>
      <c r="AC11" s="71">
        <f t="shared" si="6"/>
        <v>1.0971640209598962E-3</v>
      </c>
      <c r="AD11" s="74">
        <f t="shared" si="16"/>
        <v>1.0971640209598962E-3</v>
      </c>
      <c r="AE11" s="73">
        <f t="shared" si="29"/>
        <v>0.19876159799998128</v>
      </c>
      <c r="AF11" s="71">
        <f t="shared" si="17"/>
        <v>0.56393134050163407</v>
      </c>
      <c r="AG11" s="71">
        <f t="shared" si="7"/>
        <v>2.7985632998397355E-3</v>
      </c>
      <c r="AH11" s="71">
        <f t="shared" si="18"/>
        <v>0.24959742351046699</v>
      </c>
      <c r="AI11" s="74">
        <f t="shared" si="19"/>
        <v>0.25239598681030673</v>
      </c>
      <c r="AJ11" s="73">
        <f t="shared" si="20"/>
        <v>0.29814239699997191</v>
      </c>
      <c r="AK11" s="71">
        <f t="shared" si="21"/>
        <v>0.69067201709636017</v>
      </c>
      <c r="AL11" s="71">
        <f t="shared" si="8"/>
        <v>4.1978449497596026E-3</v>
      </c>
      <c r="AM11" s="71">
        <f t="shared" si="22"/>
        <v>1.3728000000000002</v>
      </c>
      <c r="AN11" s="188">
        <f t="shared" si="23"/>
        <v>5.7243340223994611E-2</v>
      </c>
      <c r="AO11" s="74">
        <f t="shared" si="24"/>
        <v>1.4342411851737544</v>
      </c>
      <c r="AP11" s="73">
        <f t="shared" si="25"/>
        <v>1.1925695879998872E-3</v>
      </c>
      <c r="AQ11" s="206">
        <f t="shared" si="9"/>
        <v>1.0971640209598962E-3</v>
      </c>
      <c r="AR11" s="206">
        <f t="shared" si="10"/>
        <v>0.38333500554326694</v>
      </c>
      <c r="AS11" s="71">
        <f t="shared" si="11"/>
        <v>0.19999999999999998</v>
      </c>
      <c r="AT11" s="74">
        <f t="shared" si="12"/>
        <v>3.96E-5</v>
      </c>
      <c r="AU11" s="73">
        <f t="shared" si="26"/>
        <v>2.2733986751572477</v>
      </c>
      <c r="AV11" s="71">
        <f t="shared" si="27"/>
        <v>8</v>
      </c>
      <c r="AW11" s="74">
        <f t="shared" si="28"/>
        <v>77.871016719572111</v>
      </c>
    </row>
    <row r="12" spans="1:49" x14ac:dyDescent="0.25">
      <c r="N12" s="71" t="s">
        <v>269</v>
      </c>
      <c r="O12" s="71">
        <f>IOUT/(O11)</f>
        <v>0.1</v>
      </c>
      <c r="Q12">
        <v>5</v>
      </c>
      <c r="R12" s="73">
        <f t="shared" si="0"/>
        <v>20</v>
      </c>
      <c r="S12" s="71">
        <f t="shared" si="1"/>
        <v>0.5</v>
      </c>
      <c r="T12" s="71">
        <f t="shared" si="2"/>
        <v>12</v>
      </c>
      <c r="U12" s="74">
        <f t="shared" si="3"/>
        <v>0.83333333333333337</v>
      </c>
      <c r="V12" s="73">
        <f>IF(Variable_Management!$B$20=3,2,IF((S12*R12/T12)&lt;((T12*(1-(T12/R12)))/(2*Lm*Fsw)),1,2))</f>
        <v>1</v>
      </c>
      <c r="W12" s="71">
        <f t="shared" si="13"/>
        <v>0.33333333333333331</v>
      </c>
      <c r="X12" s="74">
        <f t="shared" si="4"/>
        <v>0.5</v>
      </c>
      <c r="Y12" s="73">
        <f t="shared" si="5"/>
        <v>2</v>
      </c>
      <c r="Z12" s="71">
        <f t="shared" si="14"/>
        <v>2</v>
      </c>
      <c r="AA12" s="71">
        <f t="shared" si="15"/>
        <v>1.0540925533894596</v>
      </c>
      <c r="AB12" s="71">
        <v>0</v>
      </c>
      <c r="AC12" s="71">
        <f t="shared" si="6"/>
        <v>1.5333333333333327E-3</v>
      </c>
      <c r="AD12" s="74">
        <f t="shared" si="16"/>
        <v>1.5333333333333327E-3</v>
      </c>
      <c r="AE12" s="73">
        <f t="shared" si="29"/>
        <v>0.27777777777777779</v>
      </c>
      <c r="AF12" s="71">
        <f t="shared" si="17"/>
        <v>0.66666666666666663</v>
      </c>
      <c r="AG12" s="71">
        <f t="shared" si="7"/>
        <v>3.9111111111111109E-3</v>
      </c>
      <c r="AH12" s="71">
        <f t="shared" si="18"/>
        <v>0.31199677938808379</v>
      </c>
      <c r="AI12" s="74">
        <f t="shared" si="19"/>
        <v>0.31590789049919488</v>
      </c>
      <c r="AJ12" s="73">
        <f t="shared" si="20"/>
        <v>0.41666666666666669</v>
      </c>
      <c r="AK12" s="71">
        <f t="shared" si="21"/>
        <v>0.81649658092772603</v>
      </c>
      <c r="AL12" s="71">
        <f t="shared" si="8"/>
        <v>5.8666666666666667E-3</v>
      </c>
      <c r="AM12" s="71">
        <f t="shared" si="22"/>
        <v>1.3728000000000002</v>
      </c>
      <c r="AN12" s="188">
        <f t="shared" si="23"/>
        <v>6.4000000000000001E-2</v>
      </c>
      <c r="AO12" s="74">
        <f t="shared" si="24"/>
        <v>1.442666666666667</v>
      </c>
      <c r="AP12" s="73">
        <f t="shared" si="25"/>
        <v>1.6666666666666661E-3</v>
      </c>
      <c r="AQ12" s="206">
        <f t="shared" si="9"/>
        <v>1.5333333333333327E-3</v>
      </c>
      <c r="AR12" s="206">
        <f t="shared" si="10"/>
        <v>0.49569988155442973</v>
      </c>
      <c r="AS12" s="71">
        <f t="shared" si="11"/>
        <v>0.19999999999999998</v>
      </c>
      <c r="AT12" s="74">
        <f t="shared" si="12"/>
        <v>3.96E-5</v>
      </c>
      <c r="AU12" s="73">
        <f t="shared" si="26"/>
        <v>2.4590473720536252</v>
      </c>
      <c r="AV12" s="71">
        <f t="shared" si="27"/>
        <v>10</v>
      </c>
      <c r="AW12" s="74">
        <f t="shared" si="28"/>
        <v>80.262958325614747</v>
      </c>
    </row>
    <row r="13" spans="1:49" x14ac:dyDescent="0.25">
      <c r="Q13">
        <v>6</v>
      </c>
      <c r="R13" s="73">
        <f t="shared" si="0"/>
        <v>20</v>
      </c>
      <c r="S13" s="71">
        <f t="shared" si="1"/>
        <v>0.60000000000000009</v>
      </c>
      <c r="T13" s="71">
        <f t="shared" si="2"/>
        <v>12</v>
      </c>
      <c r="U13" s="74">
        <f t="shared" si="3"/>
        <v>1.0000000000000002</v>
      </c>
      <c r="V13" s="73">
        <f>IF(Variable_Management!$B$20=3,2,IF((S13*R13/T13)&lt;((T13*(1-(T13/R13)))/(2*Lm*Fsw)),1,2))</f>
        <v>1</v>
      </c>
      <c r="W13" s="71">
        <f t="shared" si="13"/>
        <v>0.36514837167011077</v>
      </c>
      <c r="X13" s="74">
        <f t="shared" si="4"/>
        <v>0.54772255750516619</v>
      </c>
      <c r="Y13" s="73">
        <f t="shared" si="5"/>
        <v>2.1908902300206647</v>
      </c>
      <c r="Z13" s="71">
        <f t="shared" si="14"/>
        <v>2.1908902300206647</v>
      </c>
      <c r="AA13" s="71">
        <f t="shared" si="15"/>
        <v>1.2085501589427075</v>
      </c>
      <c r="AB13" s="71">
        <v>0</v>
      </c>
      <c r="AC13" s="71">
        <f t="shared" si="6"/>
        <v>2.0156190116190119E-3</v>
      </c>
      <c r="AD13" s="74">
        <f t="shared" si="16"/>
        <v>2.0156190116190119E-3</v>
      </c>
      <c r="AE13" s="73">
        <f t="shared" si="29"/>
        <v>0.36514837167011083</v>
      </c>
      <c r="AF13" s="71">
        <f t="shared" si="17"/>
        <v>0.76435423376349354</v>
      </c>
      <c r="AG13" s="71">
        <f t="shared" si="7"/>
        <v>5.14128907311516E-3</v>
      </c>
      <c r="AH13" s="71">
        <f t="shared" si="18"/>
        <v>0.37439613526570059</v>
      </c>
      <c r="AI13" s="74">
        <f t="shared" si="19"/>
        <v>0.37953742433881577</v>
      </c>
      <c r="AJ13" s="73">
        <f t="shared" si="20"/>
        <v>0.5477225575051663</v>
      </c>
      <c r="AK13" s="71">
        <f t="shared" si="21"/>
        <v>0.93613892772828655</v>
      </c>
      <c r="AL13" s="71">
        <f t="shared" si="8"/>
        <v>7.7119336096727427E-3</v>
      </c>
      <c r="AM13" s="71">
        <f t="shared" si="22"/>
        <v>1.3728000000000002</v>
      </c>
      <c r="AN13" s="188">
        <f t="shared" si="23"/>
        <v>7.0108487360661276E-2</v>
      </c>
      <c r="AO13" s="74">
        <f t="shared" si="24"/>
        <v>1.4506204209703342</v>
      </c>
      <c r="AP13" s="73">
        <f t="shared" si="25"/>
        <v>2.1908902300206653E-3</v>
      </c>
      <c r="AQ13" s="206">
        <f t="shared" si="9"/>
        <v>2.0156190116190119E-3</v>
      </c>
      <c r="AR13" s="206">
        <f t="shared" si="10"/>
        <v>0.61155512577286975</v>
      </c>
      <c r="AS13" s="71">
        <f t="shared" si="11"/>
        <v>0.19999999999999998</v>
      </c>
      <c r="AT13" s="74">
        <f t="shared" si="12"/>
        <v>3.96E-5</v>
      </c>
      <c r="AU13" s="73">
        <f t="shared" si="26"/>
        <v>2.6479746993352782</v>
      </c>
      <c r="AV13" s="71">
        <f t="shared" si="27"/>
        <v>12.000000000000002</v>
      </c>
      <c r="AW13" s="74">
        <f t="shared" si="28"/>
        <v>81.922588250678501</v>
      </c>
    </row>
    <row r="14" spans="1:49" x14ac:dyDescent="0.25">
      <c r="Q14">
        <v>7</v>
      </c>
      <c r="R14" s="73">
        <f t="shared" si="0"/>
        <v>20</v>
      </c>
      <c r="S14" s="71">
        <f t="shared" si="1"/>
        <v>0.70000000000000007</v>
      </c>
      <c r="T14" s="71">
        <f t="shared" si="2"/>
        <v>12</v>
      </c>
      <c r="U14" s="74">
        <f t="shared" si="3"/>
        <v>1.1666666666666667</v>
      </c>
      <c r="V14" s="73">
        <f>IF(Variable_Management!$B$20=3,2,IF((S14*R14/T14)&lt;((T14*(1-(T14/R14)))/(2*Lm*Fsw)),1,2))</f>
        <v>1</v>
      </c>
      <c r="W14" s="71">
        <f t="shared" si="13"/>
        <v>0.39440531887330776</v>
      </c>
      <c r="X14" s="74">
        <f t="shared" si="4"/>
        <v>0.5916079783099617</v>
      </c>
      <c r="Y14" s="73">
        <f t="shared" si="5"/>
        <v>2.3664319132398468</v>
      </c>
      <c r="Z14" s="71">
        <f t="shared" si="14"/>
        <v>2.3664319132398468</v>
      </c>
      <c r="AA14" s="71">
        <f t="shared" si="15"/>
        <v>1.356671719592512</v>
      </c>
      <c r="AB14" s="71">
        <v>0</v>
      </c>
      <c r="AC14" s="71">
        <f t="shared" si="6"/>
        <v>2.5399702535441027E-3</v>
      </c>
      <c r="AD14" s="74">
        <f t="shared" si="16"/>
        <v>2.5399702535441027E-3</v>
      </c>
      <c r="AE14" s="73">
        <f t="shared" si="29"/>
        <v>0.46013953868552576</v>
      </c>
      <c r="AF14" s="71">
        <f t="shared" si="17"/>
        <v>0.85803453420992404</v>
      </c>
      <c r="AG14" s="71">
        <f t="shared" si="7"/>
        <v>6.4787647046922036E-3</v>
      </c>
      <c r="AH14" s="71">
        <f t="shared" si="18"/>
        <v>0.43679549114331728</v>
      </c>
      <c r="AI14" s="74">
        <f t="shared" si="19"/>
        <v>0.4432742558480095</v>
      </c>
      <c r="AJ14" s="73">
        <f t="shared" si="20"/>
        <v>0.69020930802828873</v>
      </c>
      <c r="AK14" s="71">
        <f t="shared" si="21"/>
        <v>1.0508733952504756</v>
      </c>
      <c r="AL14" s="71">
        <f t="shared" si="8"/>
        <v>9.7181470570383097E-3</v>
      </c>
      <c r="AM14" s="71">
        <f t="shared" si="22"/>
        <v>1.3728000000000002</v>
      </c>
      <c r="AN14" s="188">
        <f t="shared" si="23"/>
        <v>7.5725821223675105E-2</v>
      </c>
      <c r="AO14" s="74">
        <f t="shared" si="24"/>
        <v>1.4582439682807136</v>
      </c>
      <c r="AP14" s="73">
        <f t="shared" si="25"/>
        <v>2.7608372321131554E-3</v>
      </c>
      <c r="AQ14" s="206">
        <f t="shared" si="9"/>
        <v>2.5399702535441027E-3</v>
      </c>
      <c r="AR14" s="206">
        <f t="shared" si="10"/>
        <v>0.7303958757257305</v>
      </c>
      <c r="AS14" s="71">
        <f t="shared" si="11"/>
        <v>0.19999999999999998</v>
      </c>
      <c r="AT14" s="74">
        <f t="shared" si="12"/>
        <v>3.96E-5</v>
      </c>
      <c r="AU14" s="73">
        <f t="shared" si="26"/>
        <v>2.8397944775936548</v>
      </c>
      <c r="AV14" s="71">
        <f t="shared" si="27"/>
        <v>14.000000000000002</v>
      </c>
      <c r="AW14" s="74">
        <f t="shared" si="28"/>
        <v>83.136406555482793</v>
      </c>
    </row>
    <row r="15" spans="1:49" x14ac:dyDescent="0.25">
      <c r="O15">
        <f>0.205*2.5/(Lm*Fsw)</f>
        <v>0.25624999999999998</v>
      </c>
      <c r="Q15">
        <v>8</v>
      </c>
      <c r="R15" s="73">
        <f t="shared" si="0"/>
        <v>20</v>
      </c>
      <c r="S15" s="71">
        <f t="shared" si="1"/>
        <v>0.8</v>
      </c>
      <c r="T15" s="71">
        <f t="shared" si="2"/>
        <v>12</v>
      </c>
      <c r="U15" s="74">
        <f t="shared" si="3"/>
        <v>1.3333333333333333</v>
      </c>
      <c r="V15" s="73">
        <f>IF(Variable_Management!$B$20=3,2,IF((S15*R15/T15)&lt;((T15*(1-(T15/R15)))/(2*Lm*Fsw)),1,2))</f>
        <v>2</v>
      </c>
      <c r="W15" s="71">
        <f t="shared" si="13"/>
        <v>0.4</v>
      </c>
      <c r="X15" s="74">
        <f t="shared" si="4"/>
        <v>0.6</v>
      </c>
      <c r="Y15" s="73">
        <f t="shared" si="5"/>
        <v>2.4000000000000004</v>
      </c>
      <c r="Z15" s="71">
        <f t="shared" si="14"/>
        <v>2.5333333333333332</v>
      </c>
      <c r="AA15" s="71">
        <f t="shared" si="15"/>
        <v>1.5025903559446192</v>
      </c>
      <c r="AB15" s="71">
        <v>0</v>
      </c>
      <c r="AC15" s="71">
        <f t="shared" si="6"/>
        <v>3.1157333333333326E-3</v>
      </c>
      <c r="AD15" s="74">
        <f t="shared" si="16"/>
        <v>3.1157333333333326E-3</v>
      </c>
      <c r="AE15" s="73">
        <f t="shared" si="29"/>
        <v>0.53333333333333333</v>
      </c>
      <c r="AF15" s="71">
        <f t="shared" si="17"/>
        <v>0.95032158299762426</v>
      </c>
      <c r="AG15" s="71">
        <f t="shared" si="7"/>
        <v>7.947377777777773E-3</v>
      </c>
      <c r="AH15" s="71">
        <f t="shared" si="18"/>
        <v>0.49919484702093397</v>
      </c>
      <c r="AI15" s="74">
        <f t="shared" si="19"/>
        <v>0.50714222479871174</v>
      </c>
      <c r="AJ15" s="73">
        <f t="shared" si="20"/>
        <v>0.79999999999999993</v>
      </c>
      <c r="AK15" s="71">
        <f t="shared" si="21"/>
        <v>1.1639014849490767</v>
      </c>
      <c r="AL15" s="71">
        <f t="shared" si="8"/>
        <v>1.1921066666666662E-2</v>
      </c>
      <c r="AM15" s="71">
        <f t="shared" si="22"/>
        <v>1.3728000000000002</v>
      </c>
      <c r="AN15" s="188">
        <f t="shared" si="23"/>
        <v>8.1066666666666662E-2</v>
      </c>
      <c r="AO15" s="74">
        <f t="shared" si="24"/>
        <v>1.4657877333333336</v>
      </c>
      <c r="AP15" s="73">
        <f t="shared" si="25"/>
        <v>3.3866666666666659E-3</v>
      </c>
      <c r="AQ15" s="206">
        <f t="shared" si="9"/>
        <v>3.1157333333333326E-3</v>
      </c>
      <c r="AR15" s="206">
        <f t="shared" si="10"/>
        <v>0.7544881202841347</v>
      </c>
      <c r="AS15" s="71">
        <f t="shared" si="11"/>
        <v>0.19999999999999998</v>
      </c>
      <c r="AT15" s="74">
        <f t="shared" si="12"/>
        <v>3.96E-5</v>
      </c>
      <c r="AU15" s="73">
        <f t="shared" si="26"/>
        <v>2.9370758117495139</v>
      </c>
      <c r="AV15" s="71">
        <f t="shared" si="27"/>
        <v>16</v>
      </c>
      <c r="AW15" s="74">
        <f t="shared" si="28"/>
        <v>84.490341376110422</v>
      </c>
    </row>
    <row r="16" spans="1:49" x14ac:dyDescent="0.25">
      <c r="Q16">
        <v>9</v>
      </c>
      <c r="R16" s="73">
        <f t="shared" si="0"/>
        <v>20</v>
      </c>
      <c r="S16" s="71">
        <f t="shared" si="1"/>
        <v>0.9</v>
      </c>
      <c r="T16" s="71">
        <f t="shared" si="2"/>
        <v>12</v>
      </c>
      <c r="U16" s="74">
        <f t="shared" si="3"/>
        <v>1.5</v>
      </c>
      <c r="V16" s="73">
        <f>IF(Variable_Management!$B$20=3,2,IF((S16*R16/T16)&lt;((T16*(1-(T16/R16)))/(2*Lm*Fsw)),1,2))</f>
        <v>2</v>
      </c>
      <c r="W16" s="71">
        <f t="shared" si="13"/>
        <v>0.4</v>
      </c>
      <c r="X16" s="74">
        <f t="shared" si="4"/>
        <v>0.6</v>
      </c>
      <c r="Y16" s="73">
        <f t="shared" si="5"/>
        <v>2.4000000000000004</v>
      </c>
      <c r="Z16" s="71">
        <f t="shared" ref="Z16:Z79" si="30">CHOOSE(V16,Y16,U16+(0.5*Y16))</f>
        <v>2.7</v>
      </c>
      <c r="AA16" s="71">
        <f t="shared" ref="AA16:AA79" si="31">CHOOSE(V16,Z16*SQRT((W16+X16)/3),SQRT((U16^2)+((Y16^2)/12)))</f>
        <v>1.6522711641858305</v>
      </c>
      <c r="AB16" s="71">
        <v>0</v>
      </c>
      <c r="AC16" s="71">
        <f t="shared" si="6"/>
        <v>3.7673999999999993E-3</v>
      </c>
      <c r="AD16" s="74">
        <f t="shared" si="16"/>
        <v>3.7673999999999993E-3</v>
      </c>
      <c r="AE16" s="73">
        <f t="shared" si="29"/>
        <v>0.60000000000000009</v>
      </c>
      <c r="AF16" s="71">
        <f t="shared" si="17"/>
        <v>1.0449880382090504</v>
      </c>
      <c r="AG16" s="71">
        <f t="shared" si="7"/>
        <v>9.6095999999999994E-3</v>
      </c>
      <c r="AH16" s="71">
        <f t="shared" si="18"/>
        <v>0.56159420289855078</v>
      </c>
      <c r="AI16" s="74">
        <f t="shared" si="19"/>
        <v>0.57120380289855077</v>
      </c>
      <c r="AJ16" s="73">
        <f t="shared" si="20"/>
        <v>0.89999999999999991</v>
      </c>
      <c r="AK16" s="71">
        <f t="shared" si="21"/>
        <v>1.2798437404620924</v>
      </c>
      <c r="AL16" s="71">
        <f t="shared" si="8"/>
        <v>1.4414399999999997E-2</v>
      </c>
      <c r="AM16" s="71">
        <f t="shared" si="22"/>
        <v>1.3728000000000002</v>
      </c>
      <c r="AN16" s="188">
        <f t="shared" si="23"/>
        <v>8.6400000000000005E-2</v>
      </c>
      <c r="AO16" s="74">
        <f t="shared" si="24"/>
        <v>1.4736144000000002</v>
      </c>
      <c r="AP16" s="73">
        <f t="shared" si="25"/>
        <v>4.0949999999999997E-3</v>
      </c>
      <c r="AQ16" s="206">
        <f t="shared" si="9"/>
        <v>3.7673999999999993E-3</v>
      </c>
      <c r="AR16" s="206">
        <f t="shared" si="10"/>
        <v>0.7544881202841347</v>
      </c>
      <c r="AS16" s="71">
        <f t="shared" si="11"/>
        <v>0.19999999999999998</v>
      </c>
      <c r="AT16" s="74">
        <f t="shared" si="12"/>
        <v>3.96E-5</v>
      </c>
      <c r="AU16" s="73">
        <f t="shared" si="26"/>
        <v>3.0109757231826864</v>
      </c>
      <c r="AV16" s="71">
        <f t="shared" si="27"/>
        <v>18</v>
      </c>
      <c r="AW16" s="74">
        <f t="shared" si="28"/>
        <v>85.669510246206741</v>
      </c>
    </row>
    <row r="17" spans="17:49" x14ac:dyDescent="0.25">
      <c r="Q17">
        <v>10</v>
      </c>
      <c r="R17" s="73">
        <f t="shared" si="0"/>
        <v>20</v>
      </c>
      <c r="S17" s="71">
        <f t="shared" si="1"/>
        <v>1</v>
      </c>
      <c r="T17" s="71">
        <f t="shared" si="2"/>
        <v>12</v>
      </c>
      <c r="U17" s="74">
        <f t="shared" si="3"/>
        <v>1.6666666666666667</v>
      </c>
      <c r="V17" s="73">
        <f>IF(Variable_Management!$B$20=3,2,IF((S17*R17/T17)&lt;((T17*(1-(T17/R17)))/(2*Lm*Fsw)),1,2))</f>
        <v>2</v>
      </c>
      <c r="W17" s="71">
        <f t="shared" si="13"/>
        <v>0.4</v>
      </c>
      <c r="X17" s="74">
        <f t="shared" si="4"/>
        <v>0.6</v>
      </c>
      <c r="Y17" s="73">
        <f t="shared" si="5"/>
        <v>2.4000000000000004</v>
      </c>
      <c r="Z17" s="71">
        <f t="shared" si="30"/>
        <v>2.8666666666666671</v>
      </c>
      <c r="AA17" s="71">
        <f t="shared" si="31"/>
        <v>1.8049315160907846</v>
      </c>
      <c r="AB17" s="71">
        <v>0</v>
      </c>
      <c r="AC17" s="71">
        <f t="shared" si="6"/>
        <v>4.4957333333333332E-3</v>
      </c>
      <c r="AD17" s="74">
        <f t="shared" si="16"/>
        <v>4.4957333333333332E-3</v>
      </c>
      <c r="AE17" s="73">
        <f t="shared" si="29"/>
        <v>0.66666666666666674</v>
      </c>
      <c r="AF17" s="71">
        <f t="shared" si="17"/>
        <v>1.1415389222935461</v>
      </c>
      <c r="AG17" s="71">
        <f t="shared" si="7"/>
        <v>1.1467377777777777E-2</v>
      </c>
      <c r="AH17" s="71">
        <f t="shared" si="18"/>
        <v>0.62399355877616758</v>
      </c>
      <c r="AI17" s="74">
        <f t="shared" si="19"/>
        <v>0.63546093655394531</v>
      </c>
      <c r="AJ17" s="73">
        <f t="shared" si="20"/>
        <v>1</v>
      </c>
      <c r="AK17" s="71">
        <f t="shared" si="21"/>
        <v>1.3980939405729025</v>
      </c>
      <c r="AL17" s="71">
        <f t="shared" si="8"/>
        <v>1.7201066666666667E-2</v>
      </c>
      <c r="AM17" s="71">
        <f t="shared" si="22"/>
        <v>1.3728000000000002</v>
      </c>
      <c r="AN17" s="188">
        <f t="shared" si="23"/>
        <v>9.1733333333333347E-2</v>
      </c>
      <c r="AO17" s="74">
        <f t="shared" si="24"/>
        <v>1.4817344000000003</v>
      </c>
      <c r="AP17" s="73">
        <f t="shared" si="25"/>
        <v>4.8866666666666676E-3</v>
      </c>
      <c r="AQ17" s="206">
        <f t="shared" si="9"/>
        <v>4.4957333333333332E-3</v>
      </c>
      <c r="AR17" s="206">
        <f t="shared" si="10"/>
        <v>0.7544881202841347</v>
      </c>
      <c r="AS17" s="71">
        <f t="shared" si="11"/>
        <v>0.19999999999999998</v>
      </c>
      <c r="AT17" s="74">
        <f t="shared" si="12"/>
        <v>3.96E-5</v>
      </c>
      <c r="AU17" s="73">
        <f t="shared" si="26"/>
        <v>3.0856011901714142</v>
      </c>
      <c r="AV17" s="71">
        <f t="shared" si="27"/>
        <v>20</v>
      </c>
      <c r="AW17" s="74">
        <f t="shared" si="28"/>
        <v>86.63408778158616</v>
      </c>
    </row>
    <row r="18" spans="17:49" x14ac:dyDescent="0.25">
      <c r="Q18">
        <v>11</v>
      </c>
      <c r="R18" s="73">
        <f t="shared" si="0"/>
        <v>20</v>
      </c>
      <c r="S18" s="71">
        <f t="shared" si="1"/>
        <v>1.1000000000000001</v>
      </c>
      <c r="T18" s="71">
        <f t="shared" si="2"/>
        <v>12</v>
      </c>
      <c r="U18" s="74">
        <f t="shared" si="3"/>
        <v>1.8333333333333333</v>
      </c>
      <c r="V18" s="73">
        <f>IF(Variable_Management!$B$20=3,2,IF((S18*R18/T18)&lt;((T18*(1-(T18/R18)))/(2*Lm*Fsw)),1,2))</f>
        <v>2</v>
      </c>
      <c r="W18" s="71">
        <f t="shared" si="13"/>
        <v>0.4</v>
      </c>
      <c r="X18" s="74">
        <f t="shared" si="4"/>
        <v>0.6</v>
      </c>
      <c r="Y18" s="73">
        <f t="shared" si="5"/>
        <v>2.4000000000000004</v>
      </c>
      <c r="Z18" s="71">
        <f t="shared" si="30"/>
        <v>3.0333333333333332</v>
      </c>
      <c r="AA18" s="71">
        <f t="shared" si="31"/>
        <v>1.9598752794785466</v>
      </c>
      <c r="AB18" s="71">
        <v>0</v>
      </c>
      <c r="AC18" s="71">
        <f t="shared" si="6"/>
        <v>5.3007333333333333E-3</v>
      </c>
      <c r="AD18" s="74">
        <f t="shared" si="16"/>
        <v>5.3007333333333333E-3</v>
      </c>
      <c r="AE18" s="73">
        <f t="shared" si="29"/>
        <v>0.73333333333333339</v>
      </c>
      <c r="AF18" s="71">
        <f t="shared" si="17"/>
        <v>1.239533962602253</v>
      </c>
      <c r="AG18" s="71">
        <f t="shared" si="7"/>
        <v>1.3520711111111104E-2</v>
      </c>
      <c r="AH18" s="71">
        <f t="shared" si="18"/>
        <v>0.68639291465378427</v>
      </c>
      <c r="AI18" s="74">
        <f t="shared" si="19"/>
        <v>0.69991362576489535</v>
      </c>
      <c r="AJ18" s="73">
        <f t="shared" si="20"/>
        <v>1.0999999999999999</v>
      </c>
      <c r="AK18" s="71">
        <f t="shared" si="21"/>
        <v>1.5181128636128032</v>
      </c>
      <c r="AL18" s="71">
        <f t="shared" si="8"/>
        <v>2.0281066666666656E-2</v>
      </c>
      <c r="AM18" s="71">
        <f t="shared" si="22"/>
        <v>1.3728000000000002</v>
      </c>
      <c r="AN18" s="188">
        <f t="shared" si="23"/>
        <v>9.7066666666666662E-2</v>
      </c>
      <c r="AO18" s="74">
        <f t="shared" si="24"/>
        <v>1.4901477333333335</v>
      </c>
      <c r="AP18" s="73">
        <f t="shared" si="25"/>
        <v>5.7616666666666667E-3</v>
      </c>
      <c r="AQ18" s="206">
        <f t="shared" si="9"/>
        <v>5.3007333333333333E-3</v>
      </c>
      <c r="AR18" s="206">
        <f t="shared" si="10"/>
        <v>0.7544881202841347</v>
      </c>
      <c r="AS18" s="71">
        <f t="shared" si="11"/>
        <v>0.19999999999999998</v>
      </c>
      <c r="AT18" s="74">
        <f t="shared" si="12"/>
        <v>3.96E-5</v>
      </c>
      <c r="AU18" s="73">
        <f t="shared" si="26"/>
        <v>3.1609522127156966</v>
      </c>
      <c r="AV18" s="71">
        <f t="shared" si="27"/>
        <v>22</v>
      </c>
      <c r="AW18" s="74">
        <f t="shared" si="28"/>
        <v>87.437072389024166</v>
      </c>
    </row>
    <row r="19" spans="17:49" x14ac:dyDescent="0.25">
      <c r="Q19">
        <v>12</v>
      </c>
      <c r="R19" s="73">
        <f t="shared" si="0"/>
        <v>20</v>
      </c>
      <c r="S19" s="71">
        <f t="shared" si="1"/>
        <v>1.2000000000000002</v>
      </c>
      <c r="T19" s="71">
        <f t="shared" si="2"/>
        <v>12</v>
      </c>
      <c r="U19" s="74">
        <f t="shared" si="3"/>
        <v>2.0000000000000004</v>
      </c>
      <c r="V19" s="73">
        <f>IF(Variable_Management!$B$20=3,2,IF((S19*R19/T19)&lt;((T19*(1-(T19/R19)))/(2*Lm*Fsw)),1,2))</f>
        <v>2</v>
      </c>
      <c r="W19" s="71">
        <f t="shared" si="13"/>
        <v>0.4</v>
      </c>
      <c r="X19" s="74">
        <f t="shared" si="4"/>
        <v>0.6</v>
      </c>
      <c r="Y19" s="73">
        <f t="shared" si="5"/>
        <v>2.4000000000000004</v>
      </c>
      <c r="Z19" s="71">
        <f t="shared" si="30"/>
        <v>3.2000000000000006</v>
      </c>
      <c r="AA19" s="71">
        <f t="shared" si="31"/>
        <v>2.1166010488516731</v>
      </c>
      <c r="AB19" s="71">
        <v>0</v>
      </c>
      <c r="AC19" s="71">
        <f t="shared" si="6"/>
        <v>6.1824000000000037E-3</v>
      </c>
      <c r="AD19" s="74">
        <f t="shared" si="16"/>
        <v>6.1824000000000037E-3</v>
      </c>
      <c r="AE19" s="73">
        <f t="shared" si="29"/>
        <v>0.80000000000000027</v>
      </c>
      <c r="AF19" s="71">
        <f t="shared" si="17"/>
        <v>1.3386560424545211</v>
      </c>
      <c r="AG19" s="71">
        <f t="shared" si="7"/>
        <v>1.5769600000000005E-2</v>
      </c>
      <c r="AH19" s="71">
        <f t="shared" si="18"/>
        <v>0.74879227053140118</v>
      </c>
      <c r="AI19" s="74">
        <f t="shared" si="19"/>
        <v>0.76456187053140123</v>
      </c>
      <c r="AJ19" s="73">
        <f t="shared" si="20"/>
        <v>1.2000000000000002</v>
      </c>
      <c r="AK19" s="71">
        <f t="shared" si="21"/>
        <v>1.6395121225535358</v>
      </c>
      <c r="AL19" s="71">
        <f t="shared" si="8"/>
        <v>2.3654400000000003E-2</v>
      </c>
      <c r="AM19" s="71">
        <f t="shared" si="22"/>
        <v>1.3728000000000002</v>
      </c>
      <c r="AN19" s="188">
        <f t="shared" si="23"/>
        <v>0.10240000000000002</v>
      </c>
      <c r="AO19" s="74">
        <f t="shared" si="24"/>
        <v>1.4988544000000004</v>
      </c>
      <c r="AP19" s="73">
        <f t="shared" si="25"/>
        <v>6.7200000000000046E-3</v>
      </c>
      <c r="AQ19" s="206">
        <f t="shared" si="9"/>
        <v>6.1824000000000037E-3</v>
      </c>
      <c r="AR19" s="206">
        <f t="shared" si="10"/>
        <v>0.7544881202841347</v>
      </c>
      <c r="AS19" s="71">
        <f t="shared" si="11"/>
        <v>0.19999999999999998</v>
      </c>
      <c r="AT19" s="74">
        <f t="shared" si="12"/>
        <v>3.96E-5</v>
      </c>
      <c r="AU19" s="73">
        <f t="shared" si="26"/>
        <v>3.2370287908155371</v>
      </c>
      <c r="AV19" s="71">
        <f t="shared" si="27"/>
        <v>24.000000000000004</v>
      </c>
      <c r="AW19" s="74">
        <f t="shared" si="28"/>
        <v>88.115338072752351</v>
      </c>
    </row>
    <row r="20" spans="17:49" x14ac:dyDescent="0.25">
      <c r="Q20">
        <v>13</v>
      </c>
      <c r="R20" s="73">
        <f t="shared" si="0"/>
        <v>20</v>
      </c>
      <c r="S20" s="71">
        <f t="shared" si="1"/>
        <v>1.3</v>
      </c>
      <c r="T20" s="71">
        <f t="shared" si="2"/>
        <v>12</v>
      </c>
      <c r="U20" s="74">
        <f t="shared" si="3"/>
        <v>2.1666666666666665</v>
      </c>
      <c r="V20" s="73">
        <f>IF(Variable_Management!$B$20=3,2,IF((S20*R20/T20)&lt;((T20*(1-(T20/R20)))/(2*Lm*Fsw)),1,2))</f>
        <v>2</v>
      </c>
      <c r="W20" s="71">
        <f t="shared" si="13"/>
        <v>0.4</v>
      </c>
      <c r="X20" s="74">
        <f t="shared" si="4"/>
        <v>0.6</v>
      </c>
      <c r="Y20" s="73">
        <f t="shared" si="5"/>
        <v>2.4000000000000004</v>
      </c>
      <c r="Z20" s="71">
        <f t="shared" si="30"/>
        <v>3.3666666666666667</v>
      </c>
      <c r="AA20" s="71">
        <f t="shared" si="31"/>
        <v>2.2747405224430421</v>
      </c>
      <c r="AB20" s="71">
        <v>0</v>
      </c>
      <c r="AC20" s="71">
        <f t="shared" si="6"/>
        <v>7.140733333333333E-3</v>
      </c>
      <c r="AD20" s="74">
        <f t="shared" si="16"/>
        <v>7.140733333333333E-3</v>
      </c>
      <c r="AE20" s="73">
        <f t="shared" si="29"/>
        <v>0.8666666666666667</v>
      </c>
      <c r="AF20" s="71">
        <f t="shared" si="17"/>
        <v>1.4386722273602759</v>
      </c>
      <c r="AG20" s="71">
        <f t="shared" si="7"/>
        <v>1.8214044444444442E-2</v>
      </c>
      <c r="AH20" s="71">
        <f t="shared" si="18"/>
        <v>0.81119162640901765</v>
      </c>
      <c r="AI20" s="74">
        <f t="shared" si="19"/>
        <v>0.82940567085346206</v>
      </c>
      <c r="AJ20" s="73">
        <f t="shared" si="20"/>
        <v>1.2999999999999998</v>
      </c>
      <c r="AK20" s="71">
        <f t="shared" si="21"/>
        <v>1.762006432073012</v>
      </c>
      <c r="AL20" s="71">
        <f t="shared" si="8"/>
        <v>2.7321066666666661E-2</v>
      </c>
      <c r="AM20" s="71">
        <f t="shared" si="22"/>
        <v>1.3728000000000002</v>
      </c>
      <c r="AN20" s="188">
        <f t="shared" si="23"/>
        <v>0.10773333333333333</v>
      </c>
      <c r="AO20" s="74">
        <f t="shared" si="24"/>
        <v>1.5078544</v>
      </c>
      <c r="AP20" s="73">
        <f t="shared" si="25"/>
        <v>7.7616666666666667E-3</v>
      </c>
      <c r="AQ20" s="206">
        <f t="shared" si="9"/>
        <v>7.140733333333333E-3</v>
      </c>
      <c r="AR20" s="206">
        <f t="shared" si="10"/>
        <v>0.7544881202841347</v>
      </c>
      <c r="AS20" s="71">
        <f t="shared" si="11"/>
        <v>0.19999999999999998</v>
      </c>
      <c r="AT20" s="74">
        <f t="shared" si="12"/>
        <v>3.96E-5</v>
      </c>
      <c r="AU20" s="73">
        <f t="shared" si="26"/>
        <v>3.3138309244709303</v>
      </c>
      <c r="AV20" s="71">
        <f t="shared" si="27"/>
        <v>26</v>
      </c>
      <c r="AW20" s="74">
        <f t="shared" si="28"/>
        <v>88.695333158571998</v>
      </c>
    </row>
    <row r="21" spans="17:49" x14ac:dyDescent="0.25">
      <c r="Q21">
        <v>14</v>
      </c>
      <c r="R21" s="73">
        <f t="shared" si="0"/>
        <v>20</v>
      </c>
      <c r="S21" s="71">
        <f t="shared" si="1"/>
        <v>1.4000000000000001</v>
      </c>
      <c r="T21" s="71">
        <f t="shared" si="2"/>
        <v>12</v>
      </c>
      <c r="U21" s="74">
        <f t="shared" si="3"/>
        <v>2.3333333333333335</v>
      </c>
      <c r="V21" s="73">
        <f>IF(Variable_Management!$B$20=3,2,IF((S21*R21/T21)&lt;((T21*(1-(T21/R21)))/(2*Lm*Fsw)),1,2))</f>
        <v>2</v>
      </c>
      <c r="W21" s="71">
        <f t="shared" si="13"/>
        <v>0.4</v>
      </c>
      <c r="X21" s="74">
        <f t="shared" si="4"/>
        <v>0.6</v>
      </c>
      <c r="Y21" s="73">
        <f t="shared" si="5"/>
        <v>2.4000000000000004</v>
      </c>
      <c r="Z21" s="71">
        <f t="shared" si="30"/>
        <v>3.5333333333333337</v>
      </c>
      <c r="AA21" s="71">
        <f t="shared" si="31"/>
        <v>2.4340181684704914</v>
      </c>
      <c r="AB21" s="71">
        <v>0</v>
      </c>
      <c r="AC21" s="71">
        <f t="shared" si="6"/>
        <v>8.1757333333333342E-3</v>
      </c>
      <c r="AD21" s="74">
        <f t="shared" si="16"/>
        <v>8.1757333333333342E-3</v>
      </c>
      <c r="AE21" s="73">
        <f t="shared" si="29"/>
        <v>0.93333333333333346</v>
      </c>
      <c r="AF21" s="71">
        <f t="shared" si="17"/>
        <v>1.539408255719638</v>
      </c>
      <c r="AG21" s="71">
        <f t="shared" si="7"/>
        <v>2.0854044444444452E-2</v>
      </c>
      <c r="AH21" s="71">
        <f t="shared" si="18"/>
        <v>0.87359098228663457</v>
      </c>
      <c r="AI21" s="74">
        <f t="shared" si="19"/>
        <v>0.89444502673107906</v>
      </c>
      <c r="AJ21" s="73">
        <f t="shared" si="20"/>
        <v>1.4000000000000001</v>
      </c>
      <c r="AK21" s="71">
        <f t="shared" si="21"/>
        <v>1.8853823661704983</v>
      </c>
      <c r="AL21" s="71">
        <f t="shared" si="8"/>
        <v>3.128106666666667E-2</v>
      </c>
      <c r="AM21" s="71">
        <f t="shared" si="22"/>
        <v>1.3728000000000002</v>
      </c>
      <c r="AN21" s="188">
        <f t="shared" si="23"/>
        <v>0.11306666666666668</v>
      </c>
      <c r="AO21" s="74">
        <f t="shared" si="24"/>
        <v>1.5171477333333336</v>
      </c>
      <c r="AP21" s="73">
        <f t="shared" si="25"/>
        <v>8.8866666666666677E-3</v>
      </c>
      <c r="AQ21" s="206">
        <f t="shared" si="9"/>
        <v>8.1757333333333342E-3</v>
      </c>
      <c r="AR21" s="206">
        <f t="shared" si="10"/>
        <v>0.7544881202841347</v>
      </c>
      <c r="AS21" s="71">
        <f t="shared" si="11"/>
        <v>0.19999999999999998</v>
      </c>
      <c r="AT21" s="74">
        <f t="shared" si="12"/>
        <v>3.96E-5</v>
      </c>
      <c r="AU21" s="73">
        <f t="shared" si="26"/>
        <v>3.3913586136818807</v>
      </c>
      <c r="AV21" s="71">
        <f t="shared" si="27"/>
        <v>28.000000000000004</v>
      </c>
      <c r="AW21" s="74">
        <f t="shared" si="28"/>
        <v>89.196521707079725</v>
      </c>
    </row>
    <row r="22" spans="17:49" x14ac:dyDescent="0.25">
      <c r="Q22">
        <v>15</v>
      </c>
      <c r="R22" s="73">
        <f t="shared" si="0"/>
        <v>20</v>
      </c>
      <c r="S22" s="71">
        <f t="shared" si="1"/>
        <v>1.5</v>
      </c>
      <c r="T22" s="71">
        <f t="shared" si="2"/>
        <v>12</v>
      </c>
      <c r="U22" s="74">
        <f t="shared" si="3"/>
        <v>2.5</v>
      </c>
      <c r="V22" s="73">
        <f>IF(Variable_Management!$B$20=3,2,IF((S22*R22/T22)&lt;((T22*(1-(T22/R22)))/(2*Lm*Fsw)),1,2))</f>
        <v>2</v>
      </c>
      <c r="W22" s="71">
        <f t="shared" si="13"/>
        <v>0.4</v>
      </c>
      <c r="X22" s="74">
        <f t="shared" si="4"/>
        <v>0.6</v>
      </c>
      <c r="Y22" s="73">
        <f t="shared" si="5"/>
        <v>2.4000000000000004</v>
      </c>
      <c r="Z22" s="71">
        <f t="shared" si="30"/>
        <v>3.7</v>
      </c>
      <c r="AA22" s="71">
        <f t="shared" si="31"/>
        <v>2.5942243542145698</v>
      </c>
      <c r="AB22" s="71">
        <v>0</v>
      </c>
      <c r="AC22" s="71">
        <f t="shared" si="6"/>
        <v>9.2874000000000012E-3</v>
      </c>
      <c r="AD22" s="74">
        <f t="shared" si="16"/>
        <v>9.2874000000000012E-3</v>
      </c>
      <c r="AE22" s="73">
        <f t="shared" si="29"/>
        <v>1</v>
      </c>
      <c r="AF22" s="71">
        <f t="shared" si="17"/>
        <v>1.6407315441594947</v>
      </c>
      <c r="AG22" s="71">
        <f t="shared" si="7"/>
        <v>2.3689600000000002E-2</v>
      </c>
      <c r="AH22" s="71">
        <f t="shared" si="18"/>
        <v>0.93599033816425126</v>
      </c>
      <c r="AI22" s="74">
        <f t="shared" si="19"/>
        <v>0.95967993816425123</v>
      </c>
      <c r="AJ22" s="73">
        <f t="shared" si="20"/>
        <v>1.5</v>
      </c>
      <c r="AK22" s="71">
        <f t="shared" si="21"/>
        <v>2.0094775440397434</v>
      </c>
      <c r="AL22" s="71">
        <f t="shared" si="8"/>
        <v>3.5534399999999994E-2</v>
      </c>
      <c r="AM22" s="71">
        <f t="shared" si="22"/>
        <v>1.3728000000000002</v>
      </c>
      <c r="AN22" s="188">
        <f t="shared" si="23"/>
        <v>0.11840000000000001</v>
      </c>
      <c r="AO22" s="74">
        <f t="shared" si="24"/>
        <v>1.5267344000000003</v>
      </c>
      <c r="AP22" s="73">
        <f t="shared" si="25"/>
        <v>1.0095000000000002E-2</v>
      </c>
      <c r="AQ22" s="206">
        <f t="shared" si="9"/>
        <v>9.2874000000000012E-3</v>
      </c>
      <c r="AR22" s="206">
        <f t="shared" si="10"/>
        <v>0.7544881202841347</v>
      </c>
      <c r="AS22" s="71">
        <f t="shared" si="11"/>
        <v>0.19999999999999998</v>
      </c>
      <c r="AT22" s="74">
        <f t="shared" si="12"/>
        <v>3.96E-5</v>
      </c>
      <c r="AU22" s="73">
        <f t="shared" si="26"/>
        <v>3.4696118584483857</v>
      </c>
      <c r="AV22" s="71">
        <f t="shared" si="27"/>
        <v>30</v>
      </c>
      <c r="AW22" s="74">
        <f t="shared" si="28"/>
        <v>89.633546175789931</v>
      </c>
    </row>
    <row r="23" spans="17:49" x14ac:dyDescent="0.25">
      <c r="Q23">
        <v>16</v>
      </c>
      <c r="R23" s="73">
        <f t="shared" si="0"/>
        <v>20</v>
      </c>
      <c r="S23" s="71">
        <f t="shared" si="1"/>
        <v>1.6</v>
      </c>
      <c r="T23" s="71">
        <f t="shared" si="2"/>
        <v>12</v>
      </c>
      <c r="U23" s="74">
        <f t="shared" si="3"/>
        <v>2.6666666666666665</v>
      </c>
      <c r="V23" s="73">
        <f>IF(Variable_Management!$B$20=3,2,IF((S23*R23/T23)&lt;((T23*(1-(T23/R23)))/(2*Lm*Fsw)),1,2))</f>
        <v>2</v>
      </c>
      <c r="W23" s="71">
        <f t="shared" si="13"/>
        <v>0.4</v>
      </c>
      <c r="X23" s="74">
        <f t="shared" si="4"/>
        <v>0.6</v>
      </c>
      <c r="Y23" s="73">
        <f t="shared" si="5"/>
        <v>2.4000000000000004</v>
      </c>
      <c r="Z23" s="71">
        <f t="shared" si="30"/>
        <v>3.8666666666666667</v>
      </c>
      <c r="AA23" s="71">
        <f t="shared" si="31"/>
        <v>2.7551971093029102</v>
      </c>
      <c r="AB23" s="71">
        <v>0</v>
      </c>
      <c r="AC23" s="71">
        <f t="shared" si="6"/>
        <v>1.0475733333333334E-2</v>
      </c>
      <c r="AD23" s="74">
        <f t="shared" si="16"/>
        <v>1.0475733333333334E-2</v>
      </c>
      <c r="AE23" s="73">
        <f t="shared" si="29"/>
        <v>1.0666666666666667</v>
      </c>
      <c r="AF23" s="71">
        <f t="shared" si="17"/>
        <v>1.7425396536218178</v>
      </c>
      <c r="AG23" s="71">
        <f t="shared" si="7"/>
        <v>2.6720711111111115E-2</v>
      </c>
      <c r="AH23" s="71">
        <f t="shared" si="18"/>
        <v>0.99838969404186795</v>
      </c>
      <c r="AI23" s="74">
        <f t="shared" si="19"/>
        <v>1.0251104051529791</v>
      </c>
      <c r="AJ23" s="73">
        <f t="shared" si="20"/>
        <v>1.5999999999999999</v>
      </c>
      <c r="AK23" s="71">
        <f t="shared" si="21"/>
        <v>2.1341665039697975</v>
      </c>
      <c r="AL23" s="71">
        <f t="shared" si="8"/>
        <v>4.0081066666666679E-2</v>
      </c>
      <c r="AM23" s="71">
        <f t="shared" si="22"/>
        <v>1.3728000000000002</v>
      </c>
      <c r="AN23" s="188">
        <f t="shared" si="23"/>
        <v>0.12373333333333333</v>
      </c>
      <c r="AO23" s="74">
        <f t="shared" si="24"/>
        <v>1.5366144000000002</v>
      </c>
      <c r="AP23" s="73">
        <f t="shared" si="25"/>
        <v>1.1386666666666668E-2</v>
      </c>
      <c r="AQ23" s="206">
        <f t="shared" si="9"/>
        <v>1.0475733333333334E-2</v>
      </c>
      <c r="AR23" s="206">
        <f t="shared" si="10"/>
        <v>0.7544881202841347</v>
      </c>
      <c r="AS23" s="71">
        <f t="shared" si="11"/>
        <v>0.19999999999999998</v>
      </c>
      <c r="AT23" s="74">
        <f t="shared" si="12"/>
        <v>3.96E-5</v>
      </c>
      <c r="AU23" s="73">
        <f t="shared" si="26"/>
        <v>3.548590658770447</v>
      </c>
      <c r="AV23" s="71">
        <f t="shared" si="27"/>
        <v>32</v>
      </c>
      <c r="AW23" s="74">
        <f t="shared" si="28"/>
        <v>90.017633349143892</v>
      </c>
    </row>
    <row r="24" spans="17:49" x14ac:dyDescent="0.25">
      <c r="Q24">
        <v>17</v>
      </c>
      <c r="R24" s="73">
        <f t="shared" si="0"/>
        <v>20</v>
      </c>
      <c r="S24" s="71">
        <f t="shared" si="1"/>
        <v>1.7000000000000002</v>
      </c>
      <c r="T24" s="71">
        <f t="shared" si="2"/>
        <v>12</v>
      </c>
      <c r="U24" s="74">
        <f t="shared" si="3"/>
        <v>2.8333333333333335</v>
      </c>
      <c r="V24" s="73">
        <f>IF(Variable_Management!$B$20=3,2,IF((S24*R24/T24)&lt;((T24*(1-(T24/R24)))/(2*Lm*Fsw)),1,2))</f>
        <v>2</v>
      </c>
      <c r="W24" s="71">
        <f t="shared" si="13"/>
        <v>0.4</v>
      </c>
      <c r="X24" s="74">
        <f t="shared" si="4"/>
        <v>0.6</v>
      </c>
      <c r="Y24" s="73">
        <f t="shared" si="5"/>
        <v>2.4000000000000004</v>
      </c>
      <c r="Z24" s="71">
        <f t="shared" si="30"/>
        <v>4.0333333333333332</v>
      </c>
      <c r="AA24" s="71">
        <f t="shared" si="31"/>
        <v>2.916809520311153</v>
      </c>
      <c r="AB24" s="71">
        <v>0</v>
      </c>
      <c r="AC24" s="71">
        <f t="shared" si="6"/>
        <v>1.1740733333333335E-2</v>
      </c>
      <c r="AD24" s="74">
        <f t="shared" si="16"/>
        <v>1.1740733333333335E-2</v>
      </c>
      <c r="AE24" s="73">
        <f t="shared" si="29"/>
        <v>1.1333333333333335</v>
      </c>
      <c r="AF24" s="71">
        <f t="shared" si="17"/>
        <v>1.844752317009281</v>
      </c>
      <c r="AG24" s="71">
        <f t="shared" si="7"/>
        <v>2.9947377777777777E-2</v>
      </c>
      <c r="AH24" s="71">
        <f t="shared" si="18"/>
        <v>1.060789049919485</v>
      </c>
      <c r="AI24" s="74">
        <f t="shared" si="19"/>
        <v>1.0907364276972626</v>
      </c>
      <c r="AJ24" s="73">
        <f t="shared" si="20"/>
        <v>1.7</v>
      </c>
      <c r="AK24" s="71">
        <f t="shared" si="21"/>
        <v>2.2593509392448676</v>
      </c>
      <c r="AL24" s="71">
        <f t="shared" si="8"/>
        <v>4.4921066666666662E-2</v>
      </c>
      <c r="AM24" s="71">
        <f t="shared" si="22"/>
        <v>1.3728000000000002</v>
      </c>
      <c r="AN24" s="188">
        <f t="shared" si="23"/>
        <v>0.12906666666666666</v>
      </c>
      <c r="AO24" s="74">
        <f t="shared" si="24"/>
        <v>1.5467877333333335</v>
      </c>
      <c r="AP24" s="73">
        <f t="shared" si="25"/>
        <v>1.2761666666666669E-2</v>
      </c>
      <c r="AQ24" s="206">
        <f t="shared" si="9"/>
        <v>1.1740733333333335E-2</v>
      </c>
      <c r="AR24" s="206">
        <f t="shared" si="10"/>
        <v>0.7544881202841347</v>
      </c>
      <c r="AS24" s="71">
        <f t="shared" si="11"/>
        <v>0.19999999999999998</v>
      </c>
      <c r="AT24" s="74">
        <f t="shared" si="12"/>
        <v>3.96E-5</v>
      </c>
      <c r="AU24" s="73">
        <f t="shared" si="26"/>
        <v>3.6282950146480646</v>
      </c>
      <c r="AV24" s="71">
        <f t="shared" si="27"/>
        <v>34</v>
      </c>
      <c r="AW24" s="74">
        <f t="shared" si="28"/>
        <v>90.357535431154574</v>
      </c>
    </row>
    <row r="25" spans="17:49" x14ac:dyDescent="0.25">
      <c r="Q25">
        <v>18</v>
      </c>
      <c r="R25" s="73">
        <f t="shared" si="0"/>
        <v>20</v>
      </c>
      <c r="S25" s="71">
        <f t="shared" si="1"/>
        <v>1.8</v>
      </c>
      <c r="T25" s="71">
        <f t="shared" si="2"/>
        <v>12</v>
      </c>
      <c r="U25" s="74">
        <f t="shared" si="3"/>
        <v>3</v>
      </c>
      <c r="V25" s="73">
        <f>IF(Variable_Management!$B$20=3,2,IF((S25*R25/T25)&lt;((T25*(1-(T25/R25)))/(2*Lm*Fsw)),1,2))</f>
        <v>2</v>
      </c>
      <c r="W25" s="71">
        <f t="shared" si="13"/>
        <v>0.4</v>
      </c>
      <c r="X25" s="74">
        <f t="shared" si="4"/>
        <v>0.6</v>
      </c>
      <c r="Y25" s="73">
        <f t="shared" si="5"/>
        <v>2.4000000000000004</v>
      </c>
      <c r="Z25" s="71">
        <f t="shared" si="30"/>
        <v>4.2</v>
      </c>
      <c r="AA25" s="71">
        <f t="shared" si="31"/>
        <v>3.0789608636681307</v>
      </c>
      <c r="AB25" s="71">
        <v>0</v>
      </c>
      <c r="AC25" s="71">
        <f t="shared" si="6"/>
        <v>1.3082400000000003E-2</v>
      </c>
      <c r="AD25" s="74">
        <f t="shared" si="16"/>
        <v>1.3082400000000003E-2</v>
      </c>
      <c r="AE25" s="73">
        <f t="shared" si="29"/>
        <v>1.2000000000000002</v>
      </c>
      <c r="AF25" s="71">
        <f t="shared" si="17"/>
        <v>1.9473058311420937</v>
      </c>
      <c r="AG25" s="71">
        <f t="shared" si="7"/>
        <v>3.3369600000000006E-2</v>
      </c>
      <c r="AH25" s="71">
        <f t="shared" si="18"/>
        <v>1.1231884057971016</v>
      </c>
      <c r="AI25" s="74">
        <f t="shared" si="19"/>
        <v>1.1565580057971017</v>
      </c>
      <c r="AJ25" s="73">
        <f t="shared" si="20"/>
        <v>1.7999999999999998</v>
      </c>
      <c r="AK25" s="71">
        <f t="shared" si="21"/>
        <v>2.3849528297222147</v>
      </c>
      <c r="AL25" s="71">
        <f t="shared" si="8"/>
        <v>5.0054399999999992E-2</v>
      </c>
      <c r="AM25" s="71">
        <f t="shared" si="22"/>
        <v>1.3728000000000002</v>
      </c>
      <c r="AN25" s="188">
        <f t="shared" si="23"/>
        <v>0.13440000000000002</v>
      </c>
      <c r="AO25" s="74">
        <f t="shared" si="24"/>
        <v>1.5572544000000004</v>
      </c>
      <c r="AP25" s="73">
        <f t="shared" si="25"/>
        <v>1.4220000000000003E-2</v>
      </c>
      <c r="AQ25" s="206">
        <f t="shared" si="9"/>
        <v>1.3082400000000003E-2</v>
      </c>
      <c r="AR25" s="206">
        <f t="shared" si="10"/>
        <v>0.7544881202841347</v>
      </c>
      <c r="AS25" s="71">
        <f t="shared" si="11"/>
        <v>0.19999999999999998</v>
      </c>
      <c r="AT25" s="74">
        <f t="shared" si="12"/>
        <v>3.96E-5</v>
      </c>
      <c r="AU25" s="73">
        <f t="shared" si="26"/>
        <v>3.7087249260812367</v>
      </c>
      <c r="AV25" s="71">
        <f t="shared" si="27"/>
        <v>36</v>
      </c>
      <c r="AW25" s="74">
        <f t="shared" si="28"/>
        <v>90.660176238383073</v>
      </c>
    </row>
    <row r="26" spans="17:49" x14ac:dyDescent="0.25">
      <c r="Q26">
        <v>19</v>
      </c>
      <c r="R26" s="73">
        <f t="shared" si="0"/>
        <v>20</v>
      </c>
      <c r="S26" s="71">
        <f t="shared" si="1"/>
        <v>1.9000000000000001</v>
      </c>
      <c r="T26" s="71">
        <f t="shared" si="2"/>
        <v>12</v>
      </c>
      <c r="U26" s="74">
        <f t="shared" si="3"/>
        <v>3.1666666666666665</v>
      </c>
      <c r="V26" s="73">
        <f>IF(Variable_Management!$B$20=3,2,IF((S26*R26/T26)&lt;((T26*(1-(T26/R26)))/(2*Lm*Fsw)),1,2))</f>
        <v>2</v>
      </c>
      <c r="W26" s="71">
        <f t="shared" si="13"/>
        <v>0.4</v>
      </c>
      <c r="X26" s="74">
        <f t="shared" si="4"/>
        <v>0.6</v>
      </c>
      <c r="Y26" s="73">
        <f t="shared" si="5"/>
        <v>2.4000000000000004</v>
      </c>
      <c r="Z26" s="71">
        <f t="shared" si="30"/>
        <v>4.3666666666666671</v>
      </c>
      <c r="AA26" s="71">
        <f t="shared" si="31"/>
        <v>3.2415702642049542</v>
      </c>
      <c r="AB26" s="71">
        <v>0</v>
      </c>
      <c r="AC26" s="71">
        <f t="shared" si="6"/>
        <v>1.4500733333333331E-2</v>
      </c>
      <c r="AD26" s="74">
        <f t="shared" si="16"/>
        <v>1.4500733333333331E-2</v>
      </c>
      <c r="AE26" s="73">
        <f t="shared" si="29"/>
        <v>1.2666666666666666</v>
      </c>
      <c r="AF26" s="71">
        <f t="shared" si="17"/>
        <v>2.050149046072288</v>
      </c>
      <c r="AG26" s="71">
        <f t="shared" si="7"/>
        <v>3.6987377777777788E-2</v>
      </c>
      <c r="AH26" s="71">
        <f t="shared" si="18"/>
        <v>1.1855877616747181</v>
      </c>
      <c r="AI26" s="74">
        <f t="shared" si="19"/>
        <v>1.222575139452496</v>
      </c>
      <c r="AJ26" s="73">
        <f t="shared" si="20"/>
        <v>1.9</v>
      </c>
      <c r="AK26" s="71">
        <f t="shared" si="21"/>
        <v>2.5109095297653932</v>
      </c>
      <c r="AL26" s="71">
        <f t="shared" si="8"/>
        <v>5.5481066666666683E-2</v>
      </c>
      <c r="AM26" s="71">
        <f t="shared" si="22"/>
        <v>1.3728000000000002</v>
      </c>
      <c r="AN26" s="188">
        <f t="shared" si="23"/>
        <v>0.13973333333333335</v>
      </c>
      <c r="AO26" s="74">
        <f t="shared" si="24"/>
        <v>1.5680144000000003</v>
      </c>
      <c r="AP26" s="73">
        <f t="shared" si="25"/>
        <v>1.5761666666666667E-2</v>
      </c>
      <c r="AQ26" s="206">
        <f t="shared" si="9"/>
        <v>1.4500733333333331E-2</v>
      </c>
      <c r="AR26" s="206">
        <f t="shared" si="10"/>
        <v>0.7544881202841347</v>
      </c>
      <c r="AS26" s="71">
        <f t="shared" si="11"/>
        <v>0.19999999999999998</v>
      </c>
      <c r="AT26" s="74">
        <f t="shared" si="12"/>
        <v>3.96E-5</v>
      </c>
      <c r="AU26" s="73">
        <f t="shared" si="26"/>
        <v>3.7898803930699643</v>
      </c>
      <c r="AV26" s="71">
        <f t="shared" si="27"/>
        <v>38</v>
      </c>
      <c r="AW26" s="74">
        <f t="shared" si="28"/>
        <v>90.9311049531062</v>
      </c>
    </row>
    <row r="27" spans="17:49" x14ac:dyDescent="0.25">
      <c r="Q27">
        <v>20</v>
      </c>
      <c r="R27" s="73">
        <f t="shared" si="0"/>
        <v>20</v>
      </c>
      <c r="S27" s="71">
        <f t="shared" si="1"/>
        <v>2</v>
      </c>
      <c r="T27" s="71">
        <f t="shared" si="2"/>
        <v>12</v>
      </c>
      <c r="U27" s="74">
        <f t="shared" si="3"/>
        <v>3.3333333333333335</v>
      </c>
      <c r="V27" s="73">
        <f>IF(Variable_Management!$B$20=3,2,IF((S27*R27/T27)&lt;((T27*(1-(T27/R27)))/(2*Lm*Fsw)),1,2))</f>
        <v>2</v>
      </c>
      <c r="W27" s="71">
        <f t="shared" si="13"/>
        <v>0.4</v>
      </c>
      <c r="X27" s="74">
        <f t="shared" si="4"/>
        <v>0.6</v>
      </c>
      <c r="Y27" s="73">
        <f t="shared" si="5"/>
        <v>2.4000000000000004</v>
      </c>
      <c r="Z27" s="71">
        <f t="shared" si="30"/>
        <v>4.5333333333333332</v>
      </c>
      <c r="AA27" s="71">
        <f t="shared" si="31"/>
        <v>3.4045720892809883</v>
      </c>
      <c r="AB27" s="71">
        <v>0</v>
      </c>
      <c r="AC27" s="71">
        <f t="shared" si="6"/>
        <v>1.5995733333333338E-2</v>
      </c>
      <c r="AD27" s="74">
        <f t="shared" si="16"/>
        <v>1.5995733333333338E-2</v>
      </c>
      <c r="AE27" s="73">
        <f t="shared" si="29"/>
        <v>1.3333333333333335</v>
      </c>
      <c r="AF27" s="71">
        <f t="shared" si="17"/>
        <v>2.1532404520732107</v>
      </c>
      <c r="AG27" s="71">
        <f t="shared" si="7"/>
        <v>4.0800711111111117E-2</v>
      </c>
      <c r="AH27" s="71">
        <f t="shared" si="18"/>
        <v>1.2479871175523352</v>
      </c>
      <c r="AI27" s="74">
        <f t="shared" si="19"/>
        <v>1.2887878286634462</v>
      </c>
      <c r="AJ27" s="73">
        <f t="shared" si="20"/>
        <v>2</v>
      </c>
      <c r="AK27" s="71">
        <f t="shared" si="21"/>
        <v>2.637170200549571</v>
      </c>
      <c r="AL27" s="71">
        <f t="shared" si="8"/>
        <v>6.1201066666666651E-2</v>
      </c>
      <c r="AM27" s="71">
        <f t="shared" si="22"/>
        <v>1.3728000000000002</v>
      </c>
      <c r="AN27" s="188">
        <f t="shared" si="23"/>
        <v>0.14506666666666668</v>
      </c>
      <c r="AO27" s="74">
        <f t="shared" si="24"/>
        <v>1.5790677333333336</v>
      </c>
      <c r="AP27" s="73">
        <f t="shared" si="25"/>
        <v>1.7386666666666672E-2</v>
      </c>
      <c r="AQ27" s="206">
        <f t="shared" si="9"/>
        <v>1.5995733333333338E-2</v>
      </c>
      <c r="AR27" s="206">
        <f t="shared" si="10"/>
        <v>0.7544881202841347</v>
      </c>
      <c r="AS27" s="71">
        <f t="shared" si="11"/>
        <v>0.19999999999999998</v>
      </c>
      <c r="AT27" s="74">
        <f t="shared" si="12"/>
        <v>3.96E-5</v>
      </c>
      <c r="AU27" s="73">
        <f t="shared" si="26"/>
        <v>3.8717614156142481</v>
      </c>
      <c r="AV27" s="71">
        <f t="shared" si="27"/>
        <v>40</v>
      </c>
      <c r="AW27" s="74">
        <f t="shared" si="28"/>
        <v>91.174821136230335</v>
      </c>
    </row>
    <row r="28" spans="17:49" x14ac:dyDescent="0.25">
      <c r="Q28">
        <v>21</v>
      </c>
      <c r="R28" s="73">
        <f t="shared" si="0"/>
        <v>20</v>
      </c>
      <c r="S28" s="71">
        <f t="shared" si="1"/>
        <v>2.1</v>
      </c>
      <c r="T28" s="71">
        <f t="shared" si="2"/>
        <v>12</v>
      </c>
      <c r="U28" s="74">
        <f t="shared" si="3"/>
        <v>3.5</v>
      </c>
      <c r="V28" s="73">
        <f>IF(Variable_Management!$B$20=3,2,IF((S28*R28/T28)&lt;((T28*(1-(T28/R28)))/(2*Lm*Fsw)),1,2))</f>
        <v>2</v>
      </c>
      <c r="W28" s="71">
        <f t="shared" si="13"/>
        <v>0.4</v>
      </c>
      <c r="X28" s="74">
        <f t="shared" si="4"/>
        <v>0.6</v>
      </c>
      <c r="Y28" s="73">
        <f t="shared" si="5"/>
        <v>2.4000000000000004</v>
      </c>
      <c r="Z28" s="71">
        <f t="shared" si="30"/>
        <v>4.7</v>
      </c>
      <c r="AA28" s="71">
        <f t="shared" si="31"/>
        <v>3.5679125549822546</v>
      </c>
      <c r="AB28" s="71">
        <v>0</v>
      </c>
      <c r="AC28" s="71">
        <f t="shared" si="6"/>
        <v>1.75674E-2</v>
      </c>
      <c r="AD28" s="74">
        <f t="shared" si="16"/>
        <v>1.75674E-2</v>
      </c>
      <c r="AE28" s="73">
        <f t="shared" si="29"/>
        <v>1.4000000000000001</v>
      </c>
      <c r="AF28" s="71">
        <f t="shared" si="17"/>
        <v>2.2565460332109342</v>
      </c>
      <c r="AG28" s="71">
        <f t="shared" si="7"/>
        <v>4.4809600000000026E-2</v>
      </c>
      <c r="AH28" s="71">
        <f t="shared" si="18"/>
        <v>1.3103864734299517</v>
      </c>
      <c r="AI28" s="74">
        <f t="shared" si="19"/>
        <v>1.3551960734299517</v>
      </c>
      <c r="AJ28" s="73">
        <f t="shared" si="20"/>
        <v>2.1</v>
      </c>
      <c r="AK28" s="71">
        <f t="shared" si="21"/>
        <v>2.7636931812341254</v>
      </c>
      <c r="AL28" s="71">
        <f t="shared" si="8"/>
        <v>6.7214400000000007E-2</v>
      </c>
      <c r="AM28" s="71">
        <f t="shared" si="22"/>
        <v>1.3728000000000002</v>
      </c>
      <c r="AN28" s="188">
        <f t="shared" si="23"/>
        <v>0.15040000000000001</v>
      </c>
      <c r="AO28" s="74">
        <f t="shared" si="24"/>
        <v>1.5904144000000004</v>
      </c>
      <c r="AP28" s="73">
        <f t="shared" si="25"/>
        <v>1.9095000000000001E-2</v>
      </c>
      <c r="AQ28" s="206">
        <f t="shared" si="9"/>
        <v>1.75674E-2</v>
      </c>
      <c r="AR28" s="206">
        <f t="shared" si="10"/>
        <v>0.7544881202841347</v>
      </c>
      <c r="AS28" s="71">
        <f t="shared" si="11"/>
        <v>0.19999999999999998</v>
      </c>
      <c r="AT28" s="74">
        <f t="shared" si="12"/>
        <v>3.96E-5</v>
      </c>
      <c r="AU28" s="73">
        <f t="shared" si="26"/>
        <v>3.9543679937140874</v>
      </c>
      <c r="AV28" s="71">
        <f t="shared" si="27"/>
        <v>42</v>
      </c>
      <c r="AW28" s="74">
        <f t="shared" si="28"/>
        <v>91.395011690172765</v>
      </c>
    </row>
    <row r="29" spans="17:49" x14ac:dyDescent="0.25">
      <c r="Q29">
        <v>22</v>
      </c>
      <c r="R29" s="73">
        <f t="shared" si="0"/>
        <v>20</v>
      </c>
      <c r="S29" s="71">
        <f t="shared" si="1"/>
        <v>2.2000000000000002</v>
      </c>
      <c r="T29" s="71">
        <f t="shared" si="2"/>
        <v>12</v>
      </c>
      <c r="U29" s="74">
        <f t="shared" si="3"/>
        <v>3.6666666666666665</v>
      </c>
      <c r="V29" s="73">
        <f>IF(Variable_Management!$B$20=3,2,IF((S29*R29/T29)&lt;((T29*(1-(T29/R29)))/(2*Lm*Fsw)),1,2))</f>
        <v>2</v>
      </c>
      <c r="W29" s="71">
        <f t="shared" si="13"/>
        <v>0.4</v>
      </c>
      <c r="X29" s="74">
        <f t="shared" si="4"/>
        <v>0.6</v>
      </c>
      <c r="Y29" s="73">
        <f t="shared" si="5"/>
        <v>2.4000000000000004</v>
      </c>
      <c r="Z29" s="71">
        <f t="shared" si="30"/>
        <v>4.8666666666666671</v>
      </c>
      <c r="AA29" s="71">
        <f t="shared" si="31"/>
        <v>3.7315471917750744</v>
      </c>
      <c r="AB29" s="71">
        <v>0</v>
      </c>
      <c r="AC29" s="71">
        <f t="shared" si="6"/>
        <v>1.9215733333333332E-2</v>
      </c>
      <c r="AD29" s="74">
        <f t="shared" si="16"/>
        <v>1.9215733333333332E-2</v>
      </c>
      <c r="AE29" s="73">
        <f t="shared" si="29"/>
        <v>1.4666666666666668</v>
      </c>
      <c r="AF29" s="71">
        <f t="shared" si="17"/>
        <v>2.3600376644828742</v>
      </c>
      <c r="AG29" s="71">
        <f t="shared" si="7"/>
        <v>4.901404444444446E-2</v>
      </c>
      <c r="AH29" s="71">
        <f t="shared" si="18"/>
        <v>1.3727858293075685</v>
      </c>
      <c r="AI29" s="74">
        <f t="shared" si="19"/>
        <v>1.421799873752013</v>
      </c>
      <c r="AJ29" s="73">
        <f t="shared" si="20"/>
        <v>2.1999999999999997</v>
      </c>
      <c r="AK29" s="71">
        <f t="shared" si="21"/>
        <v>2.8904440258663837</v>
      </c>
      <c r="AL29" s="71">
        <f t="shared" si="8"/>
        <v>7.352106666666669E-2</v>
      </c>
      <c r="AM29" s="71">
        <f t="shared" si="22"/>
        <v>1.3728000000000002</v>
      </c>
      <c r="AN29" s="188">
        <f t="shared" si="23"/>
        <v>0.15573333333333336</v>
      </c>
      <c r="AO29" s="74">
        <f t="shared" si="24"/>
        <v>1.6020544000000003</v>
      </c>
      <c r="AP29" s="73">
        <f t="shared" si="25"/>
        <v>2.0886666666666664E-2</v>
      </c>
      <c r="AQ29" s="206">
        <f t="shared" si="9"/>
        <v>1.9215733333333332E-2</v>
      </c>
      <c r="AR29" s="206">
        <f t="shared" si="10"/>
        <v>0.7544881202841347</v>
      </c>
      <c r="AS29" s="71">
        <f t="shared" si="11"/>
        <v>0.19999999999999998</v>
      </c>
      <c r="AT29" s="74">
        <f t="shared" si="12"/>
        <v>3.96E-5</v>
      </c>
      <c r="AU29" s="73">
        <f t="shared" si="26"/>
        <v>4.0377001273694813</v>
      </c>
      <c r="AV29" s="71">
        <f t="shared" si="27"/>
        <v>44</v>
      </c>
      <c r="AW29" s="74">
        <f t="shared" si="28"/>
        <v>91.594726398924735</v>
      </c>
    </row>
    <row r="30" spans="17:49" x14ac:dyDescent="0.25">
      <c r="Q30">
        <v>23</v>
      </c>
      <c r="R30" s="73">
        <f t="shared" si="0"/>
        <v>20</v>
      </c>
      <c r="S30" s="71">
        <f t="shared" si="1"/>
        <v>2.3000000000000003</v>
      </c>
      <c r="T30" s="71">
        <f t="shared" si="2"/>
        <v>12</v>
      </c>
      <c r="U30" s="74">
        <f t="shared" si="3"/>
        <v>3.8333333333333339</v>
      </c>
      <c r="V30" s="73">
        <f>IF(Variable_Management!$B$20=3,2,IF((S30*R30/T30)&lt;((T30*(1-(T30/R30)))/(2*Lm*Fsw)),1,2))</f>
        <v>2</v>
      </c>
      <c r="W30" s="71">
        <f t="shared" si="13"/>
        <v>0.4</v>
      </c>
      <c r="X30" s="74">
        <f t="shared" si="4"/>
        <v>0.6</v>
      </c>
      <c r="Y30" s="73">
        <f t="shared" si="5"/>
        <v>2.4000000000000004</v>
      </c>
      <c r="Z30" s="71">
        <f t="shared" si="30"/>
        <v>5.0333333333333341</v>
      </c>
      <c r="AA30" s="71">
        <f t="shared" si="31"/>
        <v>3.8954389283422799</v>
      </c>
      <c r="AB30" s="71">
        <v>0</v>
      </c>
      <c r="AC30" s="71">
        <f t="shared" si="6"/>
        <v>2.094073333333334E-2</v>
      </c>
      <c r="AD30" s="74">
        <f t="shared" si="16"/>
        <v>2.094073333333334E-2</v>
      </c>
      <c r="AE30" s="73">
        <f t="shared" si="29"/>
        <v>1.5333333333333337</v>
      </c>
      <c r="AF30" s="71">
        <f t="shared" si="17"/>
        <v>2.4636918999294086</v>
      </c>
      <c r="AG30" s="71">
        <f t="shared" si="7"/>
        <v>5.3414044444444461E-2</v>
      </c>
      <c r="AH30" s="71">
        <f t="shared" si="18"/>
        <v>1.4351851851851856</v>
      </c>
      <c r="AI30" s="74">
        <f t="shared" si="19"/>
        <v>1.48859922962963</v>
      </c>
      <c r="AJ30" s="73">
        <f t="shared" si="20"/>
        <v>2.3000000000000003</v>
      </c>
      <c r="AK30" s="71">
        <f t="shared" si="21"/>
        <v>3.017394019127543</v>
      </c>
      <c r="AL30" s="71">
        <f t="shared" si="8"/>
        <v>8.0121066666666671E-2</v>
      </c>
      <c r="AM30" s="71">
        <f t="shared" si="22"/>
        <v>1.3728000000000002</v>
      </c>
      <c r="AN30" s="188">
        <f t="shared" si="23"/>
        <v>0.16106666666666669</v>
      </c>
      <c r="AO30" s="74">
        <f t="shared" si="24"/>
        <v>1.6139877333333337</v>
      </c>
      <c r="AP30" s="73">
        <f t="shared" si="25"/>
        <v>2.2761666666666677E-2</v>
      </c>
      <c r="AQ30" s="206">
        <f t="shared" si="9"/>
        <v>2.094073333333334E-2</v>
      </c>
      <c r="AR30" s="206">
        <f t="shared" si="10"/>
        <v>0.7544881202841347</v>
      </c>
      <c r="AS30" s="71">
        <f t="shared" si="11"/>
        <v>0.19999999999999998</v>
      </c>
      <c r="AT30" s="74">
        <f t="shared" si="12"/>
        <v>3.96E-5</v>
      </c>
      <c r="AU30" s="73">
        <f t="shared" si="26"/>
        <v>4.1217578165804314</v>
      </c>
      <c r="AV30" s="71">
        <f t="shared" si="27"/>
        <v>46.000000000000007</v>
      </c>
      <c r="AW30" s="74">
        <f t="shared" si="28"/>
        <v>91.776509850943526</v>
      </c>
    </row>
    <row r="31" spans="17:49" x14ac:dyDescent="0.25">
      <c r="Q31">
        <v>24</v>
      </c>
      <c r="R31" s="73">
        <f t="shared" si="0"/>
        <v>20</v>
      </c>
      <c r="S31" s="71">
        <f t="shared" si="1"/>
        <v>2.4000000000000004</v>
      </c>
      <c r="T31" s="71">
        <f t="shared" si="2"/>
        <v>12</v>
      </c>
      <c r="U31" s="74">
        <f t="shared" si="3"/>
        <v>4.0000000000000009</v>
      </c>
      <c r="V31" s="73">
        <f>IF(Variable_Management!$B$20=3,2,IF((S31*R31/T31)&lt;((T31*(1-(T31/R31)))/(2*Lm*Fsw)),1,2))</f>
        <v>2</v>
      </c>
      <c r="W31" s="71">
        <f t="shared" si="13"/>
        <v>0.4</v>
      </c>
      <c r="X31" s="74">
        <f t="shared" si="4"/>
        <v>0.6</v>
      </c>
      <c r="Y31" s="73">
        <f t="shared" si="5"/>
        <v>2.4000000000000004</v>
      </c>
      <c r="Z31" s="71">
        <f t="shared" si="30"/>
        <v>5.2000000000000011</v>
      </c>
      <c r="AA31" s="71">
        <f t="shared" si="31"/>
        <v>4.0595566260368887</v>
      </c>
      <c r="AB31" s="71">
        <v>0</v>
      </c>
      <c r="AC31" s="71">
        <f t="shared" si="6"/>
        <v>2.274240000000001E-2</v>
      </c>
      <c r="AD31" s="74">
        <f t="shared" si="16"/>
        <v>2.274240000000001E-2</v>
      </c>
      <c r="AE31" s="73">
        <f t="shared" si="29"/>
        <v>1.6000000000000005</v>
      </c>
      <c r="AF31" s="71">
        <f t="shared" si="17"/>
        <v>2.5674890457409947</v>
      </c>
      <c r="AG31" s="71">
        <f t="shared" si="7"/>
        <v>5.8009600000000029E-2</v>
      </c>
      <c r="AH31" s="71">
        <f t="shared" si="18"/>
        <v>1.4975845410628024</v>
      </c>
      <c r="AI31" s="74">
        <f t="shared" si="19"/>
        <v>1.5555941410628025</v>
      </c>
      <c r="AJ31" s="73">
        <f t="shared" si="20"/>
        <v>2.4000000000000004</v>
      </c>
      <c r="AK31" s="71">
        <f t="shared" si="21"/>
        <v>3.1445190411253678</v>
      </c>
      <c r="AL31" s="71">
        <f t="shared" si="8"/>
        <v>8.7014400000000033E-2</v>
      </c>
      <c r="AM31" s="71">
        <f t="shared" si="22"/>
        <v>1.3728000000000002</v>
      </c>
      <c r="AN31" s="188">
        <f t="shared" si="23"/>
        <v>0.16640000000000005</v>
      </c>
      <c r="AO31" s="74">
        <f t="shared" si="24"/>
        <v>1.6262144000000003</v>
      </c>
      <c r="AP31" s="73">
        <f t="shared" si="25"/>
        <v>2.4720000000000013E-2</v>
      </c>
      <c r="AQ31" s="206">
        <f t="shared" si="9"/>
        <v>2.274240000000001E-2</v>
      </c>
      <c r="AR31" s="206">
        <f t="shared" si="10"/>
        <v>0.7544881202841347</v>
      </c>
      <c r="AS31" s="71">
        <f t="shared" si="11"/>
        <v>0.19999999999999998</v>
      </c>
      <c r="AT31" s="74">
        <f t="shared" si="12"/>
        <v>3.96E-5</v>
      </c>
      <c r="AU31" s="73">
        <f t="shared" si="26"/>
        <v>4.2065410613469378</v>
      </c>
      <c r="AV31" s="71">
        <f t="shared" si="27"/>
        <v>48.000000000000007</v>
      </c>
      <c r="AW31" s="74">
        <f t="shared" si="28"/>
        <v>91.94250188610674</v>
      </c>
    </row>
    <row r="32" spans="17:49" x14ac:dyDescent="0.25">
      <c r="Q32">
        <v>25</v>
      </c>
      <c r="R32" s="73">
        <f t="shared" si="0"/>
        <v>20</v>
      </c>
      <c r="S32" s="71">
        <f t="shared" si="1"/>
        <v>2.5</v>
      </c>
      <c r="T32" s="71">
        <f t="shared" si="2"/>
        <v>12</v>
      </c>
      <c r="U32" s="74">
        <f t="shared" si="3"/>
        <v>4.166666666666667</v>
      </c>
      <c r="V32" s="73">
        <f>IF(Variable_Management!$B$20=3,2,IF((S32*R32/T32)&lt;((T32*(1-(T32/R32)))/(2*Lm*Fsw)),1,2))</f>
        <v>2</v>
      </c>
      <c r="W32" s="71">
        <f t="shared" si="13"/>
        <v>0.4</v>
      </c>
      <c r="X32" s="74">
        <f t="shared" si="4"/>
        <v>0.6</v>
      </c>
      <c r="Y32" s="73">
        <f t="shared" si="5"/>
        <v>2.4000000000000004</v>
      </c>
      <c r="Z32" s="71">
        <f t="shared" si="30"/>
        <v>5.3666666666666671</v>
      </c>
      <c r="AA32" s="71">
        <f t="shared" si="31"/>
        <v>4.2238739459305741</v>
      </c>
      <c r="AB32" s="71">
        <v>0</v>
      </c>
      <c r="AC32" s="71">
        <f t="shared" si="6"/>
        <v>2.4620733333333342E-2</v>
      </c>
      <c r="AD32" s="74">
        <f t="shared" si="16"/>
        <v>2.4620733333333342E-2</v>
      </c>
      <c r="AE32" s="73">
        <f t="shared" si="29"/>
        <v>1.666666666666667</v>
      </c>
      <c r="AF32" s="71">
        <f t="shared" si="17"/>
        <v>2.6714124437167031</v>
      </c>
      <c r="AG32" s="71">
        <f t="shared" si="7"/>
        <v>6.2800711111111143E-2</v>
      </c>
      <c r="AH32" s="71">
        <f t="shared" si="18"/>
        <v>1.5599838969404189</v>
      </c>
      <c r="AI32" s="74">
        <f t="shared" si="19"/>
        <v>1.62278460805153</v>
      </c>
      <c r="AJ32" s="73">
        <f t="shared" si="20"/>
        <v>2.5</v>
      </c>
      <c r="AK32" s="71">
        <f t="shared" si="21"/>
        <v>3.2717986898137039</v>
      </c>
      <c r="AL32" s="71">
        <f t="shared" si="8"/>
        <v>9.4201066666666694E-2</v>
      </c>
      <c r="AM32" s="71">
        <f t="shared" si="22"/>
        <v>1.3728000000000002</v>
      </c>
      <c r="AN32" s="188">
        <f t="shared" si="23"/>
        <v>0.17173333333333335</v>
      </c>
      <c r="AO32" s="74">
        <f t="shared" si="24"/>
        <v>1.6387344000000001</v>
      </c>
      <c r="AP32" s="73">
        <f t="shared" si="25"/>
        <v>2.6761666666666677E-2</v>
      </c>
      <c r="AQ32" s="206">
        <f t="shared" si="9"/>
        <v>2.4620733333333342E-2</v>
      </c>
      <c r="AR32" s="206">
        <f t="shared" si="10"/>
        <v>0.7544881202841347</v>
      </c>
      <c r="AS32" s="71">
        <f t="shared" si="11"/>
        <v>0.19999999999999998</v>
      </c>
      <c r="AT32" s="74">
        <f t="shared" si="12"/>
        <v>3.96E-5</v>
      </c>
      <c r="AU32" s="73">
        <f t="shared" si="26"/>
        <v>4.2920498616689979</v>
      </c>
      <c r="AV32" s="71">
        <f t="shared" si="27"/>
        <v>50</v>
      </c>
      <c r="AW32" s="74">
        <f t="shared" si="28"/>
        <v>92.094514993254563</v>
      </c>
    </row>
    <row r="33" spans="17:49" x14ac:dyDescent="0.25">
      <c r="Q33">
        <v>26</v>
      </c>
      <c r="R33" s="73">
        <f t="shared" si="0"/>
        <v>20</v>
      </c>
      <c r="S33" s="71">
        <f t="shared" si="1"/>
        <v>2.6</v>
      </c>
      <c r="T33" s="71">
        <f t="shared" si="2"/>
        <v>12</v>
      </c>
      <c r="U33" s="74">
        <f t="shared" si="3"/>
        <v>4.333333333333333</v>
      </c>
      <c r="V33" s="73">
        <f>IF(Variable_Management!$B$20=3,2,IF((S33*R33/T33)&lt;((T33*(1-(T33/R33)))/(2*Lm*Fsw)),1,2))</f>
        <v>2</v>
      </c>
      <c r="W33" s="71">
        <f t="shared" si="13"/>
        <v>0.4</v>
      </c>
      <c r="X33" s="74">
        <f t="shared" si="4"/>
        <v>0.6</v>
      </c>
      <c r="Y33" s="73">
        <f t="shared" si="5"/>
        <v>2.4000000000000004</v>
      </c>
      <c r="Z33" s="71">
        <f t="shared" si="30"/>
        <v>5.5333333333333332</v>
      </c>
      <c r="AA33" s="71">
        <f t="shared" si="31"/>
        <v>4.3883684642219567</v>
      </c>
      <c r="AB33" s="71">
        <v>0</v>
      </c>
      <c r="AC33" s="71">
        <f t="shared" si="6"/>
        <v>2.657573333333333E-2</v>
      </c>
      <c r="AD33" s="74">
        <f t="shared" si="16"/>
        <v>2.657573333333333E-2</v>
      </c>
      <c r="AE33" s="73">
        <f t="shared" si="29"/>
        <v>1.7333333333333334</v>
      </c>
      <c r="AF33" s="71">
        <f t="shared" si="17"/>
        <v>2.7754479117993029</v>
      </c>
      <c r="AG33" s="71">
        <f t="shared" si="7"/>
        <v>6.7787377777777783E-2</v>
      </c>
      <c r="AH33" s="71">
        <f t="shared" si="18"/>
        <v>1.6223832528180353</v>
      </c>
      <c r="AI33" s="74">
        <f t="shared" si="19"/>
        <v>1.6901706305958131</v>
      </c>
      <c r="AJ33" s="73">
        <f t="shared" si="20"/>
        <v>2.5999999999999996</v>
      </c>
      <c r="AK33" s="71">
        <f t="shared" si="21"/>
        <v>3.3992155957906913</v>
      </c>
      <c r="AL33" s="71">
        <f t="shared" si="8"/>
        <v>0.10168106666666665</v>
      </c>
      <c r="AM33" s="71">
        <f t="shared" si="22"/>
        <v>1.3728000000000002</v>
      </c>
      <c r="AN33" s="188">
        <f t="shared" si="23"/>
        <v>0.17706666666666668</v>
      </c>
      <c r="AO33" s="74">
        <f t="shared" si="24"/>
        <v>1.6515477333333335</v>
      </c>
      <c r="AP33" s="73">
        <f t="shared" si="25"/>
        <v>2.8886666666666665E-2</v>
      </c>
      <c r="AQ33" s="206">
        <f t="shared" si="9"/>
        <v>2.657573333333333E-2</v>
      </c>
      <c r="AR33" s="206">
        <f t="shared" si="10"/>
        <v>0.7544881202841347</v>
      </c>
      <c r="AS33" s="71">
        <f t="shared" si="11"/>
        <v>0.19999999999999998</v>
      </c>
      <c r="AT33" s="74">
        <f t="shared" si="12"/>
        <v>3.96E-5</v>
      </c>
      <c r="AU33" s="73">
        <f t="shared" si="26"/>
        <v>4.3782842175466152</v>
      </c>
      <c r="AV33" s="71">
        <f t="shared" si="27"/>
        <v>52</v>
      </c>
      <c r="AW33" s="74">
        <f t="shared" si="28"/>
        <v>92.234094601651677</v>
      </c>
    </row>
    <row r="34" spans="17:49" x14ac:dyDescent="0.25">
      <c r="Q34">
        <v>27</v>
      </c>
      <c r="R34" s="73">
        <f t="shared" si="0"/>
        <v>20</v>
      </c>
      <c r="S34" s="71">
        <f t="shared" si="1"/>
        <v>2.7</v>
      </c>
      <c r="T34" s="71">
        <f t="shared" si="2"/>
        <v>12</v>
      </c>
      <c r="U34" s="74">
        <f t="shared" si="3"/>
        <v>4.5</v>
      </c>
      <c r="V34" s="73">
        <f>IF(Variable_Management!$B$20=3,2,IF((S34*R34/T34)&lt;((T34*(1-(T34/R34)))/(2*Lm*Fsw)),1,2))</f>
        <v>2</v>
      </c>
      <c r="W34" s="71">
        <f t="shared" si="13"/>
        <v>0.4</v>
      </c>
      <c r="X34" s="74">
        <f t="shared" si="4"/>
        <v>0.6</v>
      </c>
      <c r="Y34" s="73">
        <f t="shared" si="5"/>
        <v>2.4000000000000004</v>
      </c>
      <c r="Z34" s="71">
        <f t="shared" si="30"/>
        <v>5.7</v>
      </c>
      <c r="AA34" s="71">
        <f t="shared" si="31"/>
        <v>4.5530209751328838</v>
      </c>
      <c r="AB34" s="71">
        <v>0</v>
      </c>
      <c r="AC34" s="71">
        <f t="shared" si="6"/>
        <v>2.8607399999999995E-2</v>
      </c>
      <c r="AD34" s="74">
        <f t="shared" si="16"/>
        <v>2.8607399999999995E-2</v>
      </c>
      <c r="AE34" s="73">
        <f t="shared" si="29"/>
        <v>1.8</v>
      </c>
      <c r="AF34" s="71">
        <f t="shared" si="17"/>
        <v>2.8795833031881539</v>
      </c>
      <c r="AG34" s="71">
        <f t="shared" si="7"/>
        <v>7.2969600000000009E-2</v>
      </c>
      <c r="AH34" s="71">
        <f t="shared" si="18"/>
        <v>1.6847826086956523</v>
      </c>
      <c r="AI34" s="74">
        <f t="shared" si="19"/>
        <v>1.7577522086956523</v>
      </c>
      <c r="AJ34" s="73">
        <f t="shared" si="20"/>
        <v>2.6999999999999997</v>
      </c>
      <c r="AK34" s="71">
        <f t="shared" si="21"/>
        <v>3.5267548823245427</v>
      </c>
      <c r="AL34" s="71">
        <f t="shared" si="8"/>
        <v>0.10945439999999999</v>
      </c>
      <c r="AM34" s="71">
        <f t="shared" si="22"/>
        <v>1.3728000000000002</v>
      </c>
      <c r="AN34" s="188">
        <f t="shared" si="23"/>
        <v>0.18240000000000001</v>
      </c>
      <c r="AO34" s="74">
        <f t="shared" si="24"/>
        <v>1.6646544000000003</v>
      </c>
      <c r="AP34" s="73">
        <f t="shared" si="25"/>
        <v>3.1094999999999998E-2</v>
      </c>
      <c r="AQ34" s="206">
        <f t="shared" si="9"/>
        <v>2.8607399999999995E-2</v>
      </c>
      <c r="AR34" s="206">
        <f t="shared" si="10"/>
        <v>0.7544881202841347</v>
      </c>
      <c r="AS34" s="71">
        <f t="shared" si="11"/>
        <v>0.19999999999999998</v>
      </c>
      <c r="AT34" s="74">
        <f t="shared" si="12"/>
        <v>3.96E-5</v>
      </c>
      <c r="AU34" s="73">
        <f t="shared" si="26"/>
        <v>4.4652441289797871</v>
      </c>
      <c r="AV34" s="71">
        <f t="shared" si="27"/>
        <v>54</v>
      </c>
      <c r="AW34" s="74">
        <f t="shared" si="28"/>
        <v>92.362566520497126</v>
      </c>
    </row>
    <row r="35" spans="17:49" x14ac:dyDescent="0.25">
      <c r="Q35">
        <v>28</v>
      </c>
      <c r="R35" s="73">
        <f t="shared" si="0"/>
        <v>20</v>
      </c>
      <c r="S35" s="71">
        <f t="shared" si="1"/>
        <v>2.8000000000000003</v>
      </c>
      <c r="T35" s="71">
        <f t="shared" si="2"/>
        <v>12</v>
      </c>
      <c r="U35" s="74">
        <f t="shared" si="3"/>
        <v>4.666666666666667</v>
      </c>
      <c r="V35" s="73">
        <f>IF(Variable_Management!$B$20=3,2,IF((S35*R35/T35)&lt;((T35*(1-(T35/R35)))/(2*Lm*Fsw)),1,2))</f>
        <v>2</v>
      </c>
      <c r="W35" s="71">
        <f t="shared" si="13"/>
        <v>0.4</v>
      </c>
      <c r="X35" s="74">
        <f t="shared" si="4"/>
        <v>0.6</v>
      </c>
      <c r="Y35" s="73">
        <f t="shared" si="5"/>
        <v>2.4000000000000004</v>
      </c>
      <c r="Z35" s="71">
        <f t="shared" si="30"/>
        <v>5.8666666666666671</v>
      </c>
      <c r="AA35" s="71">
        <f t="shared" si="31"/>
        <v>4.7178149367877689</v>
      </c>
      <c r="AB35" s="71">
        <v>0</v>
      </c>
      <c r="AC35" s="71">
        <f t="shared" si="6"/>
        <v>3.0715733333333335E-2</v>
      </c>
      <c r="AD35" s="74">
        <f t="shared" si="16"/>
        <v>3.0715733333333335E-2</v>
      </c>
      <c r="AE35" s="73">
        <f t="shared" si="29"/>
        <v>1.8666666666666669</v>
      </c>
      <c r="AF35" s="71">
        <f t="shared" si="17"/>
        <v>2.9838081558825316</v>
      </c>
      <c r="AG35" s="71">
        <f t="shared" si="7"/>
        <v>7.834737777777781E-2</v>
      </c>
      <c r="AH35" s="71">
        <f t="shared" si="18"/>
        <v>1.7471819645732691</v>
      </c>
      <c r="AI35" s="74">
        <f t="shared" si="19"/>
        <v>1.825529342351047</v>
      </c>
      <c r="AJ35" s="73">
        <f t="shared" si="20"/>
        <v>2.8000000000000003</v>
      </c>
      <c r="AK35" s="71">
        <f t="shared" si="21"/>
        <v>3.6544037361335251</v>
      </c>
      <c r="AL35" s="71">
        <f t="shared" si="8"/>
        <v>0.11752106666666667</v>
      </c>
      <c r="AM35" s="71">
        <f t="shared" si="22"/>
        <v>1.3728000000000002</v>
      </c>
      <c r="AN35" s="188">
        <f t="shared" si="23"/>
        <v>0.18773333333333336</v>
      </c>
      <c r="AO35" s="74">
        <f t="shared" si="24"/>
        <v>1.6780544000000002</v>
      </c>
      <c r="AP35" s="73">
        <f t="shared" si="25"/>
        <v>3.3386666666666669E-2</v>
      </c>
      <c r="AQ35" s="206">
        <f t="shared" si="9"/>
        <v>3.0715733333333335E-2</v>
      </c>
      <c r="AR35" s="206">
        <f t="shared" si="10"/>
        <v>0.7544881202841347</v>
      </c>
      <c r="AS35" s="71">
        <f t="shared" si="11"/>
        <v>0.19999999999999998</v>
      </c>
      <c r="AT35" s="74">
        <f t="shared" si="12"/>
        <v>3.96E-5</v>
      </c>
      <c r="AU35" s="73">
        <f t="shared" si="26"/>
        <v>4.5529295959685161</v>
      </c>
      <c r="AV35" s="71">
        <f t="shared" si="27"/>
        <v>56.000000000000007</v>
      </c>
      <c r="AW35" s="74">
        <f t="shared" si="28"/>
        <v>92.481074612991748</v>
      </c>
    </row>
    <row r="36" spans="17:49" x14ac:dyDescent="0.25">
      <c r="Q36">
        <v>29</v>
      </c>
      <c r="R36" s="73">
        <f t="shared" si="0"/>
        <v>20</v>
      </c>
      <c r="S36" s="71">
        <f t="shared" si="1"/>
        <v>2.9000000000000004</v>
      </c>
      <c r="T36" s="71">
        <f t="shared" si="2"/>
        <v>12</v>
      </c>
      <c r="U36" s="74">
        <f t="shared" si="3"/>
        <v>4.8333333333333339</v>
      </c>
      <c r="V36" s="73">
        <f>IF(Variable_Management!$B$20=3,2,IF((S36*R36/T36)&lt;((T36*(1-(T36/R36)))/(2*Lm*Fsw)),1,2))</f>
        <v>2</v>
      </c>
      <c r="W36" s="71">
        <f t="shared" si="13"/>
        <v>0.4</v>
      </c>
      <c r="X36" s="74">
        <f t="shared" si="4"/>
        <v>0.6</v>
      </c>
      <c r="Y36" s="73">
        <f t="shared" si="5"/>
        <v>2.4000000000000004</v>
      </c>
      <c r="Z36" s="71">
        <f t="shared" si="30"/>
        <v>6.0333333333333341</v>
      </c>
      <c r="AA36" s="71">
        <f t="shared" si="31"/>
        <v>4.8827360271789342</v>
      </c>
      <c r="AB36" s="71">
        <v>0</v>
      </c>
      <c r="AC36" s="71">
        <f t="shared" si="6"/>
        <v>3.2900733333333348E-2</v>
      </c>
      <c r="AD36" s="74">
        <f t="shared" si="16"/>
        <v>3.2900733333333348E-2</v>
      </c>
      <c r="AE36" s="73">
        <f t="shared" si="29"/>
        <v>1.9333333333333336</v>
      </c>
      <c r="AF36" s="71">
        <f t="shared" si="17"/>
        <v>3.0881134118494495</v>
      </c>
      <c r="AG36" s="71">
        <f t="shared" si="7"/>
        <v>8.3920711111111157E-2</v>
      </c>
      <c r="AH36" s="71">
        <f t="shared" si="18"/>
        <v>1.8095813204508862</v>
      </c>
      <c r="AI36" s="74">
        <f t="shared" si="19"/>
        <v>1.8935020315619973</v>
      </c>
      <c r="AJ36" s="73">
        <f t="shared" si="20"/>
        <v>2.9000000000000004</v>
      </c>
      <c r="AK36" s="71">
        <f t="shared" si="21"/>
        <v>3.7821510634381954</v>
      </c>
      <c r="AL36" s="71">
        <f t="shared" si="8"/>
        <v>0.12588106666666674</v>
      </c>
      <c r="AM36" s="71">
        <f t="shared" si="22"/>
        <v>1.3728000000000002</v>
      </c>
      <c r="AN36" s="188">
        <f t="shared" si="23"/>
        <v>0.19306666666666669</v>
      </c>
      <c r="AO36" s="74">
        <f t="shared" si="24"/>
        <v>1.6917477333333337</v>
      </c>
      <c r="AP36" s="73">
        <f t="shared" si="25"/>
        <v>3.5761666666666685E-2</v>
      </c>
      <c r="AQ36" s="206">
        <f t="shared" si="9"/>
        <v>3.2900733333333348E-2</v>
      </c>
      <c r="AR36" s="206">
        <f t="shared" si="10"/>
        <v>0.7544881202841347</v>
      </c>
      <c r="AS36" s="71">
        <f t="shared" si="11"/>
        <v>0.19999999999999998</v>
      </c>
      <c r="AT36" s="74">
        <f t="shared" si="12"/>
        <v>3.96E-5</v>
      </c>
      <c r="AU36" s="73">
        <f t="shared" si="26"/>
        <v>4.6413406185127997</v>
      </c>
      <c r="AV36" s="71">
        <f t="shared" si="27"/>
        <v>58.000000000000007</v>
      </c>
      <c r="AW36" s="74">
        <f t="shared" si="28"/>
        <v>92.590610972426873</v>
      </c>
    </row>
    <row r="37" spans="17:49" x14ac:dyDescent="0.25">
      <c r="Q37">
        <v>30</v>
      </c>
      <c r="R37" s="73">
        <f t="shared" si="0"/>
        <v>20</v>
      </c>
      <c r="S37" s="71">
        <f t="shared" si="1"/>
        <v>3</v>
      </c>
      <c r="T37" s="71">
        <f t="shared" si="2"/>
        <v>12</v>
      </c>
      <c r="U37" s="74">
        <f t="shared" si="3"/>
        <v>5</v>
      </c>
      <c r="V37" s="73">
        <f>IF(Variable_Management!$B$20=3,2,IF((S37*R37/T37)&lt;((T37*(1-(T37/R37)))/(2*Lm*Fsw)),1,2))</f>
        <v>2</v>
      </c>
      <c r="W37" s="71">
        <f t="shared" si="13"/>
        <v>0.4</v>
      </c>
      <c r="X37" s="74">
        <f t="shared" si="4"/>
        <v>0.6</v>
      </c>
      <c r="Y37" s="73">
        <f t="shared" si="5"/>
        <v>2.4000000000000004</v>
      </c>
      <c r="Z37" s="71">
        <f t="shared" si="30"/>
        <v>6.2</v>
      </c>
      <c r="AA37" s="71">
        <f t="shared" si="31"/>
        <v>5.0477717856495854</v>
      </c>
      <c r="AB37" s="71">
        <v>0</v>
      </c>
      <c r="AC37" s="71">
        <f t="shared" si="6"/>
        <v>3.5162400000000003E-2</v>
      </c>
      <c r="AD37" s="74">
        <f t="shared" si="16"/>
        <v>3.5162400000000003E-2</v>
      </c>
      <c r="AE37" s="73">
        <f t="shared" si="29"/>
        <v>2</v>
      </c>
      <c r="AF37" s="71">
        <f t="shared" si="17"/>
        <v>3.1924911902775865</v>
      </c>
      <c r="AG37" s="71">
        <f t="shared" si="7"/>
        <v>8.9689600000000022E-2</v>
      </c>
      <c r="AH37" s="71">
        <f t="shared" si="18"/>
        <v>1.8719806763285025</v>
      </c>
      <c r="AI37" s="74">
        <f t="shared" si="19"/>
        <v>1.9616702763285025</v>
      </c>
      <c r="AJ37" s="73">
        <f t="shared" si="20"/>
        <v>3</v>
      </c>
      <c r="AK37" s="71">
        <f t="shared" si="21"/>
        <v>3.9099872122553037</v>
      </c>
      <c r="AL37" s="71">
        <f t="shared" si="8"/>
        <v>0.1345344</v>
      </c>
      <c r="AM37" s="71">
        <f t="shared" si="22"/>
        <v>1.3728000000000002</v>
      </c>
      <c r="AN37" s="188">
        <f t="shared" si="23"/>
        <v>0.19840000000000002</v>
      </c>
      <c r="AO37" s="74">
        <f t="shared" si="24"/>
        <v>1.7057344000000003</v>
      </c>
      <c r="AP37" s="73">
        <f t="shared" si="25"/>
        <v>3.8220000000000004E-2</v>
      </c>
      <c r="AQ37" s="206">
        <f t="shared" si="9"/>
        <v>3.5162400000000003E-2</v>
      </c>
      <c r="AR37" s="206">
        <f t="shared" si="10"/>
        <v>0.7544881202841347</v>
      </c>
      <c r="AS37" s="71">
        <f t="shared" si="11"/>
        <v>0.19999999999999998</v>
      </c>
      <c r="AT37" s="74">
        <f t="shared" si="12"/>
        <v>3.96E-5</v>
      </c>
      <c r="AU37" s="73">
        <f t="shared" si="26"/>
        <v>4.7304771966126378</v>
      </c>
      <c r="AV37" s="71">
        <f t="shared" si="27"/>
        <v>60</v>
      </c>
      <c r="AW37" s="74">
        <f t="shared" si="28"/>
        <v>92.692040285375526</v>
      </c>
    </row>
    <row r="38" spans="17:49" x14ac:dyDescent="0.25">
      <c r="Q38">
        <v>31</v>
      </c>
      <c r="R38" s="73">
        <f t="shared" si="0"/>
        <v>20</v>
      </c>
      <c r="S38" s="71">
        <f t="shared" si="1"/>
        <v>3.1</v>
      </c>
      <c r="T38" s="71">
        <f t="shared" si="2"/>
        <v>12</v>
      </c>
      <c r="U38" s="74">
        <f t="shared" si="3"/>
        <v>5.166666666666667</v>
      </c>
      <c r="V38" s="73">
        <f>IF(Variable_Management!$B$20=3,2,IF((S38*R38/T38)&lt;((T38*(1-(T38/R38)))/(2*Lm*Fsw)),1,2))</f>
        <v>2</v>
      </c>
      <c r="W38" s="71">
        <f t="shared" si="13"/>
        <v>0.4</v>
      </c>
      <c r="X38" s="74">
        <f t="shared" si="4"/>
        <v>0.6</v>
      </c>
      <c r="Y38" s="73">
        <f t="shared" si="5"/>
        <v>2.4000000000000004</v>
      </c>
      <c r="Z38" s="71">
        <f t="shared" si="30"/>
        <v>6.3666666666666671</v>
      </c>
      <c r="AA38" s="71">
        <f t="shared" si="31"/>
        <v>5.2129113213677867</v>
      </c>
      <c r="AB38" s="71">
        <v>0</v>
      </c>
      <c r="AC38" s="71">
        <f t="shared" si="6"/>
        <v>3.7500733333333328E-2</v>
      </c>
      <c r="AD38" s="74">
        <f t="shared" si="16"/>
        <v>3.7500733333333328E-2</v>
      </c>
      <c r="AE38" s="73">
        <f t="shared" si="29"/>
        <v>2.0666666666666669</v>
      </c>
      <c r="AF38" s="71">
        <f t="shared" si="17"/>
        <v>3.2969346032000364</v>
      </c>
      <c r="AG38" s="71">
        <f t="shared" si="7"/>
        <v>9.5654044444444475E-2</v>
      </c>
      <c r="AH38" s="71">
        <f t="shared" si="18"/>
        <v>1.9343800322061195</v>
      </c>
      <c r="AI38" s="74">
        <f t="shared" si="19"/>
        <v>2.0300340766505638</v>
      </c>
      <c r="AJ38" s="73">
        <f t="shared" si="20"/>
        <v>3.1</v>
      </c>
      <c r="AK38" s="71">
        <f t="shared" si="21"/>
        <v>4.0379037465827086</v>
      </c>
      <c r="AL38" s="71">
        <f t="shared" si="8"/>
        <v>0.14348106666666674</v>
      </c>
      <c r="AM38" s="71">
        <f t="shared" si="22"/>
        <v>1.3728000000000002</v>
      </c>
      <c r="AN38" s="188">
        <f t="shared" si="23"/>
        <v>0.20373333333333335</v>
      </c>
      <c r="AO38" s="74">
        <f t="shared" si="24"/>
        <v>1.7200144000000004</v>
      </c>
      <c r="AP38" s="73">
        <f t="shared" si="25"/>
        <v>4.0761666666666668E-2</v>
      </c>
      <c r="AQ38" s="206">
        <f t="shared" si="9"/>
        <v>3.7500733333333328E-2</v>
      </c>
      <c r="AR38" s="206">
        <f t="shared" si="10"/>
        <v>0.7544881202841347</v>
      </c>
      <c r="AS38" s="71">
        <f t="shared" si="11"/>
        <v>0.19999999999999998</v>
      </c>
      <c r="AT38" s="74">
        <f t="shared" si="12"/>
        <v>3.96E-5</v>
      </c>
      <c r="AU38" s="73">
        <f t="shared" si="26"/>
        <v>4.8203393302680322</v>
      </c>
      <c r="AV38" s="71">
        <f t="shared" si="27"/>
        <v>62</v>
      </c>
      <c r="AW38" s="74">
        <f t="shared" si="28"/>
        <v>92.786119647727489</v>
      </c>
    </row>
    <row r="39" spans="17:49" x14ac:dyDescent="0.25">
      <c r="Q39">
        <v>32</v>
      </c>
      <c r="R39" s="73">
        <f t="shared" si="0"/>
        <v>20</v>
      </c>
      <c r="S39" s="71">
        <f t="shared" ref="S39:S70" si="32">Q39*$O$12</f>
        <v>3.2</v>
      </c>
      <c r="T39" s="71">
        <f t="shared" si="2"/>
        <v>12</v>
      </c>
      <c r="U39" s="74">
        <f t="shared" ref="U39:U70" si="33">(R39*S39)/(T39*EFF_est)</f>
        <v>5.333333333333333</v>
      </c>
      <c r="V39" s="73">
        <f>IF(Variable_Management!$B$20=3,2,IF((S39*R39/T39)&lt;((T39*(1-(T39/R39)))/(2*Lm*Fsw)),1,2))</f>
        <v>2</v>
      </c>
      <c r="W39" s="71">
        <f t="shared" ref="W39:W70" si="34">CHOOSE(V39,SQRT((2*S39*Lm*Fsw*(R39-T39))/((T39)^2)),1-(T39/R39))</f>
        <v>0.4</v>
      </c>
      <c r="X39" s="74">
        <f t="shared" ref="X39:X70" si="35">CHOOSE(V39,(Lm*Z39*Fsw)/(R39-T39),1-W39)</f>
        <v>0.6</v>
      </c>
      <c r="Y39" s="73">
        <f t="shared" ref="Y39:Y70" si="36">(T39*W39)/(Lm*Fsw)</f>
        <v>2.4000000000000004</v>
      </c>
      <c r="Z39" s="71">
        <f t="shared" si="30"/>
        <v>6.5333333333333332</v>
      </c>
      <c r="AA39" s="71">
        <f t="shared" si="31"/>
        <v>5.3781450746929877</v>
      </c>
      <c r="AB39" s="71">
        <v>0</v>
      </c>
      <c r="AC39" s="71">
        <f t="shared" ref="AC39:AC70" si="37">(AA39^2)*Rdcr</f>
        <v>3.9915733333333328E-2</v>
      </c>
      <c r="AD39" s="74">
        <f t="shared" si="16"/>
        <v>3.9915733333333328E-2</v>
      </c>
      <c r="AE39" s="73">
        <f t="shared" si="29"/>
        <v>2.1333333333333333</v>
      </c>
      <c r="AF39" s="71">
        <f t="shared" si="17"/>
        <v>3.4014376045692476</v>
      </c>
      <c r="AG39" s="71">
        <f t="shared" ref="AG39:AG70" si="38">(AF39^2)*RDS_on</f>
        <v>0.10181404444444449</v>
      </c>
      <c r="AH39" s="71">
        <f t="shared" ref="AH39:AH70" si="39">((R39*U39)/2)*Fsw*(tr_sw+tf_sw)</f>
        <v>1.9967793880837359</v>
      </c>
      <c r="AI39" s="74">
        <f t="shared" si="19"/>
        <v>2.0985934325281805</v>
      </c>
      <c r="AJ39" s="73">
        <f t="shared" si="20"/>
        <v>3.1999999999999997</v>
      </c>
      <c r="AK39" s="71">
        <f t="shared" ref="AK39:AK70" si="40">CHOOSE(V39,Z39*SQRT(X39/3),SQRT(X39*((Z39^2)+((Y39^2)/3)-(Y39*Z39))))</f>
        <v>4.1658932615546771</v>
      </c>
      <c r="AL39" s="71">
        <f t="shared" ref="AL39:AL70" si="41">(AK39^2)*RDS_on_HS</f>
        <v>0.15272106666666668</v>
      </c>
      <c r="AM39" s="71">
        <f t="shared" si="22"/>
        <v>1.3728000000000002</v>
      </c>
      <c r="AN39" s="188">
        <f t="shared" ref="AN39:AN70" si="42">Vd_rect*t_dead*Fsw*Z39</f>
        <v>0.20906666666666668</v>
      </c>
      <c r="AO39" s="74">
        <f t="shared" si="24"/>
        <v>1.7345877333333337</v>
      </c>
      <c r="AP39" s="73">
        <f t="shared" ref="AP39:AP70" si="43">(AA39^2)*R_cs</f>
        <v>4.3386666666666664E-2</v>
      </c>
      <c r="AQ39" s="206">
        <f t="shared" ref="AQ39:AQ70" si="44">Rdcr*AA39^2</f>
        <v>3.9915733333333328E-2</v>
      </c>
      <c r="AR39" s="206">
        <f t="shared" ref="AR39:AR70" si="45">ABS(7.759*10^-3*Fsw^0.9458*(0.00787*Y39)^2.304)</f>
        <v>0.7544881202841347</v>
      </c>
      <c r="AS39" s="71">
        <f t="shared" ref="AS39:AS70" si="46">(Qg_tot+Qg_tot_HS)*Vcc*Fsw</f>
        <v>0.19999999999999998</v>
      </c>
      <c r="AT39" s="74">
        <f t="shared" ref="AT39:AT70" si="47">IQ*T39</f>
        <v>3.96E-5</v>
      </c>
      <c r="AU39" s="73">
        <f t="shared" si="26"/>
        <v>4.9109270194789829</v>
      </c>
      <c r="AV39" s="71">
        <f t="shared" si="27"/>
        <v>64</v>
      </c>
      <c r="AW39" s="74">
        <f t="shared" si="28"/>
        <v>92.873514793828264</v>
      </c>
    </row>
    <row r="40" spans="17:49" x14ac:dyDescent="0.25">
      <c r="Q40">
        <v>33</v>
      </c>
      <c r="R40" s="73">
        <f t="shared" si="0"/>
        <v>20</v>
      </c>
      <c r="S40" s="71">
        <f t="shared" si="32"/>
        <v>3.3000000000000003</v>
      </c>
      <c r="T40" s="71">
        <f t="shared" si="2"/>
        <v>12</v>
      </c>
      <c r="U40" s="74">
        <f t="shared" si="33"/>
        <v>5.5</v>
      </c>
      <c r="V40" s="73">
        <f>IF(Variable_Management!$B$20=3,2,IF((S40*R40/T40)&lt;((T40*(1-(T40/R40)))/(2*Lm*Fsw)),1,2))</f>
        <v>2</v>
      </c>
      <c r="W40" s="71">
        <f t="shared" si="34"/>
        <v>0.4</v>
      </c>
      <c r="X40" s="74">
        <f t="shared" si="35"/>
        <v>0.6</v>
      </c>
      <c r="Y40" s="73">
        <f t="shared" si="36"/>
        <v>2.4000000000000004</v>
      </c>
      <c r="Z40" s="71">
        <f t="shared" si="30"/>
        <v>6.7</v>
      </c>
      <c r="AA40" s="71">
        <f t="shared" si="31"/>
        <v>5.5434646206140794</v>
      </c>
      <c r="AB40" s="71">
        <v>0</v>
      </c>
      <c r="AC40" s="71">
        <f t="shared" si="37"/>
        <v>4.2407399999999998E-2</v>
      </c>
      <c r="AD40" s="74">
        <f t="shared" si="16"/>
        <v>4.2407399999999998E-2</v>
      </c>
      <c r="AE40" s="73">
        <f t="shared" si="29"/>
        <v>2.2000000000000002</v>
      </c>
      <c r="AF40" s="71">
        <f t="shared" si="17"/>
        <v>3.505994865940337</v>
      </c>
      <c r="AG40" s="71">
        <f t="shared" si="38"/>
        <v>0.10816960000000002</v>
      </c>
      <c r="AH40" s="71">
        <f t="shared" si="39"/>
        <v>2.0591787439613527</v>
      </c>
      <c r="AI40" s="74">
        <f t="shared" si="19"/>
        <v>2.1673483439613528</v>
      </c>
      <c r="AJ40" s="73">
        <f t="shared" si="20"/>
        <v>3.3</v>
      </c>
      <c r="AK40" s="71">
        <f t="shared" si="40"/>
        <v>4.2939492311856693</v>
      </c>
      <c r="AL40" s="71">
        <f t="shared" si="41"/>
        <v>0.16225439999999999</v>
      </c>
      <c r="AM40" s="71">
        <f t="shared" ref="AM40:AM71" si="48">CHOOSE(V40,(R40+Vd_rect)*Qrr*Fsw,(R40+Vd_rect)*Qrr*Fsw)</f>
        <v>1.3728000000000002</v>
      </c>
      <c r="AN40" s="188">
        <f t="shared" si="42"/>
        <v>0.21440000000000001</v>
      </c>
      <c r="AO40" s="74">
        <f t="shared" si="24"/>
        <v>1.7494544000000001</v>
      </c>
      <c r="AP40" s="73">
        <f t="shared" si="43"/>
        <v>4.6095000000000004E-2</v>
      </c>
      <c r="AQ40" s="206">
        <f t="shared" si="44"/>
        <v>4.2407399999999998E-2</v>
      </c>
      <c r="AR40" s="206">
        <f t="shared" si="45"/>
        <v>0.7544881202841347</v>
      </c>
      <c r="AS40" s="71">
        <f t="shared" si="46"/>
        <v>0.19999999999999998</v>
      </c>
      <c r="AT40" s="74">
        <f t="shared" si="47"/>
        <v>3.96E-5</v>
      </c>
      <c r="AU40" s="73">
        <f t="shared" si="26"/>
        <v>5.0022402642454882</v>
      </c>
      <c r="AV40" s="71">
        <f t="shared" si="27"/>
        <v>66</v>
      </c>
      <c r="AW40" s="74">
        <f t="shared" si="28"/>
        <v>92.954813474013079</v>
      </c>
    </row>
    <row r="41" spans="17:49" x14ac:dyDescent="0.25">
      <c r="Q41">
        <v>34</v>
      </c>
      <c r="R41" s="73">
        <f t="shared" si="0"/>
        <v>20</v>
      </c>
      <c r="S41" s="71">
        <f t="shared" si="32"/>
        <v>3.4000000000000004</v>
      </c>
      <c r="T41" s="71">
        <f t="shared" si="2"/>
        <v>12</v>
      </c>
      <c r="U41" s="74">
        <f t="shared" si="33"/>
        <v>5.666666666666667</v>
      </c>
      <c r="V41" s="73">
        <f>IF(Variable_Management!$B$20=3,2,IF((S41*R41/T41)&lt;((T41*(1-(T41/R41)))/(2*Lm*Fsw)),1,2))</f>
        <v>2</v>
      </c>
      <c r="W41" s="71">
        <f t="shared" si="34"/>
        <v>0.4</v>
      </c>
      <c r="X41" s="74">
        <f t="shared" si="35"/>
        <v>0.6</v>
      </c>
      <c r="Y41" s="73">
        <f t="shared" si="36"/>
        <v>2.4000000000000004</v>
      </c>
      <c r="Z41" s="71">
        <f t="shared" si="30"/>
        <v>6.8666666666666671</v>
      </c>
      <c r="AA41" s="71">
        <f t="shared" si="31"/>
        <v>5.7088625058860112</v>
      </c>
      <c r="AB41" s="71">
        <v>0</v>
      </c>
      <c r="AC41" s="71">
        <f t="shared" si="37"/>
        <v>4.4975733333333323E-2</v>
      </c>
      <c r="AD41" s="74">
        <f t="shared" si="16"/>
        <v>4.4975733333333323E-2</v>
      </c>
      <c r="AE41" s="73">
        <f t="shared" si="29"/>
        <v>2.2666666666666671</v>
      </c>
      <c r="AF41" s="71">
        <f t="shared" si="17"/>
        <v>3.6106016734672419</v>
      </c>
      <c r="AG41" s="71">
        <f t="shared" si="38"/>
        <v>0.11472071111111115</v>
      </c>
      <c r="AH41" s="71">
        <f t="shared" si="39"/>
        <v>2.1215780998389699</v>
      </c>
      <c r="AI41" s="74">
        <f t="shared" si="19"/>
        <v>2.236298810950081</v>
      </c>
      <c r="AJ41" s="73">
        <f t="shared" si="20"/>
        <v>3.4</v>
      </c>
      <c r="AK41" s="71">
        <f t="shared" si="40"/>
        <v>4.4220658822168932</v>
      </c>
      <c r="AL41" s="71">
        <f t="shared" si="41"/>
        <v>0.1720810666666667</v>
      </c>
      <c r="AM41" s="71">
        <f t="shared" si="48"/>
        <v>1.3728000000000002</v>
      </c>
      <c r="AN41" s="188">
        <f t="shared" si="42"/>
        <v>0.21973333333333336</v>
      </c>
      <c r="AO41" s="74">
        <f t="shared" si="24"/>
        <v>1.7646144000000004</v>
      </c>
      <c r="AP41" s="73">
        <f t="shared" si="43"/>
        <v>4.8886666666666655E-2</v>
      </c>
      <c r="AQ41" s="206">
        <f t="shared" si="44"/>
        <v>4.4975733333333323E-2</v>
      </c>
      <c r="AR41" s="206">
        <f t="shared" si="45"/>
        <v>0.7544881202841347</v>
      </c>
      <c r="AS41" s="71">
        <f t="shared" si="46"/>
        <v>0.19999999999999998</v>
      </c>
      <c r="AT41" s="74">
        <f t="shared" si="47"/>
        <v>3.96E-5</v>
      </c>
      <c r="AU41" s="73">
        <f t="shared" si="26"/>
        <v>5.0942790645675506</v>
      </c>
      <c r="AV41" s="71">
        <f t="shared" si="27"/>
        <v>68</v>
      </c>
      <c r="AW41" s="74">
        <f t="shared" si="28"/>
        <v>93.030536548465676</v>
      </c>
    </row>
    <row r="42" spans="17:49" x14ac:dyDescent="0.25">
      <c r="Q42">
        <v>35</v>
      </c>
      <c r="R42" s="73">
        <f t="shared" si="0"/>
        <v>20</v>
      </c>
      <c r="S42" s="71">
        <f t="shared" si="32"/>
        <v>3.5</v>
      </c>
      <c r="T42" s="71">
        <f t="shared" si="2"/>
        <v>12</v>
      </c>
      <c r="U42" s="74">
        <f t="shared" si="33"/>
        <v>5.833333333333333</v>
      </c>
      <c r="V42" s="73">
        <f>IF(Variable_Management!$B$20=3,2,IF((S42*R42/T42)&lt;((T42*(1-(T42/R42)))/(2*Lm*Fsw)),1,2))</f>
        <v>2</v>
      </c>
      <c r="W42" s="71">
        <f t="shared" si="34"/>
        <v>0.4</v>
      </c>
      <c r="X42" s="74">
        <f t="shared" si="35"/>
        <v>0.6</v>
      </c>
      <c r="Y42" s="73">
        <f t="shared" si="36"/>
        <v>2.4000000000000004</v>
      </c>
      <c r="Z42" s="71">
        <f t="shared" si="30"/>
        <v>7.0333333333333332</v>
      </c>
      <c r="AA42" s="71">
        <f t="shared" si="31"/>
        <v>5.8743321133366102</v>
      </c>
      <c r="AB42" s="71">
        <v>0</v>
      </c>
      <c r="AC42" s="71">
        <f t="shared" si="37"/>
        <v>4.7620733333333318E-2</v>
      </c>
      <c r="AD42" s="74">
        <f t="shared" si="16"/>
        <v>4.7620733333333318E-2</v>
      </c>
      <c r="AE42" s="73">
        <f t="shared" si="29"/>
        <v>2.3333333333333335</v>
      </c>
      <c r="AF42" s="71">
        <f t="shared" si="17"/>
        <v>3.7152538420828138</v>
      </c>
      <c r="AG42" s="71">
        <f t="shared" si="38"/>
        <v>0.12146737777777777</v>
      </c>
      <c r="AH42" s="71">
        <f t="shared" si="39"/>
        <v>2.1839774557165863</v>
      </c>
      <c r="AI42" s="74">
        <f t="shared" si="19"/>
        <v>2.3054448334943642</v>
      </c>
      <c r="AJ42" s="73">
        <f t="shared" si="20"/>
        <v>3.4999999999999996</v>
      </c>
      <c r="AK42" s="71">
        <f t="shared" si="40"/>
        <v>4.5502380890088228</v>
      </c>
      <c r="AL42" s="71">
        <f t="shared" si="41"/>
        <v>0.18220106666666666</v>
      </c>
      <c r="AM42" s="71">
        <f t="shared" si="48"/>
        <v>1.3728000000000002</v>
      </c>
      <c r="AN42" s="188">
        <f t="shared" si="42"/>
        <v>0.22506666666666666</v>
      </c>
      <c r="AO42" s="74">
        <f t="shared" si="24"/>
        <v>1.7800677333333337</v>
      </c>
      <c r="AP42" s="73">
        <f t="shared" si="43"/>
        <v>5.176166666666665E-2</v>
      </c>
      <c r="AQ42" s="206">
        <f t="shared" si="44"/>
        <v>4.7620733333333318E-2</v>
      </c>
      <c r="AR42" s="206">
        <f t="shared" si="45"/>
        <v>0.7544881202841347</v>
      </c>
      <c r="AS42" s="71">
        <f t="shared" si="46"/>
        <v>0.19999999999999998</v>
      </c>
      <c r="AT42" s="74">
        <f t="shared" si="47"/>
        <v>3.96E-5</v>
      </c>
      <c r="AU42" s="73">
        <f t="shared" si="26"/>
        <v>5.1870434204451659</v>
      </c>
      <c r="AV42" s="71">
        <f t="shared" si="27"/>
        <v>70</v>
      </c>
      <c r="AW42" s="74">
        <f t="shared" si="28"/>
        <v>93.101147239639062</v>
      </c>
    </row>
    <row r="43" spans="17:49" x14ac:dyDescent="0.25">
      <c r="Q43">
        <v>36</v>
      </c>
      <c r="R43" s="73">
        <f t="shared" si="0"/>
        <v>20</v>
      </c>
      <c r="S43" s="71">
        <f t="shared" si="32"/>
        <v>3.6</v>
      </c>
      <c r="T43" s="71">
        <f t="shared" si="2"/>
        <v>12</v>
      </c>
      <c r="U43" s="74">
        <f t="shared" si="33"/>
        <v>6</v>
      </c>
      <c r="V43" s="73">
        <f>IF(Variable_Management!$B$20=3,2,IF((S43*R43/T43)&lt;((T43*(1-(T43/R43)))/(2*Lm*Fsw)),1,2))</f>
        <v>2</v>
      </c>
      <c r="W43" s="71">
        <f t="shared" si="34"/>
        <v>0.4</v>
      </c>
      <c r="X43" s="74">
        <f t="shared" si="35"/>
        <v>0.6</v>
      </c>
      <c r="Y43" s="73">
        <f t="shared" si="36"/>
        <v>2.4000000000000004</v>
      </c>
      <c r="Z43" s="71">
        <f t="shared" si="30"/>
        <v>7.2</v>
      </c>
      <c r="AA43" s="71">
        <f t="shared" si="31"/>
        <v>6.0398675482165993</v>
      </c>
      <c r="AB43" s="71">
        <v>0</v>
      </c>
      <c r="AC43" s="71">
        <f t="shared" si="37"/>
        <v>5.0342399999999995E-2</v>
      </c>
      <c r="AD43" s="74">
        <f t="shared" si="16"/>
        <v>5.0342399999999995E-2</v>
      </c>
      <c r="AE43" s="73">
        <f t="shared" si="29"/>
        <v>2.4000000000000004</v>
      </c>
      <c r="AF43" s="71">
        <f t="shared" si="17"/>
        <v>3.8199476436202633</v>
      </c>
      <c r="AG43" s="71">
        <f t="shared" si="38"/>
        <v>0.12840960000000004</v>
      </c>
      <c r="AH43" s="71">
        <f t="shared" si="39"/>
        <v>2.2463768115942031</v>
      </c>
      <c r="AI43" s="74">
        <f t="shared" si="19"/>
        <v>2.374786411594203</v>
      </c>
      <c r="AJ43" s="73">
        <f t="shared" si="20"/>
        <v>3.5999999999999996</v>
      </c>
      <c r="AK43" s="71">
        <f t="shared" si="40"/>
        <v>4.6784612855083028</v>
      </c>
      <c r="AL43" s="71">
        <f t="shared" si="41"/>
        <v>0.19261440000000002</v>
      </c>
      <c r="AM43" s="71">
        <f t="shared" si="48"/>
        <v>1.3728000000000002</v>
      </c>
      <c r="AN43" s="188">
        <f t="shared" si="42"/>
        <v>0.23040000000000002</v>
      </c>
      <c r="AO43" s="74">
        <f t="shared" si="24"/>
        <v>1.7958144000000003</v>
      </c>
      <c r="AP43" s="73">
        <f t="shared" si="43"/>
        <v>5.4719999999999998E-2</v>
      </c>
      <c r="AQ43" s="206">
        <f t="shared" si="44"/>
        <v>5.0342399999999995E-2</v>
      </c>
      <c r="AR43" s="206">
        <f t="shared" si="45"/>
        <v>0.7544881202841347</v>
      </c>
      <c r="AS43" s="71">
        <f t="shared" si="46"/>
        <v>0.19999999999999998</v>
      </c>
      <c r="AT43" s="74">
        <f t="shared" si="47"/>
        <v>3.96E-5</v>
      </c>
      <c r="AU43" s="73">
        <f t="shared" si="26"/>
        <v>5.2805333318783383</v>
      </c>
      <c r="AV43" s="71">
        <f t="shared" si="27"/>
        <v>72</v>
      </c>
      <c r="AW43" s="74">
        <f t="shared" si="28"/>
        <v>93.167058890236589</v>
      </c>
    </row>
    <row r="44" spans="17:49" x14ac:dyDescent="0.25">
      <c r="Q44">
        <v>37</v>
      </c>
      <c r="R44" s="73">
        <f t="shared" si="0"/>
        <v>20</v>
      </c>
      <c r="S44" s="71">
        <f t="shared" si="32"/>
        <v>3.7</v>
      </c>
      <c r="T44" s="71">
        <f t="shared" si="2"/>
        <v>12</v>
      </c>
      <c r="U44" s="74">
        <f t="shared" si="33"/>
        <v>6.166666666666667</v>
      </c>
      <c r="V44" s="73">
        <f>IF(Variable_Management!$B$20=3,2,IF((S44*R44/T44)&lt;((T44*(1-(T44/R44)))/(2*Lm*Fsw)),1,2))</f>
        <v>2</v>
      </c>
      <c r="W44" s="71">
        <f t="shared" si="34"/>
        <v>0.4</v>
      </c>
      <c r="X44" s="74">
        <f t="shared" si="35"/>
        <v>0.6</v>
      </c>
      <c r="Y44" s="73">
        <f t="shared" si="36"/>
        <v>2.4000000000000004</v>
      </c>
      <c r="Z44" s="71">
        <f t="shared" si="30"/>
        <v>7.3666666666666671</v>
      </c>
      <c r="AA44" s="71">
        <f t="shared" si="31"/>
        <v>6.2054635425387668</v>
      </c>
      <c r="AB44" s="71">
        <v>0</v>
      </c>
      <c r="AC44" s="71">
        <f t="shared" si="37"/>
        <v>5.3140733333333336E-2</v>
      </c>
      <c r="AD44" s="74">
        <f t="shared" si="16"/>
        <v>5.3140733333333336E-2</v>
      </c>
      <c r="AE44" s="73">
        <f t="shared" si="29"/>
        <v>2.4666666666666668</v>
      </c>
      <c r="AF44" s="71">
        <f t="shared" si="17"/>
        <v>3.9246797463119352</v>
      </c>
      <c r="AG44" s="71">
        <f t="shared" si="38"/>
        <v>0.13554737777777784</v>
      </c>
      <c r="AH44" s="71">
        <f t="shared" si="39"/>
        <v>2.3087761674718199</v>
      </c>
      <c r="AI44" s="74">
        <f t="shared" si="19"/>
        <v>2.4443235452495977</v>
      </c>
      <c r="AJ44" s="73">
        <f t="shared" si="20"/>
        <v>3.7</v>
      </c>
      <c r="AK44" s="71">
        <f t="shared" si="40"/>
        <v>4.8067313911499854</v>
      </c>
      <c r="AL44" s="71">
        <f t="shared" si="41"/>
        <v>0.20332106666666674</v>
      </c>
      <c r="AM44" s="71">
        <f t="shared" si="48"/>
        <v>1.3728000000000002</v>
      </c>
      <c r="AN44" s="188">
        <f t="shared" si="42"/>
        <v>0.23573333333333335</v>
      </c>
      <c r="AO44" s="74">
        <f t="shared" si="24"/>
        <v>1.8118544000000003</v>
      </c>
      <c r="AP44" s="73">
        <f t="shared" si="43"/>
        <v>5.7761666666666676E-2</v>
      </c>
      <c r="AQ44" s="206">
        <f t="shared" si="44"/>
        <v>5.3140733333333336E-2</v>
      </c>
      <c r="AR44" s="206">
        <f t="shared" si="45"/>
        <v>0.7544881202841347</v>
      </c>
      <c r="AS44" s="71">
        <f t="shared" si="46"/>
        <v>0.19999999999999998</v>
      </c>
      <c r="AT44" s="74">
        <f t="shared" si="47"/>
        <v>3.96E-5</v>
      </c>
      <c r="AU44" s="73">
        <f t="shared" si="26"/>
        <v>5.374748798867067</v>
      </c>
      <c r="AV44" s="71">
        <f t="shared" si="27"/>
        <v>74</v>
      </c>
      <c r="AW44" s="74">
        <f t="shared" si="28"/>
        <v>93.228641500980984</v>
      </c>
    </row>
    <row r="45" spans="17:49" x14ac:dyDescent="0.25">
      <c r="Q45">
        <v>38</v>
      </c>
      <c r="R45" s="73">
        <f t="shared" si="0"/>
        <v>20</v>
      </c>
      <c r="S45" s="71">
        <f t="shared" si="32"/>
        <v>3.8000000000000003</v>
      </c>
      <c r="T45" s="71">
        <f t="shared" si="2"/>
        <v>12</v>
      </c>
      <c r="U45" s="74">
        <f t="shared" si="33"/>
        <v>6.333333333333333</v>
      </c>
      <c r="V45" s="73">
        <f>IF(Variable_Management!$B$20=3,2,IF((S45*R45/T45)&lt;((T45*(1-(T45/R45)))/(2*Lm*Fsw)),1,2))</f>
        <v>2</v>
      </c>
      <c r="W45" s="71">
        <f t="shared" si="34"/>
        <v>0.4</v>
      </c>
      <c r="X45" s="74">
        <f t="shared" si="35"/>
        <v>0.6</v>
      </c>
      <c r="Y45" s="73">
        <f t="shared" si="36"/>
        <v>2.4000000000000004</v>
      </c>
      <c r="Z45" s="71">
        <f t="shared" si="30"/>
        <v>7.5333333333333332</v>
      </c>
      <c r="AA45" s="71">
        <f t="shared" si="31"/>
        <v>6.3711153741798698</v>
      </c>
      <c r="AB45" s="71">
        <v>0</v>
      </c>
      <c r="AC45" s="71">
        <f t="shared" si="37"/>
        <v>5.6015733333333324E-2</v>
      </c>
      <c r="AD45" s="74">
        <f t="shared" si="16"/>
        <v>5.6015733333333324E-2</v>
      </c>
      <c r="AE45" s="73">
        <f t="shared" si="29"/>
        <v>2.5333333333333332</v>
      </c>
      <c r="AF45" s="71">
        <f t="shared" si="17"/>
        <v>4.0294471636248614</v>
      </c>
      <c r="AG45" s="71">
        <f t="shared" si="38"/>
        <v>0.14288071111111109</v>
      </c>
      <c r="AH45" s="71">
        <f t="shared" si="39"/>
        <v>2.3711755233494363</v>
      </c>
      <c r="AI45" s="74">
        <f t="shared" si="19"/>
        <v>2.5140562344605475</v>
      </c>
      <c r="AJ45" s="73">
        <f t="shared" si="20"/>
        <v>3.8</v>
      </c>
      <c r="AK45" s="71">
        <f t="shared" si="40"/>
        <v>4.9350447481929347</v>
      </c>
      <c r="AL45" s="71">
        <f t="shared" si="41"/>
        <v>0.21432106666666667</v>
      </c>
      <c r="AM45" s="71">
        <f t="shared" si="48"/>
        <v>1.3728000000000002</v>
      </c>
      <c r="AN45" s="188">
        <f t="shared" si="42"/>
        <v>0.24106666666666668</v>
      </c>
      <c r="AO45" s="74">
        <f t="shared" si="24"/>
        <v>1.8281877333333336</v>
      </c>
      <c r="AP45" s="73">
        <f t="shared" si="43"/>
        <v>6.0886666666666658E-2</v>
      </c>
      <c r="AQ45" s="206">
        <f t="shared" si="44"/>
        <v>5.6015733333333324E-2</v>
      </c>
      <c r="AR45" s="206">
        <f t="shared" si="45"/>
        <v>0.7544881202841347</v>
      </c>
      <c r="AS45" s="71">
        <f t="shared" si="46"/>
        <v>0.19999999999999998</v>
      </c>
      <c r="AT45" s="74">
        <f t="shared" si="47"/>
        <v>3.96E-5</v>
      </c>
      <c r="AU45" s="73">
        <f t="shared" si="26"/>
        <v>5.4696898214113494</v>
      </c>
      <c r="AV45" s="71">
        <f t="shared" si="27"/>
        <v>76</v>
      </c>
      <c r="AW45" s="74">
        <f t="shared" si="28"/>
        <v>93.28622726635956</v>
      </c>
    </row>
    <row r="46" spans="17:49" x14ac:dyDescent="0.25">
      <c r="Q46">
        <v>39</v>
      </c>
      <c r="R46" s="73">
        <f t="shared" si="0"/>
        <v>20</v>
      </c>
      <c r="S46" s="71">
        <f t="shared" si="32"/>
        <v>3.9000000000000004</v>
      </c>
      <c r="T46" s="71">
        <f t="shared" si="2"/>
        <v>12</v>
      </c>
      <c r="U46" s="74">
        <f t="shared" si="33"/>
        <v>6.5</v>
      </c>
      <c r="V46" s="73">
        <f>IF(Variable_Management!$B$20=3,2,IF((S46*R46/T46)&lt;((T46*(1-(T46/R46)))/(2*Lm*Fsw)),1,2))</f>
        <v>2</v>
      </c>
      <c r="W46" s="71">
        <f t="shared" si="34"/>
        <v>0.4</v>
      </c>
      <c r="X46" s="74">
        <f t="shared" si="35"/>
        <v>0.6</v>
      </c>
      <c r="Y46" s="73">
        <f t="shared" si="36"/>
        <v>2.4000000000000004</v>
      </c>
      <c r="Z46" s="71">
        <f t="shared" si="30"/>
        <v>7.7</v>
      </c>
      <c r="AA46" s="71">
        <f t="shared" si="31"/>
        <v>6.5368187981616863</v>
      </c>
      <c r="AB46" s="71">
        <v>0</v>
      </c>
      <c r="AC46" s="71">
        <f t="shared" si="37"/>
        <v>5.8967399999999982E-2</v>
      </c>
      <c r="AD46" s="74">
        <f t="shared" si="16"/>
        <v>5.8967399999999982E-2</v>
      </c>
      <c r="AE46" s="73">
        <f t="shared" si="29"/>
        <v>2.6</v>
      </c>
      <c r="AF46" s="71">
        <f t="shared" si="17"/>
        <v>4.1342472107990833</v>
      </c>
      <c r="AG46" s="71">
        <f t="shared" si="38"/>
        <v>0.1504096</v>
      </c>
      <c r="AH46" s="71">
        <f t="shared" si="39"/>
        <v>2.4335748792270535</v>
      </c>
      <c r="AI46" s="74">
        <f t="shared" si="19"/>
        <v>2.5839844792270537</v>
      </c>
      <c r="AJ46" s="73">
        <f t="shared" si="20"/>
        <v>3.9</v>
      </c>
      <c r="AK46" s="71">
        <f t="shared" si="40"/>
        <v>5.0633980684911588</v>
      </c>
      <c r="AL46" s="71">
        <f t="shared" si="41"/>
        <v>0.22561439999999999</v>
      </c>
      <c r="AM46" s="71">
        <f t="shared" si="48"/>
        <v>1.3728000000000002</v>
      </c>
      <c r="AN46" s="188">
        <f t="shared" si="42"/>
        <v>0.24640000000000001</v>
      </c>
      <c r="AO46" s="74">
        <f t="shared" si="24"/>
        <v>1.8448144000000002</v>
      </c>
      <c r="AP46" s="73">
        <f t="shared" si="43"/>
        <v>6.4094999999999985E-2</v>
      </c>
      <c r="AQ46" s="206">
        <f t="shared" si="44"/>
        <v>5.8967399999999982E-2</v>
      </c>
      <c r="AR46" s="206">
        <f t="shared" si="45"/>
        <v>0.7544881202841347</v>
      </c>
      <c r="AS46" s="71">
        <f t="shared" si="46"/>
        <v>0.19999999999999998</v>
      </c>
      <c r="AT46" s="74">
        <f t="shared" si="47"/>
        <v>3.96E-5</v>
      </c>
      <c r="AU46" s="73">
        <f t="shared" si="26"/>
        <v>5.5653563995111899</v>
      </c>
      <c r="AV46" s="71">
        <f t="shared" si="27"/>
        <v>78</v>
      </c>
      <c r="AW46" s="74">
        <f t="shared" si="28"/>
        <v>93.340115283055567</v>
      </c>
    </row>
    <row r="47" spans="17:49" x14ac:dyDescent="0.25">
      <c r="Q47">
        <v>40</v>
      </c>
      <c r="R47" s="73">
        <f t="shared" si="0"/>
        <v>20</v>
      </c>
      <c r="S47" s="71">
        <f t="shared" si="32"/>
        <v>4</v>
      </c>
      <c r="T47" s="71">
        <f t="shared" si="2"/>
        <v>12</v>
      </c>
      <c r="U47" s="74">
        <f t="shared" si="33"/>
        <v>6.666666666666667</v>
      </c>
      <c r="V47" s="73">
        <f>IF(Variable_Management!$B$20=3,2,IF((S47*R47/T47)&lt;((T47*(1-(T47/R47)))/(2*Lm*Fsw)),1,2))</f>
        <v>2</v>
      </c>
      <c r="W47" s="71">
        <f t="shared" si="34"/>
        <v>0.4</v>
      </c>
      <c r="X47" s="74">
        <f t="shared" si="35"/>
        <v>0.6</v>
      </c>
      <c r="Y47" s="73">
        <f t="shared" si="36"/>
        <v>2.4000000000000004</v>
      </c>
      <c r="Z47" s="71">
        <f t="shared" si="30"/>
        <v>7.8666666666666671</v>
      </c>
      <c r="AA47" s="71">
        <f t="shared" si="31"/>
        <v>6.7025699880302962</v>
      </c>
      <c r="AB47" s="71">
        <v>0</v>
      </c>
      <c r="AC47" s="71">
        <f t="shared" si="37"/>
        <v>6.199573333333333E-2</v>
      </c>
      <c r="AD47" s="74">
        <f t="shared" si="16"/>
        <v>6.199573333333333E-2</v>
      </c>
      <c r="AE47" s="73">
        <f t="shared" si="29"/>
        <v>2.666666666666667</v>
      </c>
      <c r="AF47" s="71">
        <f t="shared" si="17"/>
        <v>4.2390774677726499</v>
      </c>
      <c r="AG47" s="71">
        <f t="shared" si="38"/>
        <v>0.15813404444444448</v>
      </c>
      <c r="AH47" s="71">
        <f t="shared" si="39"/>
        <v>2.4959742351046703</v>
      </c>
      <c r="AI47" s="74">
        <f t="shared" si="19"/>
        <v>2.6541082795491149</v>
      </c>
      <c r="AJ47" s="73">
        <f t="shared" si="20"/>
        <v>4</v>
      </c>
      <c r="AK47" s="71">
        <f t="shared" si="40"/>
        <v>5.1917883880861968</v>
      </c>
      <c r="AL47" s="71">
        <f t="shared" si="41"/>
        <v>0.23720106666666668</v>
      </c>
      <c r="AM47" s="71">
        <f t="shared" si="48"/>
        <v>1.3728000000000002</v>
      </c>
      <c r="AN47" s="188">
        <f t="shared" si="42"/>
        <v>0.25173333333333336</v>
      </c>
      <c r="AO47" s="74">
        <f t="shared" si="24"/>
        <v>1.8617344000000002</v>
      </c>
      <c r="AP47" s="73">
        <f t="shared" si="43"/>
        <v>6.7386666666666678E-2</v>
      </c>
      <c r="AQ47" s="206">
        <f t="shared" si="44"/>
        <v>6.199573333333333E-2</v>
      </c>
      <c r="AR47" s="206">
        <f t="shared" si="45"/>
        <v>0.7544881202841347</v>
      </c>
      <c r="AS47" s="71">
        <f t="shared" si="46"/>
        <v>0.19999999999999998</v>
      </c>
      <c r="AT47" s="74">
        <f t="shared" si="47"/>
        <v>3.96E-5</v>
      </c>
      <c r="AU47" s="73">
        <f t="shared" si="26"/>
        <v>5.6617485331665831</v>
      </c>
      <c r="AV47" s="71">
        <f t="shared" si="27"/>
        <v>80</v>
      </c>
      <c r="AW47" s="74">
        <f t="shared" si="28"/>
        <v>93.39057557180908</v>
      </c>
    </row>
    <row r="48" spans="17:49" x14ac:dyDescent="0.25">
      <c r="Q48">
        <v>41</v>
      </c>
      <c r="R48" s="73">
        <f t="shared" si="0"/>
        <v>20</v>
      </c>
      <c r="S48" s="71">
        <f t="shared" si="32"/>
        <v>4.1000000000000005</v>
      </c>
      <c r="T48" s="71">
        <f t="shared" si="2"/>
        <v>12</v>
      </c>
      <c r="U48" s="74">
        <f t="shared" si="33"/>
        <v>6.8333333333333348</v>
      </c>
      <c r="V48" s="73">
        <f>IF(Variable_Management!$B$20=3,2,IF((S48*R48/T48)&lt;((T48*(1-(T48/R48)))/(2*Lm*Fsw)),1,2))</f>
        <v>2</v>
      </c>
      <c r="W48" s="71">
        <f t="shared" si="34"/>
        <v>0.4</v>
      </c>
      <c r="X48" s="74">
        <f t="shared" si="35"/>
        <v>0.6</v>
      </c>
      <c r="Y48" s="73">
        <f t="shared" si="36"/>
        <v>2.4000000000000004</v>
      </c>
      <c r="Z48" s="71">
        <f t="shared" si="30"/>
        <v>8.033333333333335</v>
      </c>
      <c r="AA48" s="71">
        <f t="shared" si="31"/>
        <v>6.8683654856482743</v>
      </c>
      <c r="AB48" s="71">
        <v>0</v>
      </c>
      <c r="AC48" s="71">
        <f t="shared" si="37"/>
        <v>6.5100733333333341E-2</v>
      </c>
      <c r="AD48" s="74">
        <f t="shared" si="16"/>
        <v>6.5100733333333341E-2</v>
      </c>
      <c r="AE48" s="73">
        <f t="shared" si="29"/>
        <v>2.7333333333333343</v>
      </c>
      <c r="AF48" s="71">
        <f t="shared" si="17"/>
        <v>4.3439357474274169</v>
      </c>
      <c r="AG48" s="71">
        <f t="shared" si="38"/>
        <v>0.16605404444444458</v>
      </c>
      <c r="AH48" s="71">
        <f t="shared" si="39"/>
        <v>2.5583735909822871</v>
      </c>
      <c r="AI48" s="74">
        <f t="shared" si="19"/>
        <v>2.7244276354267316</v>
      </c>
      <c r="AJ48" s="73">
        <f t="shared" si="20"/>
        <v>4.1000000000000005</v>
      </c>
      <c r="AK48" s="71">
        <f t="shared" si="40"/>
        <v>5.3202130283163171</v>
      </c>
      <c r="AL48" s="71">
        <f t="shared" si="41"/>
        <v>0.24908106666666677</v>
      </c>
      <c r="AM48" s="71">
        <f t="shared" si="48"/>
        <v>1.3728000000000002</v>
      </c>
      <c r="AN48" s="188">
        <f t="shared" si="42"/>
        <v>0.25706666666666672</v>
      </c>
      <c r="AO48" s="74">
        <f t="shared" si="24"/>
        <v>1.8789477333333338</v>
      </c>
      <c r="AP48" s="73">
        <f t="shared" si="43"/>
        <v>7.0761666666666681E-2</v>
      </c>
      <c r="AQ48" s="206">
        <f t="shared" si="44"/>
        <v>6.5100733333333341E-2</v>
      </c>
      <c r="AR48" s="206">
        <f t="shared" si="45"/>
        <v>0.7544881202841347</v>
      </c>
      <c r="AS48" s="71">
        <f t="shared" si="46"/>
        <v>0.19999999999999998</v>
      </c>
      <c r="AT48" s="74">
        <f t="shared" si="47"/>
        <v>3.96E-5</v>
      </c>
      <c r="AU48" s="73">
        <f t="shared" si="26"/>
        <v>5.7588662223775344</v>
      </c>
      <c r="AV48" s="71">
        <f t="shared" si="27"/>
        <v>82.000000000000014</v>
      </c>
      <c r="AW48" s="74">
        <f t="shared" si="28"/>
        <v>93.437852526735256</v>
      </c>
    </row>
    <row r="49" spans="17:49" x14ac:dyDescent="0.25">
      <c r="Q49">
        <v>42</v>
      </c>
      <c r="R49" s="73">
        <f t="shared" si="0"/>
        <v>20</v>
      </c>
      <c r="S49" s="71">
        <f t="shared" si="32"/>
        <v>4.2</v>
      </c>
      <c r="T49" s="71">
        <f t="shared" si="2"/>
        <v>12</v>
      </c>
      <c r="U49" s="74">
        <f t="shared" si="33"/>
        <v>7</v>
      </c>
      <c r="V49" s="73">
        <f>IF(Variable_Management!$B$20=3,2,IF((S49*R49/T49)&lt;((T49*(1-(T49/R49)))/(2*Lm*Fsw)),1,2))</f>
        <v>2</v>
      </c>
      <c r="W49" s="71">
        <f t="shared" si="34"/>
        <v>0.4</v>
      </c>
      <c r="X49" s="74">
        <f t="shared" si="35"/>
        <v>0.6</v>
      </c>
      <c r="Y49" s="73">
        <f t="shared" si="36"/>
        <v>2.4000000000000004</v>
      </c>
      <c r="Z49" s="71">
        <f t="shared" si="30"/>
        <v>8.1999999999999993</v>
      </c>
      <c r="AA49" s="71">
        <f t="shared" si="31"/>
        <v>7.0342021580275897</v>
      </c>
      <c r="AB49" s="71">
        <v>0</v>
      </c>
      <c r="AC49" s="71">
        <f t="shared" si="37"/>
        <v>6.8282400000000007E-2</v>
      </c>
      <c r="AD49" s="74">
        <f t="shared" si="16"/>
        <v>6.8282400000000007E-2</v>
      </c>
      <c r="AE49" s="73">
        <f t="shared" si="29"/>
        <v>2.8000000000000003</v>
      </c>
      <c r="AF49" s="71">
        <f t="shared" si="17"/>
        <v>4.4488200682877705</v>
      </c>
      <c r="AG49" s="71">
        <f t="shared" si="38"/>
        <v>0.17416960000000006</v>
      </c>
      <c r="AH49" s="71">
        <f t="shared" si="39"/>
        <v>2.6207729468599035</v>
      </c>
      <c r="AI49" s="74">
        <f t="shared" si="19"/>
        <v>2.7949425468599034</v>
      </c>
      <c r="AJ49" s="73">
        <f t="shared" si="20"/>
        <v>4.2</v>
      </c>
      <c r="AK49" s="71">
        <f t="shared" si="40"/>
        <v>5.4486695623794255</v>
      </c>
      <c r="AL49" s="71">
        <f t="shared" si="41"/>
        <v>0.2612544</v>
      </c>
      <c r="AM49" s="71">
        <f t="shared" si="48"/>
        <v>1.3728000000000002</v>
      </c>
      <c r="AN49" s="188">
        <f t="shared" si="42"/>
        <v>0.26239999999999997</v>
      </c>
      <c r="AO49" s="74">
        <f t="shared" si="24"/>
        <v>1.8964544000000001</v>
      </c>
      <c r="AP49" s="73">
        <f t="shared" si="43"/>
        <v>7.4220000000000008E-2</v>
      </c>
      <c r="AQ49" s="206">
        <f t="shared" si="44"/>
        <v>6.8282400000000007E-2</v>
      </c>
      <c r="AR49" s="206">
        <f t="shared" si="45"/>
        <v>0.7544881202841347</v>
      </c>
      <c r="AS49" s="71">
        <f t="shared" si="46"/>
        <v>0.19999999999999998</v>
      </c>
      <c r="AT49" s="74">
        <f t="shared" si="47"/>
        <v>3.96E-5</v>
      </c>
      <c r="AU49" s="73">
        <f t="shared" si="26"/>
        <v>5.8567094671440394</v>
      </c>
      <c r="AV49" s="71">
        <f t="shared" si="27"/>
        <v>84</v>
      </c>
      <c r="AW49" s="74">
        <f t="shared" si="28"/>
        <v>93.482167884986339</v>
      </c>
    </row>
    <row r="50" spans="17:49" x14ac:dyDescent="0.25">
      <c r="Q50">
        <v>43</v>
      </c>
      <c r="R50" s="73">
        <f t="shared" si="0"/>
        <v>20</v>
      </c>
      <c r="S50" s="71">
        <f t="shared" si="32"/>
        <v>4.3</v>
      </c>
      <c r="T50" s="71">
        <f t="shared" si="2"/>
        <v>12</v>
      </c>
      <c r="U50" s="74">
        <f t="shared" si="33"/>
        <v>7.166666666666667</v>
      </c>
      <c r="V50" s="73">
        <f>IF(Variable_Management!$B$20=3,2,IF((S50*R50/T50)&lt;((T50*(1-(T50/R50)))/(2*Lm*Fsw)),1,2))</f>
        <v>2</v>
      </c>
      <c r="W50" s="71">
        <f t="shared" si="34"/>
        <v>0.4</v>
      </c>
      <c r="X50" s="74">
        <f t="shared" si="35"/>
        <v>0.6</v>
      </c>
      <c r="Y50" s="73">
        <f t="shared" si="36"/>
        <v>2.4000000000000004</v>
      </c>
      <c r="Z50" s="71">
        <f t="shared" si="30"/>
        <v>8.3666666666666671</v>
      </c>
      <c r="AA50" s="71">
        <f t="shared" si="31"/>
        <v>7.2000771600803777</v>
      </c>
      <c r="AB50" s="71">
        <v>0</v>
      </c>
      <c r="AC50" s="71">
        <f t="shared" si="37"/>
        <v>7.1540733333333342E-2</v>
      </c>
      <c r="AD50" s="74">
        <f t="shared" si="16"/>
        <v>7.1540733333333342E-2</v>
      </c>
      <c r="AE50" s="73">
        <f t="shared" si="29"/>
        <v>2.8666666666666671</v>
      </c>
      <c r="AF50" s="71">
        <f t="shared" si="17"/>
        <v>4.5537286309621532</v>
      </c>
      <c r="AG50" s="71">
        <f t="shared" si="38"/>
        <v>0.18248071111111111</v>
      </c>
      <c r="AH50" s="71">
        <f t="shared" si="39"/>
        <v>2.6831723027375207</v>
      </c>
      <c r="AI50" s="74">
        <f t="shared" si="19"/>
        <v>2.865653013848632</v>
      </c>
      <c r="AJ50" s="73">
        <f t="shared" si="20"/>
        <v>4.3</v>
      </c>
      <c r="AK50" s="71">
        <f t="shared" si="40"/>
        <v>5.5771557864799393</v>
      </c>
      <c r="AL50" s="71">
        <f t="shared" si="41"/>
        <v>0.27372106666666673</v>
      </c>
      <c r="AM50" s="71">
        <f t="shared" si="48"/>
        <v>1.3728000000000002</v>
      </c>
      <c r="AN50" s="188">
        <f t="shared" si="42"/>
        <v>0.26773333333333338</v>
      </c>
      <c r="AO50" s="74">
        <f t="shared" si="24"/>
        <v>1.9142544000000004</v>
      </c>
      <c r="AP50" s="73">
        <f t="shared" si="43"/>
        <v>7.7761666666666673E-2</v>
      </c>
      <c r="AQ50" s="206">
        <f t="shared" si="44"/>
        <v>7.1540733333333342E-2</v>
      </c>
      <c r="AR50" s="206">
        <f t="shared" si="45"/>
        <v>0.7544881202841347</v>
      </c>
      <c r="AS50" s="71">
        <f t="shared" si="46"/>
        <v>0.19999999999999998</v>
      </c>
      <c r="AT50" s="74">
        <f t="shared" si="47"/>
        <v>3.96E-5</v>
      </c>
      <c r="AU50" s="73">
        <f t="shared" si="26"/>
        <v>5.9552782674661007</v>
      </c>
      <c r="AV50" s="71">
        <f t="shared" si="27"/>
        <v>86</v>
      </c>
      <c r="AW50" s="74">
        <f t="shared" si="28"/>
        <v>93.523723292811695</v>
      </c>
    </row>
    <row r="51" spans="17:49" x14ac:dyDescent="0.25">
      <c r="Q51">
        <v>44</v>
      </c>
      <c r="R51" s="73">
        <f t="shared" si="0"/>
        <v>20</v>
      </c>
      <c r="S51" s="71">
        <f t="shared" si="32"/>
        <v>4.4000000000000004</v>
      </c>
      <c r="T51" s="71">
        <f t="shared" si="2"/>
        <v>12</v>
      </c>
      <c r="U51" s="74">
        <f t="shared" si="33"/>
        <v>7.333333333333333</v>
      </c>
      <c r="V51" s="73">
        <f>IF(Variable_Management!$B$20=3,2,IF((S51*R51/T51)&lt;((T51*(1-(T51/R51)))/(2*Lm*Fsw)),1,2))</f>
        <v>2</v>
      </c>
      <c r="W51" s="71">
        <f t="shared" si="34"/>
        <v>0.4</v>
      </c>
      <c r="X51" s="74">
        <f t="shared" si="35"/>
        <v>0.6</v>
      </c>
      <c r="Y51" s="73">
        <f t="shared" si="36"/>
        <v>2.4000000000000004</v>
      </c>
      <c r="Z51" s="71">
        <f t="shared" si="30"/>
        <v>8.5333333333333332</v>
      </c>
      <c r="AA51" s="71">
        <f t="shared" si="31"/>
        <v>7.3659879023643375</v>
      </c>
      <c r="AB51" s="71">
        <v>0</v>
      </c>
      <c r="AC51" s="71">
        <f t="shared" si="37"/>
        <v>7.4875733333333333E-2</v>
      </c>
      <c r="AD51" s="74">
        <f t="shared" si="16"/>
        <v>7.4875733333333333E-2</v>
      </c>
      <c r="AE51" s="73">
        <f t="shared" si="29"/>
        <v>2.9333333333333336</v>
      </c>
      <c r="AF51" s="71">
        <f t="shared" si="17"/>
        <v>4.6586597977434572</v>
      </c>
      <c r="AG51" s="71">
        <f t="shared" si="38"/>
        <v>0.19098737777777777</v>
      </c>
      <c r="AH51" s="71">
        <f t="shared" si="39"/>
        <v>2.7455716586151371</v>
      </c>
      <c r="AI51" s="74">
        <f t="shared" si="19"/>
        <v>2.9365590363929148</v>
      </c>
      <c r="AJ51" s="73">
        <f t="shared" si="20"/>
        <v>4.3999999999999995</v>
      </c>
      <c r="AK51" s="71">
        <f t="shared" si="40"/>
        <v>5.7056696948444765</v>
      </c>
      <c r="AL51" s="71">
        <f t="shared" si="41"/>
        <v>0.28648106666666667</v>
      </c>
      <c r="AM51" s="71">
        <f t="shared" si="48"/>
        <v>1.3728000000000002</v>
      </c>
      <c r="AN51" s="188">
        <f t="shared" si="42"/>
        <v>0.27306666666666668</v>
      </c>
      <c r="AO51" s="74">
        <f t="shared" si="24"/>
        <v>1.9323477333333337</v>
      </c>
      <c r="AP51" s="73">
        <f t="shared" si="43"/>
        <v>8.1386666666666663E-2</v>
      </c>
      <c r="AQ51" s="206">
        <f t="shared" si="44"/>
        <v>7.4875733333333333E-2</v>
      </c>
      <c r="AR51" s="206">
        <f t="shared" si="45"/>
        <v>0.7544881202841347</v>
      </c>
      <c r="AS51" s="71">
        <f t="shared" si="46"/>
        <v>0.19999999999999998</v>
      </c>
      <c r="AT51" s="74">
        <f t="shared" si="47"/>
        <v>3.96E-5</v>
      </c>
      <c r="AU51" s="73">
        <f t="shared" si="26"/>
        <v>6.0545726233437165</v>
      </c>
      <c r="AV51" s="71">
        <f t="shared" si="27"/>
        <v>88</v>
      </c>
      <c r="AW51" s="74">
        <f t="shared" si="28"/>
        <v>93.562702530593384</v>
      </c>
    </row>
    <row r="52" spans="17:49" x14ac:dyDescent="0.25">
      <c r="Q52">
        <v>45</v>
      </c>
      <c r="R52" s="73">
        <f t="shared" si="0"/>
        <v>20</v>
      </c>
      <c r="S52" s="71">
        <f t="shared" si="32"/>
        <v>4.5</v>
      </c>
      <c r="T52" s="71">
        <f t="shared" si="2"/>
        <v>12</v>
      </c>
      <c r="U52" s="74">
        <f t="shared" si="33"/>
        <v>7.5</v>
      </c>
      <c r="V52" s="73">
        <f>IF(Variable_Management!$B$20=3,2,IF((S52*R52/T52)&lt;((T52*(1-(T52/R52)))/(2*Lm*Fsw)),1,2))</f>
        <v>2</v>
      </c>
      <c r="W52" s="71">
        <f t="shared" si="34"/>
        <v>0.4</v>
      </c>
      <c r="X52" s="74">
        <f t="shared" si="35"/>
        <v>0.6</v>
      </c>
      <c r="Y52" s="73">
        <f t="shared" si="36"/>
        <v>2.4000000000000004</v>
      </c>
      <c r="Z52" s="71">
        <f t="shared" si="30"/>
        <v>8.6999999999999993</v>
      </c>
      <c r="AA52" s="71">
        <f t="shared" si="31"/>
        <v>7.5319320230602189</v>
      </c>
      <c r="AB52" s="71">
        <v>0</v>
      </c>
      <c r="AC52" s="71">
        <f t="shared" si="37"/>
        <v>7.8287400000000007E-2</v>
      </c>
      <c r="AD52" s="74">
        <f t="shared" si="16"/>
        <v>7.8287400000000007E-2</v>
      </c>
      <c r="AE52" s="73">
        <f t="shared" si="29"/>
        <v>3</v>
      </c>
      <c r="AF52" s="71">
        <f t="shared" si="17"/>
        <v>4.7636120748860309</v>
      </c>
      <c r="AG52" s="71">
        <f t="shared" si="38"/>
        <v>0.19968959999999999</v>
      </c>
      <c r="AH52" s="71">
        <f t="shared" si="39"/>
        <v>2.8079710144927539</v>
      </c>
      <c r="AI52" s="74">
        <f t="shared" si="19"/>
        <v>3.007660614492754</v>
      </c>
      <c r="AJ52" s="73">
        <f t="shared" si="20"/>
        <v>4.5</v>
      </c>
      <c r="AK52" s="71">
        <f t="shared" si="40"/>
        <v>5.834209458015712</v>
      </c>
      <c r="AL52" s="71">
        <f t="shared" si="41"/>
        <v>0.29953439999999992</v>
      </c>
      <c r="AM52" s="71">
        <f t="shared" si="48"/>
        <v>1.3728000000000002</v>
      </c>
      <c r="AN52" s="188">
        <f t="shared" si="42"/>
        <v>0.27839999999999998</v>
      </c>
      <c r="AO52" s="74">
        <f t="shared" si="24"/>
        <v>1.9507344000000002</v>
      </c>
      <c r="AP52" s="73">
        <f t="shared" si="43"/>
        <v>8.5095000000000004E-2</v>
      </c>
      <c r="AQ52" s="206">
        <f t="shared" si="44"/>
        <v>7.8287400000000007E-2</v>
      </c>
      <c r="AR52" s="206">
        <f t="shared" si="45"/>
        <v>0.7544881202841347</v>
      </c>
      <c r="AS52" s="71">
        <f t="shared" si="46"/>
        <v>0.19999999999999998</v>
      </c>
      <c r="AT52" s="74">
        <f t="shared" si="47"/>
        <v>3.96E-5</v>
      </c>
      <c r="AU52" s="73">
        <f t="shared" si="26"/>
        <v>6.1545925347768886</v>
      </c>
      <c r="AV52" s="71">
        <f t="shared" si="27"/>
        <v>90</v>
      </c>
      <c r="AW52" s="74">
        <f t="shared" si="28"/>
        <v>93.59927344858653</v>
      </c>
    </row>
    <row r="53" spans="17:49" x14ac:dyDescent="0.25">
      <c r="Q53">
        <v>46</v>
      </c>
      <c r="R53" s="73">
        <f t="shared" si="0"/>
        <v>20</v>
      </c>
      <c r="S53" s="71">
        <f t="shared" si="32"/>
        <v>4.6000000000000005</v>
      </c>
      <c r="T53" s="71">
        <f t="shared" si="2"/>
        <v>12</v>
      </c>
      <c r="U53" s="74">
        <f t="shared" si="33"/>
        <v>7.6666666666666679</v>
      </c>
      <c r="V53" s="73">
        <f>IF(Variable_Management!$B$20=3,2,IF((S53*R53/T53)&lt;((T53*(1-(T53/R53)))/(2*Lm*Fsw)),1,2))</f>
        <v>2</v>
      </c>
      <c r="W53" s="71">
        <f t="shared" si="34"/>
        <v>0.4</v>
      </c>
      <c r="X53" s="74">
        <f t="shared" si="35"/>
        <v>0.6</v>
      </c>
      <c r="Y53" s="73">
        <f t="shared" si="36"/>
        <v>2.4000000000000004</v>
      </c>
      <c r="Z53" s="71">
        <f t="shared" si="30"/>
        <v>8.8666666666666671</v>
      </c>
      <c r="AA53" s="71">
        <f t="shared" si="31"/>
        <v>7.6979073635487323</v>
      </c>
      <c r="AB53" s="71">
        <v>0</v>
      </c>
      <c r="AC53" s="71">
        <f t="shared" si="37"/>
        <v>8.177573333333335E-2</v>
      </c>
      <c r="AD53" s="74">
        <f t="shared" si="16"/>
        <v>8.177573333333335E-2</v>
      </c>
      <c r="AE53" s="73">
        <f t="shared" si="29"/>
        <v>3.0666666666666673</v>
      </c>
      <c r="AF53" s="71">
        <f t="shared" si="17"/>
        <v>4.8685840971591645</v>
      </c>
      <c r="AG53" s="71">
        <f t="shared" si="38"/>
        <v>0.20858737777777783</v>
      </c>
      <c r="AH53" s="71">
        <f t="shared" si="39"/>
        <v>2.8703703703703711</v>
      </c>
      <c r="AI53" s="74">
        <f t="shared" si="19"/>
        <v>3.0789577481481492</v>
      </c>
      <c r="AJ53" s="73">
        <f t="shared" si="20"/>
        <v>4.6000000000000005</v>
      </c>
      <c r="AK53" s="71">
        <f t="shared" si="40"/>
        <v>5.9627734039343361</v>
      </c>
      <c r="AL53" s="71">
        <f t="shared" si="41"/>
        <v>0.31288106666666671</v>
      </c>
      <c r="AM53" s="71">
        <f t="shared" si="48"/>
        <v>1.3728000000000002</v>
      </c>
      <c r="AN53" s="188">
        <f t="shared" si="42"/>
        <v>0.28373333333333334</v>
      </c>
      <c r="AO53" s="74">
        <f t="shared" si="24"/>
        <v>1.9694144000000005</v>
      </c>
      <c r="AP53" s="73">
        <f t="shared" si="43"/>
        <v>8.8886666666666697E-2</v>
      </c>
      <c r="AQ53" s="206">
        <f t="shared" si="44"/>
        <v>8.177573333333335E-2</v>
      </c>
      <c r="AR53" s="206">
        <f t="shared" si="45"/>
        <v>0.7544881202841347</v>
      </c>
      <c r="AS53" s="71">
        <f t="shared" si="46"/>
        <v>0.19999999999999998</v>
      </c>
      <c r="AT53" s="74">
        <f t="shared" si="47"/>
        <v>3.96E-5</v>
      </c>
      <c r="AU53" s="73">
        <f t="shared" si="26"/>
        <v>6.2553380017656171</v>
      </c>
      <c r="AV53" s="71">
        <f t="shared" si="27"/>
        <v>92.000000000000014</v>
      </c>
      <c r="AW53" s="74">
        <f t="shared" si="28"/>
        <v>93.633589656316474</v>
      </c>
    </row>
    <row r="54" spans="17:49" x14ac:dyDescent="0.25">
      <c r="Q54">
        <v>47</v>
      </c>
      <c r="R54" s="73">
        <f t="shared" si="0"/>
        <v>20</v>
      </c>
      <c r="S54" s="71">
        <f t="shared" si="32"/>
        <v>4.7</v>
      </c>
      <c r="T54" s="71">
        <f t="shared" si="2"/>
        <v>12</v>
      </c>
      <c r="U54" s="74">
        <f t="shared" si="33"/>
        <v>7.833333333333333</v>
      </c>
      <c r="V54" s="73">
        <f>IF(Variable_Management!$B$20=3,2,IF((S54*R54/T54)&lt;((T54*(1-(T54/R54)))/(2*Lm*Fsw)),1,2))</f>
        <v>2</v>
      </c>
      <c r="W54" s="71">
        <f t="shared" si="34"/>
        <v>0.4</v>
      </c>
      <c r="X54" s="74">
        <f t="shared" si="35"/>
        <v>0.6</v>
      </c>
      <c r="Y54" s="73">
        <f t="shared" si="36"/>
        <v>2.4000000000000004</v>
      </c>
      <c r="Z54" s="71">
        <f t="shared" si="30"/>
        <v>9.0333333333333332</v>
      </c>
      <c r="AA54" s="71">
        <f t="shared" si="31"/>
        <v>7.8639119470598793</v>
      </c>
      <c r="AB54" s="71">
        <v>0</v>
      </c>
      <c r="AC54" s="71">
        <f t="shared" si="37"/>
        <v>8.5340733333333321E-2</v>
      </c>
      <c r="AD54" s="74">
        <f t="shared" si="16"/>
        <v>8.5340733333333321E-2</v>
      </c>
      <c r="AE54" s="73">
        <f t="shared" si="29"/>
        <v>3.1333333333333333</v>
      </c>
      <c r="AF54" s="71">
        <f t="shared" si="17"/>
        <v>4.973574614343736</v>
      </c>
      <c r="AG54" s="71">
        <f t="shared" si="38"/>
        <v>0.21768071111111112</v>
      </c>
      <c r="AH54" s="71">
        <f t="shared" si="39"/>
        <v>2.932769726247987</v>
      </c>
      <c r="AI54" s="74">
        <f t="shared" si="19"/>
        <v>3.150450437359098</v>
      </c>
      <c r="AJ54" s="73">
        <f t="shared" si="20"/>
        <v>4.6999999999999993</v>
      </c>
      <c r="AK54" s="71">
        <f t="shared" si="40"/>
        <v>6.0913600014008908</v>
      </c>
      <c r="AL54" s="71">
        <f t="shared" si="41"/>
        <v>0.32652106666666664</v>
      </c>
      <c r="AM54" s="71">
        <f t="shared" si="48"/>
        <v>1.3728000000000002</v>
      </c>
      <c r="AN54" s="188">
        <f t="shared" si="42"/>
        <v>0.28906666666666669</v>
      </c>
      <c r="AO54" s="74">
        <f t="shared" si="24"/>
        <v>1.9883877333333335</v>
      </c>
      <c r="AP54" s="73">
        <f t="shared" si="43"/>
        <v>9.2761666666666659E-2</v>
      </c>
      <c r="AQ54" s="206">
        <f t="shared" si="44"/>
        <v>8.5340733333333321E-2</v>
      </c>
      <c r="AR54" s="206">
        <f t="shared" si="45"/>
        <v>0.7544881202841347</v>
      </c>
      <c r="AS54" s="71">
        <f t="shared" si="46"/>
        <v>0.19999999999999998</v>
      </c>
      <c r="AT54" s="74">
        <f t="shared" si="47"/>
        <v>3.96E-5</v>
      </c>
      <c r="AU54" s="73">
        <f t="shared" si="26"/>
        <v>6.3568090243099</v>
      </c>
      <c r="AV54" s="71">
        <f t="shared" si="27"/>
        <v>94</v>
      </c>
      <c r="AW54" s="74">
        <f t="shared" si="28"/>
        <v>93.6657920014475</v>
      </c>
    </row>
    <row r="55" spans="17:49" x14ac:dyDescent="0.25">
      <c r="Q55">
        <v>48</v>
      </c>
      <c r="R55" s="73">
        <f t="shared" si="0"/>
        <v>20</v>
      </c>
      <c r="S55" s="71">
        <f t="shared" si="32"/>
        <v>4.8000000000000007</v>
      </c>
      <c r="T55" s="71">
        <f t="shared" si="2"/>
        <v>12</v>
      </c>
      <c r="U55" s="74">
        <f t="shared" si="33"/>
        <v>8.0000000000000018</v>
      </c>
      <c r="V55" s="73">
        <f>IF(Variable_Management!$B$20=3,2,IF((S55*R55/T55)&lt;((T55*(1-(T55/R55)))/(2*Lm*Fsw)),1,2))</f>
        <v>2</v>
      </c>
      <c r="W55" s="71">
        <f t="shared" si="34"/>
        <v>0.4</v>
      </c>
      <c r="X55" s="74">
        <f t="shared" si="35"/>
        <v>0.6</v>
      </c>
      <c r="Y55" s="73">
        <f t="shared" si="36"/>
        <v>2.4000000000000004</v>
      </c>
      <c r="Z55" s="71">
        <f t="shared" si="30"/>
        <v>9.2000000000000028</v>
      </c>
      <c r="AA55" s="71">
        <f t="shared" si="31"/>
        <v>8.0299439599538953</v>
      </c>
      <c r="AB55" s="71">
        <v>0</v>
      </c>
      <c r="AC55" s="71">
        <f t="shared" si="37"/>
        <v>8.8982400000000059E-2</v>
      </c>
      <c r="AD55" s="74">
        <f t="shared" si="16"/>
        <v>8.8982400000000059E-2</v>
      </c>
      <c r="AE55" s="73">
        <f t="shared" si="29"/>
        <v>3.2000000000000011</v>
      </c>
      <c r="AF55" s="71">
        <f t="shared" si="17"/>
        <v>5.0785824793932433</v>
      </c>
      <c r="AG55" s="71">
        <f t="shared" si="38"/>
        <v>0.22696960000000022</v>
      </c>
      <c r="AH55" s="71">
        <f t="shared" si="39"/>
        <v>2.9951690821256047</v>
      </c>
      <c r="AI55" s="74">
        <f t="shared" si="19"/>
        <v>3.2221386821256051</v>
      </c>
      <c r="AJ55" s="73">
        <f t="shared" si="20"/>
        <v>4.8000000000000007</v>
      </c>
      <c r="AK55" s="71">
        <f t="shared" si="40"/>
        <v>6.2199678455760541</v>
      </c>
      <c r="AL55" s="71">
        <f t="shared" si="41"/>
        <v>0.34045440000000016</v>
      </c>
      <c r="AM55" s="71">
        <f t="shared" si="48"/>
        <v>1.3728000000000002</v>
      </c>
      <c r="AN55" s="188">
        <f t="shared" si="42"/>
        <v>0.29440000000000011</v>
      </c>
      <c r="AO55" s="74">
        <f t="shared" si="24"/>
        <v>2.0076544000000003</v>
      </c>
      <c r="AP55" s="73">
        <f t="shared" si="43"/>
        <v>9.672000000000007E-2</v>
      </c>
      <c r="AQ55" s="206">
        <f t="shared" si="44"/>
        <v>8.8982400000000059E-2</v>
      </c>
      <c r="AR55" s="206">
        <f t="shared" si="45"/>
        <v>0.7544881202841347</v>
      </c>
      <c r="AS55" s="71">
        <f t="shared" si="46"/>
        <v>0.19999999999999998</v>
      </c>
      <c r="AT55" s="74">
        <f t="shared" si="47"/>
        <v>3.96E-5</v>
      </c>
      <c r="AU55" s="73">
        <f t="shared" si="26"/>
        <v>6.4590056024097402</v>
      </c>
      <c r="AV55" s="71">
        <f t="shared" si="27"/>
        <v>96.000000000000014</v>
      </c>
      <c r="AW55" s="74">
        <f t="shared" si="28"/>
        <v>93.696009868108817</v>
      </c>
    </row>
    <row r="56" spans="17:49" x14ac:dyDescent="0.25">
      <c r="Q56">
        <v>49</v>
      </c>
      <c r="R56" s="73">
        <f t="shared" si="0"/>
        <v>20</v>
      </c>
      <c r="S56" s="71">
        <f t="shared" si="32"/>
        <v>4.9000000000000004</v>
      </c>
      <c r="T56" s="71">
        <f t="shared" si="2"/>
        <v>12</v>
      </c>
      <c r="U56" s="74">
        <f t="shared" si="33"/>
        <v>8.1666666666666661</v>
      </c>
      <c r="V56" s="73">
        <f>IF(Variable_Management!$B$20=3,2,IF((S56*R56/T56)&lt;((T56*(1-(T56/R56)))/(2*Lm*Fsw)),1,2))</f>
        <v>2</v>
      </c>
      <c r="W56" s="71">
        <f t="shared" si="34"/>
        <v>0.4</v>
      </c>
      <c r="X56" s="74">
        <f t="shared" si="35"/>
        <v>0.6</v>
      </c>
      <c r="Y56" s="73">
        <f t="shared" si="36"/>
        <v>2.4000000000000004</v>
      </c>
      <c r="Z56" s="71">
        <f t="shared" si="30"/>
        <v>9.3666666666666671</v>
      </c>
      <c r="AA56" s="71">
        <f t="shared" si="31"/>
        <v>8.1960017352636303</v>
      </c>
      <c r="AB56" s="71">
        <v>0</v>
      </c>
      <c r="AC56" s="71">
        <f t="shared" si="37"/>
        <v>9.2700733333333313E-2</v>
      </c>
      <c r="AD56" s="74">
        <f t="shared" si="16"/>
        <v>9.2700733333333313E-2</v>
      </c>
      <c r="AE56" s="73">
        <f t="shared" si="29"/>
        <v>3.2666666666666666</v>
      </c>
      <c r="AF56" s="71">
        <f t="shared" si="17"/>
        <v>5.1836066380250907</v>
      </c>
      <c r="AG56" s="71">
        <f t="shared" si="38"/>
        <v>0.23645404444444451</v>
      </c>
      <c r="AH56" s="71">
        <f t="shared" si="39"/>
        <v>3.0575684380032206</v>
      </c>
      <c r="AI56" s="74">
        <f t="shared" si="19"/>
        <v>3.2940224824476649</v>
      </c>
      <c r="AJ56" s="73">
        <f t="shared" si="20"/>
        <v>4.8999999999999995</v>
      </c>
      <c r="AK56" s="71">
        <f t="shared" si="40"/>
        <v>6.3485956452326269</v>
      </c>
      <c r="AL56" s="71">
        <f t="shared" si="41"/>
        <v>0.35468106666666677</v>
      </c>
      <c r="AM56" s="71">
        <f t="shared" si="48"/>
        <v>1.3728000000000002</v>
      </c>
      <c r="AN56" s="188">
        <f t="shared" si="42"/>
        <v>0.29973333333333335</v>
      </c>
      <c r="AO56" s="74">
        <f t="shared" si="24"/>
        <v>2.0272144000000001</v>
      </c>
      <c r="AP56" s="73">
        <f t="shared" si="43"/>
        <v>0.10076166666666665</v>
      </c>
      <c r="AQ56" s="206">
        <f t="shared" si="44"/>
        <v>9.2700733333333313E-2</v>
      </c>
      <c r="AR56" s="206">
        <f t="shared" si="45"/>
        <v>0.7544881202841347</v>
      </c>
      <c r="AS56" s="71">
        <f t="shared" si="46"/>
        <v>0.19999999999999998</v>
      </c>
      <c r="AT56" s="74">
        <f t="shared" si="47"/>
        <v>3.96E-5</v>
      </c>
      <c r="AU56" s="73">
        <f t="shared" si="26"/>
        <v>6.5619277360651331</v>
      </c>
      <c r="AV56" s="71">
        <f t="shared" si="27"/>
        <v>98</v>
      </c>
      <c r="AW56" s="74">
        <f t="shared" si="28"/>
        <v>93.724362319879248</v>
      </c>
    </row>
    <row r="57" spans="17:49" x14ac:dyDescent="0.25">
      <c r="Q57">
        <v>50</v>
      </c>
      <c r="R57" s="73">
        <f t="shared" si="0"/>
        <v>20</v>
      </c>
      <c r="S57" s="71">
        <f t="shared" si="32"/>
        <v>5</v>
      </c>
      <c r="T57" s="71">
        <f t="shared" si="2"/>
        <v>12</v>
      </c>
      <c r="U57" s="74">
        <f t="shared" si="33"/>
        <v>8.3333333333333339</v>
      </c>
      <c r="V57" s="73">
        <f>IF(Variable_Management!$B$20=3,2,IF((S57*R57/T57)&lt;((T57*(1-(T57/R57)))/(2*Lm*Fsw)),1,2))</f>
        <v>2</v>
      </c>
      <c r="W57" s="71">
        <f t="shared" si="34"/>
        <v>0.4</v>
      </c>
      <c r="X57" s="74">
        <f t="shared" si="35"/>
        <v>0.6</v>
      </c>
      <c r="Y57" s="73">
        <f t="shared" si="36"/>
        <v>2.4000000000000004</v>
      </c>
      <c r="Z57" s="71">
        <f t="shared" si="30"/>
        <v>9.533333333333335</v>
      </c>
      <c r="AA57" s="71">
        <f t="shared" si="31"/>
        <v>8.3620837381865805</v>
      </c>
      <c r="AB57" s="71">
        <v>0</v>
      </c>
      <c r="AC57" s="71">
        <f t="shared" si="37"/>
        <v>9.6495733333333347E-2</v>
      </c>
      <c r="AD57" s="74">
        <f t="shared" si="16"/>
        <v>9.6495733333333347E-2</v>
      </c>
      <c r="AE57" s="73">
        <f t="shared" si="29"/>
        <v>3.3333333333333339</v>
      </c>
      <c r="AF57" s="71">
        <f t="shared" si="17"/>
        <v>5.2886461195449428</v>
      </c>
      <c r="AG57" s="71">
        <f t="shared" si="38"/>
        <v>0.24613404444444451</v>
      </c>
      <c r="AH57" s="71">
        <f t="shared" si="39"/>
        <v>3.1199677938808379</v>
      </c>
      <c r="AI57" s="74">
        <f t="shared" si="19"/>
        <v>3.3661018383252825</v>
      </c>
      <c r="AJ57" s="73">
        <f t="shared" si="20"/>
        <v>5</v>
      </c>
      <c r="AK57" s="71">
        <f t="shared" si="40"/>
        <v>6.477242211517698</v>
      </c>
      <c r="AL57" s="71">
        <f t="shared" si="41"/>
        <v>0.3692010666666668</v>
      </c>
      <c r="AM57" s="71">
        <f t="shared" si="48"/>
        <v>1.3728000000000002</v>
      </c>
      <c r="AN57" s="188">
        <f t="shared" si="42"/>
        <v>0.30506666666666671</v>
      </c>
      <c r="AO57" s="74">
        <f t="shared" si="24"/>
        <v>2.0470677333333338</v>
      </c>
      <c r="AP57" s="73">
        <f t="shared" si="43"/>
        <v>0.1048866666666667</v>
      </c>
      <c r="AQ57" s="206">
        <f t="shared" si="44"/>
        <v>9.6495733333333347E-2</v>
      </c>
      <c r="AR57" s="206">
        <f t="shared" si="45"/>
        <v>0.7544881202841347</v>
      </c>
      <c r="AS57" s="71">
        <f t="shared" si="46"/>
        <v>0.19999999999999998</v>
      </c>
      <c r="AT57" s="74">
        <f t="shared" si="47"/>
        <v>3.96E-5</v>
      </c>
      <c r="AU57" s="73">
        <f t="shared" si="26"/>
        <v>6.665575425276085</v>
      </c>
      <c r="AV57" s="71">
        <f t="shared" si="27"/>
        <v>100</v>
      </c>
      <c r="AW57" s="74">
        <f t="shared" si="28"/>
        <v>93.750959108690495</v>
      </c>
    </row>
    <row r="58" spans="17:49" x14ac:dyDescent="0.25">
      <c r="Q58">
        <v>51</v>
      </c>
      <c r="R58" s="73">
        <f t="shared" si="0"/>
        <v>20</v>
      </c>
      <c r="S58" s="71">
        <f t="shared" si="32"/>
        <v>5.1000000000000005</v>
      </c>
      <c r="T58" s="71">
        <f t="shared" si="2"/>
        <v>12</v>
      </c>
      <c r="U58" s="74">
        <f t="shared" si="33"/>
        <v>8.5000000000000018</v>
      </c>
      <c r="V58" s="73">
        <f>IF(Variable_Management!$B$20=3,2,IF((S58*R58/T58)&lt;((T58*(1-(T58/R58)))/(2*Lm*Fsw)),1,2))</f>
        <v>2</v>
      </c>
      <c r="W58" s="71">
        <f t="shared" si="34"/>
        <v>0.4</v>
      </c>
      <c r="X58" s="74">
        <f t="shared" si="35"/>
        <v>0.6</v>
      </c>
      <c r="Y58" s="73">
        <f t="shared" si="36"/>
        <v>2.4000000000000004</v>
      </c>
      <c r="Z58" s="71">
        <f t="shared" si="30"/>
        <v>9.7000000000000028</v>
      </c>
      <c r="AA58" s="71">
        <f t="shared" si="31"/>
        <v>8.5281885532626465</v>
      </c>
      <c r="AB58" s="71">
        <v>0</v>
      </c>
      <c r="AC58" s="71">
        <f t="shared" si="37"/>
        <v>0.10036740000000004</v>
      </c>
      <c r="AD58" s="74">
        <f t="shared" si="16"/>
        <v>0.10036740000000004</v>
      </c>
      <c r="AE58" s="73">
        <f t="shared" si="29"/>
        <v>3.4000000000000008</v>
      </c>
      <c r="AF58" s="71">
        <f t="shared" si="17"/>
        <v>5.3937000287372321</v>
      </c>
      <c r="AG58" s="71">
        <f t="shared" si="38"/>
        <v>0.25600960000000017</v>
      </c>
      <c r="AH58" s="71">
        <f t="shared" si="39"/>
        <v>3.1823671497584547</v>
      </c>
      <c r="AI58" s="74">
        <f t="shared" si="19"/>
        <v>3.4383767497584548</v>
      </c>
      <c r="AJ58" s="73">
        <f t="shared" si="20"/>
        <v>5.1000000000000005</v>
      </c>
      <c r="AK58" s="71">
        <f t="shared" si="40"/>
        <v>6.6059064480205913</v>
      </c>
      <c r="AL58" s="71">
        <f t="shared" si="41"/>
        <v>0.38401440000000026</v>
      </c>
      <c r="AM58" s="71">
        <f t="shared" si="48"/>
        <v>1.3728000000000002</v>
      </c>
      <c r="AN58" s="188">
        <f t="shared" si="42"/>
        <v>0.31040000000000012</v>
      </c>
      <c r="AO58" s="74">
        <f t="shared" si="24"/>
        <v>2.0672144000000006</v>
      </c>
      <c r="AP58" s="73">
        <f t="shared" si="43"/>
        <v>0.10909500000000005</v>
      </c>
      <c r="AQ58" s="206">
        <f t="shared" si="44"/>
        <v>0.10036740000000004</v>
      </c>
      <c r="AR58" s="206">
        <f t="shared" si="45"/>
        <v>0.7544881202841347</v>
      </c>
      <c r="AS58" s="71">
        <f t="shared" si="46"/>
        <v>0.19999999999999998</v>
      </c>
      <c r="AT58" s="74">
        <f t="shared" si="47"/>
        <v>3.96E-5</v>
      </c>
      <c r="AU58" s="73">
        <f t="shared" si="26"/>
        <v>6.7699486700425897</v>
      </c>
      <c r="AV58" s="71">
        <f t="shared" si="27"/>
        <v>102.00000000000001</v>
      </c>
      <c r="AW58" s="74">
        <f t="shared" si="28"/>
        <v>93.775901567647637</v>
      </c>
    </row>
    <row r="59" spans="17:49" x14ac:dyDescent="0.25">
      <c r="Q59">
        <v>52</v>
      </c>
      <c r="R59" s="73">
        <f t="shared" si="0"/>
        <v>20</v>
      </c>
      <c r="S59" s="71">
        <f t="shared" si="32"/>
        <v>5.2</v>
      </c>
      <c r="T59" s="71">
        <f t="shared" si="2"/>
        <v>12</v>
      </c>
      <c r="U59" s="74">
        <f t="shared" si="33"/>
        <v>8.6666666666666661</v>
      </c>
      <c r="V59" s="73">
        <f>IF(Variable_Management!$B$20=3,2,IF((S59*R59/T59)&lt;((T59*(1-(T59/R59)))/(2*Lm*Fsw)),1,2))</f>
        <v>2</v>
      </c>
      <c r="W59" s="71">
        <f t="shared" si="34"/>
        <v>0.4</v>
      </c>
      <c r="X59" s="74">
        <f t="shared" si="35"/>
        <v>0.6</v>
      </c>
      <c r="Y59" s="73">
        <f t="shared" si="36"/>
        <v>2.4000000000000004</v>
      </c>
      <c r="Z59" s="71">
        <f t="shared" si="30"/>
        <v>9.8666666666666671</v>
      </c>
      <c r="AA59" s="71">
        <f t="shared" si="31"/>
        <v>8.6943148730139228</v>
      </c>
      <c r="AB59" s="71">
        <v>0</v>
      </c>
      <c r="AC59" s="71">
        <f t="shared" si="37"/>
        <v>0.10431573333333331</v>
      </c>
      <c r="AD59" s="74">
        <f t="shared" si="16"/>
        <v>0.10431573333333331</v>
      </c>
      <c r="AE59" s="73">
        <f t="shared" si="29"/>
        <v>3.4666666666666668</v>
      </c>
      <c r="AF59" s="71">
        <f t="shared" si="17"/>
        <v>5.4987675386803225</v>
      </c>
      <c r="AG59" s="71">
        <f t="shared" si="38"/>
        <v>0.2660807111111112</v>
      </c>
      <c r="AH59" s="71">
        <f t="shared" si="39"/>
        <v>3.2447665056360706</v>
      </c>
      <c r="AI59" s="74">
        <f t="shared" si="19"/>
        <v>3.510847216747182</v>
      </c>
      <c r="AJ59" s="73">
        <f t="shared" si="20"/>
        <v>5.1999999999999993</v>
      </c>
      <c r="AK59" s="71">
        <f t="shared" si="40"/>
        <v>6.7345873419732758</v>
      </c>
      <c r="AL59" s="71">
        <f t="shared" si="41"/>
        <v>0.39912106666666675</v>
      </c>
      <c r="AM59" s="71">
        <f t="shared" si="48"/>
        <v>1.3728000000000002</v>
      </c>
      <c r="AN59" s="188">
        <f t="shared" si="42"/>
        <v>0.31573333333333337</v>
      </c>
      <c r="AO59" s="74">
        <f t="shared" si="24"/>
        <v>2.0876544000000004</v>
      </c>
      <c r="AP59" s="73">
        <f t="shared" si="43"/>
        <v>0.11338666666666666</v>
      </c>
      <c r="AQ59" s="206">
        <f t="shared" si="44"/>
        <v>0.10431573333333331</v>
      </c>
      <c r="AR59" s="206">
        <f t="shared" si="45"/>
        <v>0.7544881202841347</v>
      </c>
      <c r="AS59" s="71">
        <f t="shared" si="46"/>
        <v>0.19999999999999998</v>
      </c>
      <c r="AT59" s="74">
        <f t="shared" si="47"/>
        <v>3.96E-5</v>
      </c>
      <c r="AU59" s="73">
        <f t="shared" si="26"/>
        <v>6.8750474703646507</v>
      </c>
      <c r="AV59" s="71">
        <f t="shared" si="27"/>
        <v>104</v>
      </c>
      <c r="AW59" s="74">
        <f t="shared" si="28"/>
        <v>93.79928340305581</v>
      </c>
    </row>
    <row r="60" spans="17:49" x14ac:dyDescent="0.25">
      <c r="Q60">
        <v>53</v>
      </c>
      <c r="R60" s="73">
        <f t="shared" si="0"/>
        <v>20</v>
      </c>
      <c r="S60" s="71">
        <f t="shared" si="32"/>
        <v>5.3000000000000007</v>
      </c>
      <c r="T60" s="71">
        <f t="shared" si="2"/>
        <v>12</v>
      </c>
      <c r="U60" s="74">
        <f t="shared" si="33"/>
        <v>8.8333333333333339</v>
      </c>
      <c r="V60" s="73">
        <f>IF(Variable_Management!$B$20=3,2,IF((S60*R60/T60)&lt;((T60*(1-(T60/R60)))/(2*Lm*Fsw)),1,2))</f>
        <v>2</v>
      </c>
      <c r="W60" s="71">
        <f t="shared" si="34"/>
        <v>0.4</v>
      </c>
      <c r="X60" s="74">
        <f t="shared" si="35"/>
        <v>0.6</v>
      </c>
      <c r="Y60" s="73">
        <f t="shared" si="36"/>
        <v>2.4000000000000004</v>
      </c>
      <c r="Z60" s="71">
        <f t="shared" si="30"/>
        <v>10.033333333333335</v>
      </c>
      <c r="AA60" s="71">
        <f t="shared" si="31"/>
        <v>8.8604614878559111</v>
      </c>
      <c r="AB60" s="71">
        <v>0</v>
      </c>
      <c r="AC60" s="71">
        <f t="shared" si="37"/>
        <v>0.10834073333333334</v>
      </c>
      <c r="AD60" s="74">
        <f t="shared" si="16"/>
        <v>0.10834073333333334</v>
      </c>
      <c r="AE60" s="73">
        <f t="shared" si="29"/>
        <v>3.5333333333333337</v>
      </c>
      <c r="AF60" s="71">
        <f t="shared" si="17"/>
        <v>5.6038478843658064</v>
      </c>
      <c r="AG60" s="71">
        <f t="shared" si="38"/>
        <v>0.2763473777777779</v>
      </c>
      <c r="AH60" s="71">
        <f t="shared" si="39"/>
        <v>3.3071658615136883</v>
      </c>
      <c r="AI60" s="74">
        <f t="shared" si="19"/>
        <v>3.5835132392914661</v>
      </c>
      <c r="AJ60" s="73">
        <f t="shared" si="20"/>
        <v>5.3</v>
      </c>
      <c r="AK60" s="71">
        <f t="shared" si="40"/>
        <v>6.8632839564356276</v>
      </c>
      <c r="AL60" s="71">
        <f t="shared" si="41"/>
        <v>0.41452106666666683</v>
      </c>
      <c r="AM60" s="71">
        <f t="shared" si="48"/>
        <v>1.3728000000000002</v>
      </c>
      <c r="AN60" s="188">
        <f t="shared" si="42"/>
        <v>0.32106666666666672</v>
      </c>
      <c r="AO60" s="74">
        <f t="shared" si="24"/>
        <v>2.1083877333333336</v>
      </c>
      <c r="AP60" s="73">
        <f t="shared" si="43"/>
        <v>0.11776166666666668</v>
      </c>
      <c r="AQ60" s="206">
        <f t="shared" si="44"/>
        <v>0.10834073333333334</v>
      </c>
      <c r="AR60" s="206">
        <f t="shared" si="45"/>
        <v>0.7544881202841347</v>
      </c>
      <c r="AS60" s="71">
        <f t="shared" si="46"/>
        <v>0.19999999999999998</v>
      </c>
      <c r="AT60" s="74">
        <f t="shared" si="47"/>
        <v>3.96E-5</v>
      </c>
      <c r="AU60" s="73">
        <f t="shared" si="26"/>
        <v>6.9808718262422689</v>
      </c>
      <c r="AV60" s="71">
        <f t="shared" si="27"/>
        <v>106.00000000000001</v>
      </c>
      <c r="AW60" s="74">
        <f t="shared" si="28"/>
        <v>93.821191398683467</v>
      </c>
    </row>
    <row r="61" spans="17:49" x14ac:dyDescent="0.25">
      <c r="Q61">
        <v>54</v>
      </c>
      <c r="R61" s="73">
        <f t="shared" si="0"/>
        <v>20</v>
      </c>
      <c r="S61" s="71">
        <f t="shared" si="32"/>
        <v>5.4</v>
      </c>
      <c r="T61" s="71">
        <f t="shared" si="2"/>
        <v>12</v>
      </c>
      <c r="U61" s="74">
        <f t="shared" si="33"/>
        <v>9</v>
      </c>
      <c r="V61" s="73">
        <f>IF(Variable_Management!$B$20=3,2,IF((S61*R61/T61)&lt;((T61*(1-(T61/R61)))/(2*Lm*Fsw)),1,2))</f>
        <v>2</v>
      </c>
      <c r="W61" s="71">
        <f t="shared" si="34"/>
        <v>0.4</v>
      </c>
      <c r="X61" s="74">
        <f t="shared" si="35"/>
        <v>0.6</v>
      </c>
      <c r="Y61" s="73">
        <f t="shared" si="36"/>
        <v>2.4000000000000004</v>
      </c>
      <c r="Z61" s="71">
        <f t="shared" si="30"/>
        <v>10.199999999999999</v>
      </c>
      <c r="AA61" s="71">
        <f t="shared" si="31"/>
        <v>9.0266272771174059</v>
      </c>
      <c r="AB61" s="71">
        <v>0</v>
      </c>
      <c r="AC61" s="71">
        <f t="shared" si="37"/>
        <v>0.11244239999999998</v>
      </c>
      <c r="AD61" s="74">
        <f t="shared" si="16"/>
        <v>0.11244239999999998</v>
      </c>
      <c r="AE61" s="73">
        <f t="shared" si="29"/>
        <v>3.6</v>
      </c>
      <c r="AF61" s="71">
        <f t="shared" si="17"/>
        <v>5.7089403570189798</v>
      </c>
      <c r="AG61" s="71">
        <f t="shared" si="38"/>
        <v>0.2868096</v>
      </c>
      <c r="AH61" s="71">
        <f t="shared" si="39"/>
        <v>3.3695652173913047</v>
      </c>
      <c r="AI61" s="74">
        <f t="shared" si="19"/>
        <v>3.6563748173913044</v>
      </c>
      <c r="AJ61" s="73">
        <f t="shared" si="20"/>
        <v>5.3999999999999995</v>
      </c>
      <c r="AK61" s="71">
        <f t="shared" si="40"/>
        <v>6.9919954233394623</v>
      </c>
      <c r="AL61" s="71">
        <f t="shared" si="41"/>
        <v>0.43021439999999989</v>
      </c>
      <c r="AM61" s="71">
        <f t="shared" si="48"/>
        <v>1.3728000000000002</v>
      </c>
      <c r="AN61" s="188">
        <f t="shared" si="42"/>
        <v>0.32639999999999997</v>
      </c>
      <c r="AO61" s="74">
        <f t="shared" si="24"/>
        <v>2.1294143999999999</v>
      </c>
      <c r="AP61" s="73">
        <f t="shared" si="43"/>
        <v>0.12221999999999998</v>
      </c>
      <c r="AQ61" s="206">
        <f t="shared" si="44"/>
        <v>0.11244239999999998</v>
      </c>
      <c r="AR61" s="206">
        <f t="shared" si="45"/>
        <v>0.7544881202841347</v>
      </c>
      <c r="AS61" s="71">
        <f t="shared" si="46"/>
        <v>0.19999999999999998</v>
      </c>
      <c r="AT61" s="74">
        <f t="shared" si="47"/>
        <v>3.96E-5</v>
      </c>
      <c r="AU61" s="73">
        <f t="shared" si="26"/>
        <v>7.0874217376754398</v>
      </c>
      <c r="AV61" s="71">
        <f t="shared" si="27"/>
        <v>108</v>
      </c>
      <c r="AW61" s="74">
        <f t="shared" si="28"/>
        <v>93.84170604340224</v>
      </c>
    </row>
    <row r="62" spans="17:49" x14ac:dyDescent="0.25">
      <c r="Q62">
        <v>55</v>
      </c>
      <c r="R62" s="73">
        <f t="shared" si="0"/>
        <v>20</v>
      </c>
      <c r="S62" s="71">
        <f t="shared" si="32"/>
        <v>5.5</v>
      </c>
      <c r="T62" s="71">
        <f t="shared" si="2"/>
        <v>12</v>
      </c>
      <c r="U62" s="74">
        <f t="shared" si="33"/>
        <v>9.1666666666666661</v>
      </c>
      <c r="V62" s="73">
        <f>IF(Variable_Management!$B$20=3,2,IF((S62*R62/T62)&lt;((T62*(1-(T62/R62)))/(2*Lm*Fsw)),1,2))</f>
        <v>2</v>
      </c>
      <c r="W62" s="71">
        <f t="shared" si="34"/>
        <v>0.4</v>
      </c>
      <c r="X62" s="74">
        <f t="shared" si="35"/>
        <v>0.6</v>
      </c>
      <c r="Y62" s="73">
        <f t="shared" si="36"/>
        <v>2.4000000000000004</v>
      </c>
      <c r="Z62" s="71">
        <f t="shared" si="30"/>
        <v>10.366666666666667</v>
      </c>
      <c r="AA62" s="71">
        <f t="shared" si="31"/>
        <v>9.1928112010297358</v>
      </c>
      <c r="AB62" s="71">
        <v>0</v>
      </c>
      <c r="AC62" s="71">
        <f t="shared" si="37"/>
        <v>0.11662073333333332</v>
      </c>
      <c r="AD62" s="74">
        <f t="shared" si="16"/>
        <v>0.11662073333333332</v>
      </c>
      <c r="AE62" s="73">
        <f t="shared" si="29"/>
        <v>3.6666666666666665</v>
      </c>
      <c r="AF62" s="71">
        <f t="shared" si="17"/>
        <v>5.8140442990323971</v>
      </c>
      <c r="AG62" s="71">
        <f t="shared" si="38"/>
        <v>0.29746737777777782</v>
      </c>
      <c r="AH62" s="71">
        <f t="shared" si="39"/>
        <v>3.431964573268921</v>
      </c>
      <c r="AI62" s="74">
        <f t="shared" si="19"/>
        <v>3.7294319510466987</v>
      </c>
      <c r="AJ62" s="73">
        <f t="shared" si="20"/>
        <v>5.4999999999999991</v>
      </c>
      <c r="AK62" s="71">
        <f t="shared" si="40"/>
        <v>7.1207209372834335</v>
      </c>
      <c r="AL62" s="71">
        <f t="shared" si="41"/>
        <v>0.44620106666666665</v>
      </c>
      <c r="AM62" s="71">
        <f t="shared" si="48"/>
        <v>1.3728000000000002</v>
      </c>
      <c r="AN62" s="188">
        <f t="shared" si="42"/>
        <v>0.33173333333333338</v>
      </c>
      <c r="AO62" s="74">
        <f t="shared" si="24"/>
        <v>2.1507344000000002</v>
      </c>
      <c r="AP62" s="73">
        <f t="shared" si="43"/>
        <v>0.12676166666666666</v>
      </c>
      <c r="AQ62" s="206">
        <f t="shared" si="44"/>
        <v>0.11662073333333332</v>
      </c>
      <c r="AR62" s="206">
        <f t="shared" si="45"/>
        <v>0.7544881202841347</v>
      </c>
      <c r="AS62" s="71">
        <f t="shared" si="46"/>
        <v>0.19999999999999998</v>
      </c>
      <c r="AT62" s="74">
        <f t="shared" si="47"/>
        <v>3.96E-5</v>
      </c>
      <c r="AU62" s="73">
        <f t="shared" si="26"/>
        <v>7.1946972046641662</v>
      </c>
      <c r="AV62" s="71">
        <f t="shared" si="27"/>
        <v>110</v>
      </c>
      <c r="AW62" s="74">
        <f t="shared" si="28"/>
        <v>93.86090209175623</v>
      </c>
    </row>
    <row r="63" spans="17:49" x14ac:dyDescent="0.25">
      <c r="Q63">
        <v>56</v>
      </c>
      <c r="R63" s="73">
        <f t="shared" si="0"/>
        <v>20</v>
      </c>
      <c r="S63" s="71">
        <f t="shared" si="32"/>
        <v>5.6000000000000005</v>
      </c>
      <c r="T63" s="71">
        <f t="shared" si="2"/>
        <v>12</v>
      </c>
      <c r="U63" s="74">
        <f t="shared" si="33"/>
        <v>9.3333333333333339</v>
      </c>
      <c r="V63" s="73">
        <f>IF(Variable_Management!$B$20=3,2,IF((S63*R63/T63)&lt;((T63*(1-(T63/R63)))/(2*Lm*Fsw)),1,2))</f>
        <v>2</v>
      </c>
      <c r="W63" s="71">
        <f t="shared" si="34"/>
        <v>0.4</v>
      </c>
      <c r="X63" s="74">
        <f t="shared" si="35"/>
        <v>0.6</v>
      </c>
      <c r="Y63" s="73">
        <f t="shared" si="36"/>
        <v>2.4000000000000004</v>
      </c>
      <c r="Z63" s="71">
        <f t="shared" si="30"/>
        <v>10.533333333333335</v>
      </c>
      <c r="AA63" s="71">
        <f t="shared" si="31"/>
        <v>9.3590122935655522</v>
      </c>
      <c r="AB63" s="71">
        <v>0</v>
      </c>
      <c r="AC63" s="71">
        <f t="shared" si="37"/>
        <v>0.12087573333333336</v>
      </c>
      <c r="AD63" s="74">
        <f t="shared" si="16"/>
        <v>0.12087573333333336</v>
      </c>
      <c r="AE63" s="73">
        <f t="shared" si="29"/>
        <v>3.7333333333333338</v>
      </c>
      <c r="AF63" s="71">
        <f t="shared" si="17"/>
        <v>5.9191590994367145</v>
      </c>
      <c r="AG63" s="71">
        <f t="shared" si="38"/>
        <v>0.30832071111111126</v>
      </c>
      <c r="AH63" s="71">
        <f t="shared" si="39"/>
        <v>3.4943639291465383</v>
      </c>
      <c r="AI63" s="74">
        <f t="shared" si="19"/>
        <v>3.8026846402576497</v>
      </c>
      <c r="AJ63" s="73">
        <f t="shared" si="20"/>
        <v>5.6000000000000005</v>
      </c>
      <c r="AK63" s="71">
        <f t="shared" si="40"/>
        <v>7.2494597499859728</v>
      </c>
      <c r="AL63" s="71">
        <f t="shared" si="41"/>
        <v>0.46248106666666683</v>
      </c>
      <c r="AM63" s="71">
        <f t="shared" si="48"/>
        <v>1.3728000000000002</v>
      </c>
      <c r="AN63" s="188">
        <f t="shared" si="42"/>
        <v>0.33706666666666674</v>
      </c>
      <c r="AO63" s="74">
        <f t="shared" si="24"/>
        <v>2.1723477333333339</v>
      </c>
      <c r="AP63" s="73">
        <f t="shared" si="43"/>
        <v>0.13138666666666671</v>
      </c>
      <c r="AQ63" s="206">
        <f t="shared" si="44"/>
        <v>0.12087573333333336</v>
      </c>
      <c r="AR63" s="206">
        <f t="shared" si="45"/>
        <v>0.7544881202841347</v>
      </c>
      <c r="AS63" s="71">
        <f t="shared" si="46"/>
        <v>0.19999999999999998</v>
      </c>
      <c r="AT63" s="74">
        <f t="shared" si="47"/>
        <v>3.96E-5</v>
      </c>
      <c r="AU63" s="73">
        <f t="shared" si="26"/>
        <v>7.3026982272084524</v>
      </c>
      <c r="AV63" s="71">
        <f t="shared" si="27"/>
        <v>112.00000000000001</v>
      </c>
      <c r="AW63" s="74">
        <f t="shared" si="28"/>
        <v>93.87884906567605</v>
      </c>
    </row>
    <row r="64" spans="17:49" x14ac:dyDescent="0.25">
      <c r="Q64">
        <v>57</v>
      </c>
      <c r="R64" s="73">
        <f t="shared" si="0"/>
        <v>20</v>
      </c>
      <c r="S64" s="71">
        <f t="shared" si="32"/>
        <v>5.7</v>
      </c>
      <c r="T64" s="71">
        <f t="shared" si="2"/>
        <v>12</v>
      </c>
      <c r="U64" s="74">
        <f t="shared" si="33"/>
        <v>9.5</v>
      </c>
      <c r="V64" s="73">
        <f>IF(Variable_Management!$B$20=3,2,IF((S64*R64/T64)&lt;((T64*(1-(T64/R64)))/(2*Lm*Fsw)),1,2))</f>
        <v>2</v>
      </c>
      <c r="W64" s="71">
        <f t="shared" si="34"/>
        <v>0.4</v>
      </c>
      <c r="X64" s="74">
        <f t="shared" si="35"/>
        <v>0.6</v>
      </c>
      <c r="Y64" s="73">
        <f t="shared" si="36"/>
        <v>2.4000000000000004</v>
      </c>
      <c r="Z64" s="71">
        <f t="shared" si="30"/>
        <v>10.7</v>
      </c>
      <c r="AA64" s="71">
        <f t="shared" si="31"/>
        <v>9.5252296560240488</v>
      </c>
      <c r="AB64" s="71">
        <v>0</v>
      </c>
      <c r="AC64" s="71">
        <f t="shared" si="37"/>
        <v>0.12520740000000002</v>
      </c>
      <c r="AD64" s="74">
        <f t="shared" si="16"/>
        <v>0.12520740000000002</v>
      </c>
      <c r="AE64" s="73">
        <f t="shared" si="29"/>
        <v>3.8000000000000003</v>
      </c>
      <c r="AF64" s="71">
        <f t="shared" si="17"/>
        <v>6.0242841898436357</v>
      </c>
      <c r="AG64" s="71">
        <f t="shared" si="38"/>
        <v>0.31936959999999992</v>
      </c>
      <c r="AH64" s="71">
        <f t="shared" si="39"/>
        <v>3.5567632850241551</v>
      </c>
      <c r="AI64" s="74">
        <f t="shared" si="19"/>
        <v>3.876132885024155</v>
      </c>
      <c r="AJ64" s="73">
        <f t="shared" si="20"/>
        <v>5.7</v>
      </c>
      <c r="AK64" s="71">
        <f t="shared" si="40"/>
        <v>7.3782111653164266</v>
      </c>
      <c r="AL64" s="71">
        <f t="shared" si="41"/>
        <v>0.47905439999999988</v>
      </c>
      <c r="AM64" s="71">
        <f t="shared" si="48"/>
        <v>1.3728000000000002</v>
      </c>
      <c r="AN64" s="188">
        <f t="shared" si="42"/>
        <v>0.34239999999999998</v>
      </c>
      <c r="AO64" s="74">
        <f t="shared" si="24"/>
        <v>2.1942544000000002</v>
      </c>
      <c r="AP64" s="73">
        <f t="shared" si="43"/>
        <v>0.13609500000000002</v>
      </c>
      <c r="AQ64" s="206">
        <f t="shared" si="44"/>
        <v>0.12520740000000002</v>
      </c>
      <c r="AR64" s="206">
        <f t="shared" si="45"/>
        <v>0.7544881202841347</v>
      </c>
      <c r="AS64" s="71">
        <f t="shared" si="46"/>
        <v>0.19999999999999998</v>
      </c>
      <c r="AT64" s="74">
        <f t="shared" si="47"/>
        <v>3.96E-5</v>
      </c>
      <c r="AU64" s="73">
        <f t="shared" si="26"/>
        <v>7.4114248053082896</v>
      </c>
      <c r="AV64" s="71">
        <f t="shared" si="27"/>
        <v>114</v>
      </c>
      <c r="AW64" s="74">
        <f t="shared" si="28"/>
        <v>93.895611704423189</v>
      </c>
    </row>
    <row r="65" spans="17:49" x14ac:dyDescent="0.25">
      <c r="Q65">
        <v>58</v>
      </c>
      <c r="R65" s="73">
        <f t="shared" si="0"/>
        <v>20</v>
      </c>
      <c r="S65" s="71">
        <f t="shared" si="32"/>
        <v>5.8000000000000007</v>
      </c>
      <c r="T65" s="71">
        <f t="shared" si="2"/>
        <v>12</v>
      </c>
      <c r="U65" s="74">
        <f t="shared" si="33"/>
        <v>9.6666666666666679</v>
      </c>
      <c r="V65" s="73">
        <f>IF(Variable_Management!$B$20=3,2,IF((S65*R65/T65)&lt;((T65*(1-(T65/R65)))/(2*Lm*Fsw)),1,2))</f>
        <v>2</v>
      </c>
      <c r="W65" s="71">
        <f t="shared" si="34"/>
        <v>0.4</v>
      </c>
      <c r="X65" s="74">
        <f t="shared" si="35"/>
        <v>0.6</v>
      </c>
      <c r="Y65" s="73">
        <f t="shared" si="36"/>
        <v>2.4000000000000004</v>
      </c>
      <c r="Z65" s="71">
        <f t="shared" si="30"/>
        <v>10.866666666666667</v>
      </c>
      <c r="AA65" s="71">
        <f t="shared" si="31"/>
        <v>9.6914624512735159</v>
      </c>
      <c r="AB65" s="71">
        <v>0</v>
      </c>
      <c r="AC65" s="71">
        <f t="shared" si="37"/>
        <v>0.12961573333333334</v>
      </c>
      <c r="AD65" s="74">
        <f t="shared" si="16"/>
        <v>0.12961573333333334</v>
      </c>
      <c r="AE65" s="73">
        <f t="shared" si="29"/>
        <v>3.8666666666666671</v>
      </c>
      <c r="AF65" s="71">
        <f t="shared" si="17"/>
        <v>6.1294190408045832</v>
      </c>
      <c r="AG65" s="71">
        <f t="shared" si="38"/>
        <v>0.33061404444444448</v>
      </c>
      <c r="AH65" s="71">
        <f t="shared" si="39"/>
        <v>3.6191626409017723</v>
      </c>
      <c r="AI65" s="74">
        <f t="shared" si="19"/>
        <v>3.9497766853462166</v>
      </c>
      <c r="AJ65" s="73">
        <f t="shared" si="20"/>
        <v>5.8000000000000007</v>
      </c>
      <c r="AK65" s="71">
        <f t="shared" si="40"/>
        <v>7.5069745348353667</v>
      </c>
      <c r="AL65" s="71">
        <f t="shared" si="41"/>
        <v>0.49592106666666669</v>
      </c>
      <c r="AM65" s="71">
        <f t="shared" si="48"/>
        <v>1.3728000000000002</v>
      </c>
      <c r="AN65" s="188">
        <f t="shared" si="42"/>
        <v>0.34773333333333334</v>
      </c>
      <c r="AO65" s="74">
        <f t="shared" si="24"/>
        <v>2.2164544000000004</v>
      </c>
      <c r="AP65" s="73">
        <f t="shared" si="43"/>
        <v>0.14088666666666669</v>
      </c>
      <c r="AQ65" s="206">
        <f t="shared" si="44"/>
        <v>0.12961573333333334</v>
      </c>
      <c r="AR65" s="206">
        <f t="shared" si="45"/>
        <v>0.7544881202841347</v>
      </c>
      <c r="AS65" s="71">
        <f t="shared" si="46"/>
        <v>0.19999999999999998</v>
      </c>
      <c r="AT65" s="74">
        <f t="shared" si="47"/>
        <v>3.96E-5</v>
      </c>
      <c r="AU65" s="73">
        <f t="shared" si="26"/>
        <v>7.5208769389636849</v>
      </c>
      <c r="AV65" s="71">
        <f t="shared" si="27"/>
        <v>116.00000000000001</v>
      </c>
      <c r="AW65" s="74">
        <f t="shared" si="28"/>
        <v>93.911250368891061</v>
      </c>
    </row>
    <row r="66" spans="17:49" x14ac:dyDescent="0.25">
      <c r="Q66">
        <v>59</v>
      </c>
      <c r="R66" s="73">
        <f t="shared" si="0"/>
        <v>20</v>
      </c>
      <c r="S66" s="71">
        <f t="shared" si="32"/>
        <v>5.9</v>
      </c>
      <c r="T66" s="71">
        <f t="shared" si="2"/>
        <v>12</v>
      </c>
      <c r="U66" s="74">
        <f t="shared" si="33"/>
        <v>9.8333333333333339</v>
      </c>
      <c r="V66" s="73">
        <f>IF(Variable_Management!$B$20=3,2,IF((S66*R66/T66)&lt;((T66*(1-(T66/R66)))/(2*Lm*Fsw)),1,2))</f>
        <v>2</v>
      </c>
      <c r="W66" s="71">
        <f t="shared" si="34"/>
        <v>0.4</v>
      </c>
      <c r="X66" s="74">
        <f t="shared" si="35"/>
        <v>0.6</v>
      </c>
      <c r="Y66" s="73">
        <f t="shared" si="36"/>
        <v>2.4000000000000004</v>
      </c>
      <c r="Z66" s="71">
        <f t="shared" si="30"/>
        <v>11.033333333333335</v>
      </c>
      <c r="AA66" s="71">
        <f t="shared" si="31"/>
        <v>9.8577098985740328</v>
      </c>
      <c r="AB66" s="71">
        <v>0</v>
      </c>
      <c r="AC66" s="71">
        <f t="shared" si="37"/>
        <v>0.13410073333333336</v>
      </c>
      <c r="AD66" s="74">
        <f t="shared" si="16"/>
        <v>0.13410073333333336</v>
      </c>
      <c r="AE66" s="73">
        <f t="shared" si="29"/>
        <v>3.9333333333333336</v>
      </c>
      <c r="AF66" s="71">
        <f t="shared" si="17"/>
        <v>6.2345631585362735</v>
      </c>
      <c r="AG66" s="71">
        <f t="shared" si="38"/>
        <v>0.34205404444444465</v>
      </c>
      <c r="AH66" s="71">
        <f t="shared" si="39"/>
        <v>3.6815619967793887</v>
      </c>
      <c r="AI66" s="74">
        <f t="shared" si="19"/>
        <v>4.0236160412238338</v>
      </c>
      <c r="AJ66" s="73">
        <f t="shared" si="20"/>
        <v>5.9</v>
      </c>
      <c r="AK66" s="71">
        <f t="shared" si="40"/>
        <v>7.6357492537842466</v>
      </c>
      <c r="AL66" s="71">
        <f t="shared" si="41"/>
        <v>0.51308106666666675</v>
      </c>
      <c r="AM66" s="71">
        <f t="shared" si="48"/>
        <v>1.3728000000000002</v>
      </c>
      <c r="AN66" s="188">
        <f t="shared" si="42"/>
        <v>0.35306666666666675</v>
      </c>
      <c r="AO66" s="74">
        <f t="shared" si="24"/>
        <v>2.2389477333333336</v>
      </c>
      <c r="AP66" s="73">
        <f t="shared" si="43"/>
        <v>0.14576166666666671</v>
      </c>
      <c r="AQ66" s="206">
        <f t="shared" si="44"/>
        <v>0.13410073333333336</v>
      </c>
      <c r="AR66" s="206">
        <f t="shared" si="45"/>
        <v>0.7544881202841347</v>
      </c>
      <c r="AS66" s="71">
        <f t="shared" si="46"/>
        <v>0.19999999999999998</v>
      </c>
      <c r="AT66" s="74">
        <f t="shared" si="47"/>
        <v>3.96E-5</v>
      </c>
      <c r="AU66" s="73">
        <f t="shared" si="26"/>
        <v>7.6310546281746365</v>
      </c>
      <c r="AV66" s="71">
        <f t="shared" si="27"/>
        <v>118</v>
      </c>
      <c r="AW66" s="74">
        <f t="shared" si="28"/>
        <v>93.925821405575263</v>
      </c>
    </row>
    <row r="67" spans="17:49" x14ac:dyDescent="0.25">
      <c r="Q67">
        <v>60</v>
      </c>
      <c r="R67" s="73">
        <f t="shared" si="0"/>
        <v>20</v>
      </c>
      <c r="S67" s="71">
        <f t="shared" si="32"/>
        <v>6</v>
      </c>
      <c r="T67" s="71">
        <f t="shared" si="2"/>
        <v>12</v>
      </c>
      <c r="U67" s="74">
        <f t="shared" si="33"/>
        <v>10</v>
      </c>
      <c r="V67" s="73">
        <f>IF(Variable_Management!$B$20=3,2,IF((S67*R67/T67)&lt;((T67*(1-(T67/R67)))/(2*Lm*Fsw)),1,2))</f>
        <v>2</v>
      </c>
      <c r="W67" s="71">
        <f t="shared" si="34"/>
        <v>0.4</v>
      </c>
      <c r="X67" s="74">
        <f t="shared" si="35"/>
        <v>0.6</v>
      </c>
      <c r="Y67" s="73">
        <f t="shared" si="36"/>
        <v>2.4000000000000004</v>
      </c>
      <c r="Z67" s="71">
        <f t="shared" si="30"/>
        <v>11.2</v>
      </c>
      <c r="AA67" s="71">
        <f t="shared" si="31"/>
        <v>10.023971268913334</v>
      </c>
      <c r="AB67" s="71">
        <v>0</v>
      </c>
      <c r="AC67" s="71">
        <f t="shared" si="37"/>
        <v>0.13866239999999999</v>
      </c>
      <c r="AD67" s="74">
        <f t="shared" si="16"/>
        <v>0.13866239999999999</v>
      </c>
      <c r="AE67" s="73">
        <f t="shared" si="29"/>
        <v>4</v>
      </c>
      <c r="AF67" s="71">
        <f t="shared" si="17"/>
        <v>6.339716081970864</v>
      </c>
      <c r="AG67" s="71">
        <f t="shared" si="38"/>
        <v>0.35368960000000005</v>
      </c>
      <c r="AH67" s="71">
        <f t="shared" si="39"/>
        <v>3.743961352657005</v>
      </c>
      <c r="AI67" s="74">
        <f t="shared" si="19"/>
        <v>4.0976509526570055</v>
      </c>
      <c r="AJ67" s="73">
        <f t="shared" si="20"/>
        <v>6</v>
      </c>
      <c r="AK67" s="71">
        <f t="shared" si="40"/>
        <v>7.7645347574725934</v>
      </c>
      <c r="AL67" s="71">
        <f t="shared" si="41"/>
        <v>0.53053439999999985</v>
      </c>
      <c r="AM67" s="71">
        <f t="shared" si="48"/>
        <v>1.3728000000000002</v>
      </c>
      <c r="AN67" s="188">
        <f t="shared" si="42"/>
        <v>0.3584</v>
      </c>
      <c r="AO67" s="74">
        <f t="shared" si="24"/>
        <v>2.2617343999999999</v>
      </c>
      <c r="AP67" s="73">
        <f t="shared" si="43"/>
        <v>0.15071999999999999</v>
      </c>
      <c r="AQ67" s="206">
        <f t="shared" si="44"/>
        <v>0.13866239999999999</v>
      </c>
      <c r="AR67" s="206">
        <f t="shared" si="45"/>
        <v>0.7544881202841347</v>
      </c>
      <c r="AS67" s="71">
        <f t="shared" si="46"/>
        <v>0.19999999999999998</v>
      </c>
      <c r="AT67" s="74">
        <f t="shared" si="47"/>
        <v>3.96E-5</v>
      </c>
      <c r="AU67" s="73">
        <f t="shared" si="26"/>
        <v>7.7419578729411409</v>
      </c>
      <c r="AV67" s="71">
        <f t="shared" si="27"/>
        <v>120</v>
      </c>
      <c r="AW67" s="74">
        <f t="shared" si="28"/>
        <v>93.939377474829612</v>
      </c>
    </row>
    <row r="68" spans="17:49" x14ac:dyDescent="0.25">
      <c r="Q68">
        <v>61</v>
      </c>
      <c r="R68" s="73">
        <f t="shared" si="0"/>
        <v>20</v>
      </c>
      <c r="S68" s="71">
        <f t="shared" si="32"/>
        <v>6.1000000000000005</v>
      </c>
      <c r="T68" s="71">
        <f t="shared" si="2"/>
        <v>12</v>
      </c>
      <c r="U68" s="74">
        <f t="shared" si="33"/>
        <v>10.166666666666668</v>
      </c>
      <c r="V68" s="73">
        <f>IF(Variable_Management!$B$20=3,2,IF((S68*R68/T68)&lt;((T68*(1-(T68/R68)))/(2*Lm*Fsw)),1,2))</f>
        <v>2</v>
      </c>
      <c r="W68" s="71">
        <f t="shared" si="34"/>
        <v>0.4</v>
      </c>
      <c r="X68" s="74">
        <f t="shared" si="35"/>
        <v>0.6</v>
      </c>
      <c r="Y68" s="73">
        <f t="shared" si="36"/>
        <v>2.4000000000000004</v>
      </c>
      <c r="Z68" s="71">
        <f t="shared" si="30"/>
        <v>11.366666666666667</v>
      </c>
      <c r="AA68" s="71">
        <f t="shared" si="31"/>
        <v>10.190245880797535</v>
      </c>
      <c r="AB68" s="71">
        <v>0</v>
      </c>
      <c r="AC68" s="71">
        <f t="shared" si="37"/>
        <v>0.14330073333333335</v>
      </c>
      <c r="AD68" s="74">
        <f t="shared" si="16"/>
        <v>0.14330073333333335</v>
      </c>
      <c r="AE68" s="73">
        <f t="shared" si="29"/>
        <v>4.0666666666666673</v>
      </c>
      <c r="AF68" s="71">
        <f t="shared" si="17"/>
        <v>6.4448773800937778</v>
      </c>
      <c r="AG68" s="71">
        <f t="shared" si="38"/>
        <v>0.36552071111111106</v>
      </c>
      <c r="AH68" s="71">
        <f t="shared" si="39"/>
        <v>3.8063607085346227</v>
      </c>
      <c r="AI68" s="74">
        <f t="shared" si="19"/>
        <v>4.1718814196457341</v>
      </c>
      <c r="AJ68" s="73">
        <f t="shared" si="20"/>
        <v>6.1000000000000005</v>
      </c>
      <c r="AK68" s="71">
        <f t="shared" si="40"/>
        <v>7.8933305180175157</v>
      </c>
      <c r="AL68" s="71">
        <f t="shared" si="41"/>
        <v>0.54828106666666665</v>
      </c>
      <c r="AM68" s="71">
        <f t="shared" si="48"/>
        <v>1.3728000000000002</v>
      </c>
      <c r="AN68" s="188">
        <f t="shared" si="42"/>
        <v>0.36373333333333335</v>
      </c>
      <c r="AO68" s="74">
        <f t="shared" si="24"/>
        <v>2.2848144000000001</v>
      </c>
      <c r="AP68" s="73">
        <f t="shared" si="43"/>
        <v>0.15576166666666671</v>
      </c>
      <c r="AQ68" s="206">
        <f t="shared" si="44"/>
        <v>0.14330073333333335</v>
      </c>
      <c r="AR68" s="206">
        <f t="shared" si="45"/>
        <v>0.7544881202841347</v>
      </c>
      <c r="AS68" s="71">
        <f t="shared" si="46"/>
        <v>0.19999999999999998</v>
      </c>
      <c r="AT68" s="74">
        <f t="shared" si="47"/>
        <v>3.96E-5</v>
      </c>
      <c r="AU68" s="73">
        <f t="shared" si="26"/>
        <v>7.8535866732632034</v>
      </c>
      <c r="AV68" s="71">
        <f t="shared" si="27"/>
        <v>122.00000000000001</v>
      </c>
      <c r="AW68" s="74">
        <f t="shared" si="28"/>
        <v>93.951967847430865</v>
      </c>
    </row>
    <row r="69" spans="17:49" x14ac:dyDescent="0.25">
      <c r="Q69">
        <v>62</v>
      </c>
      <c r="R69" s="73">
        <f t="shared" si="0"/>
        <v>20</v>
      </c>
      <c r="S69" s="71">
        <f t="shared" si="32"/>
        <v>6.2</v>
      </c>
      <c r="T69" s="71">
        <f t="shared" si="2"/>
        <v>12</v>
      </c>
      <c r="U69" s="74">
        <f t="shared" si="33"/>
        <v>10.333333333333334</v>
      </c>
      <c r="V69" s="73">
        <f>IF(Variable_Management!$B$20=3,2,IF((S69*R69/T69)&lt;((T69*(1-(T69/R69)))/(2*Lm*Fsw)),1,2))</f>
        <v>2</v>
      </c>
      <c r="W69" s="71">
        <f t="shared" si="34"/>
        <v>0.4</v>
      </c>
      <c r="X69" s="74">
        <f t="shared" si="35"/>
        <v>0.6</v>
      </c>
      <c r="Y69" s="73">
        <f t="shared" si="36"/>
        <v>2.4000000000000004</v>
      </c>
      <c r="Z69" s="71">
        <f t="shared" si="30"/>
        <v>11.533333333333335</v>
      </c>
      <c r="AA69" s="71">
        <f t="shared" si="31"/>
        <v>10.356533096445826</v>
      </c>
      <c r="AB69" s="71">
        <v>0</v>
      </c>
      <c r="AC69" s="71">
        <f t="shared" si="37"/>
        <v>0.14801573333333332</v>
      </c>
      <c r="AD69" s="74">
        <f t="shared" si="16"/>
        <v>0.14801573333333332</v>
      </c>
      <c r="AE69" s="73">
        <f t="shared" si="29"/>
        <v>4.1333333333333337</v>
      </c>
      <c r="AF69" s="71">
        <f t="shared" si="17"/>
        <v>6.550046649537018</v>
      </c>
      <c r="AG69" s="71">
        <f t="shared" si="38"/>
        <v>0.37754737777777786</v>
      </c>
      <c r="AH69" s="71">
        <f t="shared" si="39"/>
        <v>3.8687600644122391</v>
      </c>
      <c r="AI69" s="74">
        <f t="shared" si="19"/>
        <v>4.2463074421900169</v>
      </c>
      <c r="AJ69" s="73">
        <f t="shared" si="20"/>
        <v>6.2</v>
      </c>
      <c r="AK69" s="71">
        <f t="shared" si="40"/>
        <v>8.0221360413961236</v>
      </c>
      <c r="AL69" s="71">
        <f t="shared" si="41"/>
        <v>0.56632106666666682</v>
      </c>
      <c r="AM69" s="71">
        <f t="shared" si="48"/>
        <v>1.3728000000000002</v>
      </c>
      <c r="AN69" s="188">
        <f t="shared" si="42"/>
        <v>0.36906666666666671</v>
      </c>
      <c r="AO69" s="74">
        <f t="shared" si="24"/>
        <v>2.3081877333333338</v>
      </c>
      <c r="AP69" s="73">
        <f t="shared" si="43"/>
        <v>0.16088666666666668</v>
      </c>
      <c r="AQ69" s="206">
        <f t="shared" si="44"/>
        <v>0.14801573333333332</v>
      </c>
      <c r="AR69" s="206">
        <f t="shared" si="45"/>
        <v>0.7544881202841347</v>
      </c>
      <c r="AS69" s="71">
        <f t="shared" si="46"/>
        <v>0.19999999999999998</v>
      </c>
      <c r="AT69" s="74">
        <f t="shared" si="47"/>
        <v>3.96E-5</v>
      </c>
      <c r="AU69" s="73">
        <f t="shared" si="26"/>
        <v>7.9659410291408204</v>
      </c>
      <c r="AV69" s="71">
        <f t="shared" si="27"/>
        <v>124</v>
      </c>
      <c r="AW69" s="74">
        <f t="shared" si="28"/>
        <v>93.963638672965033</v>
      </c>
    </row>
    <row r="70" spans="17:49" x14ac:dyDescent="0.25">
      <c r="Q70">
        <v>63</v>
      </c>
      <c r="R70" s="73">
        <f t="shared" si="0"/>
        <v>20</v>
      </c>
      <c r="S70" s="71">
        <f t="shared" si="32"/>
        <v>6.3000000000000007</v>
      </c>
      <c r="T70" s="71">
        <f t="shared" si="2"/>
        <v>12</v>
      </c>
      <c r="U70" s="74">
        <f t="shared" si="33"/>
        <v>10.500000000000002</v>
      </c>
      <c r="V70" s="73">
        <f>IF(Variable_Management!$B$20=3,2,IF((S70*R70/T70)&lt;((T70*(1-(T70/R70)))/(2*Lm*Fsw)),1,2))</f>
        <v>2</v>
      </c>
      <c r="W70" s="71">
        <f t="shared" si="34"/>
        <v>0.4</v>
      </c>
      <c r="X70" s="74">
        <f t="shared" si="35"/>
        <v>0.6</v>
      </c>
      <c r="Y70" s="73">
        <f t="shared" si="36"/>
        <v>2.4000000000000004</v>
      </c>
      <c r="Z70" s="71">
        <f t="shared" si="30"/>
        <v>11.700000000000003</v>
      </c>
      <c r="AA70" s="71">
        <f t="shared" si="31"/>
        <v>10.522832318344717</v>
      </c>
      <c r="AB70" s="71">
        <v>0</v>
      </c>
      <c r="AC70" s="71">
        <f t="shared" si="37"/>
        <v>0.15280740000000007</v>
      </c>
      <c r="AD70" s="74">
        <f t="shared" si="16"/>
        <v>0.15280740000000007</v>
      </c>
      <c r="AE70" s="73">
        <f t="shared" si="29"/>
        <v>4.2000000000000011</v>
      </c>
      <c r="AF70" s="71">
        <f t="shared" si="17"/>
        <v>6.6552235123998669</v>
      </c>
      <c r="AG70" s="71">
        <f t="shared" si="38"/>
        <v>0.38976960000000022</v>
      </c>
      <c r="AH70" s="71">
        <f t="shared" si="39"/>
        <v>3.9311594202898559</v>
      </c>
      <c r="AI70" s="74">
        <f t="shared" si="19"/>
        <v>4.3209290202898565</v>
      </c>
      <c r="AJ70" s="73">
        <f t="shared" si="20"/>
        <v>6.3000000000000007</v>
      </c>
      <c r="AK70" s="71">
        <f t="shared" si="40"/>
        <v>8.1509508647764548</v>
      </c>
      <c r="AL70" s="71">
        <f t="shared" si="41"/>
        <v>0.58465440000000035</v>
      </c>
      <c r="AM70" s="71">
        <f t="shared" si="48"/>
        <v>1.3728000000000002</v>
      </c>
      <c r="AN70" s="188">
        <f t="shared" si="42"/>
        <v>0.37440000000000012</v>
      </c>
      <c r="AO70" s="74">
        <f t="shared" si="24"/>
        <v>2.3318544000000005</v>
      </c>
      <c r="AP70" s="73">
        <f t="shared" si="43"/>
        <v>0.16609500000000008</v>
      </c>
      <c r="AQ70" s="206">
        <f t="shared" si="44"/>
        <v>0.15280740000000007</v>
      </c>
      <c r="AR70" s="206">
        <f t="shared" si="45"/>
        <v>0.7544881202841347</v>
      </c>
      <c r="AS70" s="71">
        <f t="shared" si="46"/>
        <v>0.19999999999999998</v>
      </c>
      <c r="AT70" s="74">
        <f t="shared" si="47"/>
        <v>3.96E-5</v>
      </c>
      <c r="AU70" s="73">
        <f t="shared" si="26"/>
        <v>8.0790209405739919</v>
      </c>
      <c r="AV70" s="71">
        <f t="shared" si="27"/>
        <v>126.00000000000001</v>
      </c>
      <c r="AW70" s="74">
        <f t="shared" si="28"/>
        <v>93.974433223110466</v>
      </c>
    </row>
    <row r="71" spans="17:49" x14ac:dyDescent="0.25">
      <c r="Q71">
        <v>64</v>
      </c>
      <c r="R71" s="73">
        <f t="shared" ref="R71:R134" si="49">VOUT</f>
        <v>20</v>
      </c>
      <c r="S71" s="71">
        <f t="shared" ref="S71:S102" si="50">Q71*$O$12</f>
        <v>6.4</v>
      </c>
      <c r="T71" s="71">
        <f t="shared" ref="T71:T134" si="51">VIN_var</f>
        <v>12</v>
      </c>
      <c r="U71" s="74">
        <f t="shared" ref="U71:U102" si="52">(R71*S71)/(T71*EFF_est)</f>
        <v>10.666666666666666</v>
      </c>
      <c r="V71" s="73">
        <f>IF(Variable_Management!$B$20=3,2,IF((S71*R71/T71)&lt;((T71*(1-(T71/R71)))/(2*Lm*Fsw)),1,2))</f>
        <v>2</v>
      </c>
      <c r="W71" s="71">
        <f t="shared" ref="W71:W102" si="53">CHOOSE(V71,SQRT((2*S71*Lm*Fsw*(R71-T71))/((T71)^2)),1-(T71/R71))</f>
        <v>0.4</v>
      </c>
      <c r="X71" s="74">
        <f t="shared" ref="X71:X102" si="54">CHOOSE(V71,(Lm*Z71*Fsw)/(R71-T71),1-W71)</f>
        <v>0.6</v>
      </c>
      <c r="Y71" s="73">
        <f t="shared" ref="Y71:Y102" si="55">(T71*W71)/(Lm*Fsw)</f>
        <v>2.4000000000000004</v>
      </c>
      <c r="Z71" s="71">
        <f t="shared" si="30"/>
        <v>11.866666666666667</v>
      </c>
      <c r="AA71" s="71">
        <f t="shared" si="31"/>
        <v>10.689142986122778</v>
      </c>
      <c r="AB71" s="71">
        <v>0</v>
      </c>
      <c r="AC71" s="71">
        <f t="shared" ref="AC71:AC102" si="56">(AA71^2)*Rdcr</f>
        <v>0.15767573333333335</v>
      </c>
      <c r="AD71" s="74">
        <f t="shared" si="16"/>
        <v>0.15767573333333335</v>
      </c>
      <c r="AE71" s="73">
        <f t="shared" si="29"/>
        <v>4.2666666666666666</v>
      </c>
      <c r="AF71" s="71">
        <f t="shared" si="17"/>
        <v>6.7604076142723164</v>
      </c>
      <c r="AG71" s="71">
        <f t="shared" ref="AG71:AG102" si="57">(AF71^2)*RDS_on</f>
        <v>0.4021873777777778</v>
      </c>
      <c r="AH71" s="71">
        <f t="shared" ref="AH71:AH102" si="58">((R71*U71)/2)*Fsw*(tr_sw+tf_sw)</f>
        <v>3.9935587761674718</v>
      </c>
      <c r="AI71" s="74">
        <f t="shared" si="19"/>
        <v>4.3957461539452494</v>
      </c>
      <c r="AJ71" s="73">
        <f t="shared" si="20"/>
        <v>6.3999999999999995</v>
      </c>
      <c r="AK71" s="71">
        <f t="shared" ref="AK71:AK102" si="59">CHOOSE(V71,Z71*SQRT(X71/3),SQRT(X71*((Z71^2)+((Y71^2)/3)-(Y71*Z71))))</f>
        <v>8.279774554096667</v>
      </c>
      <c r="AL71" s="71">
        <f t="shared" ref="AL71:AL102" si="60">(AK71^2)*RDS_on_HS</f>
        <v>0.6032810666666667</v>
      </c>
      <c r="AM71" s="71">
        <f t="shared" si="48"/>
        <v>1.3728000000000002</v>
      </c>
      <c r="AN71" s="188">
        <f t="shared" ref="AN71:AN102" si="61">Vd_rect*t_dead*Fsw*Z71</f>
        <v>0.37973333333333337</v>
      </c>
      <c r="AO71" s="74">
        <f t="shared" si="24"/>
        <v>2.3558144000000003</v>
      </c>
      <c r="AP71" s="73">
        <f t="shared" ref="AP71:AP102" si="62">(AA71^2)*R_cs</f>
        <v>0.17138666666666669</v>
      </c>
      <c r="AQ71" s="206">
        <f t="shared" ref="AQ71:AQ102" si="63">Rdcr*AA71^2</f>
        <v>0.15767573333333335</v>
      </c>
      <c r="AR71" s="206">
        <f t="shared" ref="AR71:AR102" si="64">ABS(7.759*10^-3*Fsw^0.9458*(0.00787*Y71)^2.304)</f>
        <v>0.7544881202841347</v>
      </c>
      <c r="AS71" s="71">
        <f t="shared" ref="AS71:AS102" si="65">(Qg_tot+Qg_tot_HS)*Vcc*Fsw</f>
        <v>0.19999999999999998</v>
      </c>
      <c r="AT71" s="74">
        <f t="shared" ref="AT71:AT102" si="66">IQ*T71</f>
        <v>3.96E-5</v>
      </c>
      <c r="AU71" s="73">
        <f t="shared" si="26"/>
        <v>8.192826407562718</v>
      </c>
      <c r="AV71" s="71">
        <f t="shared" si="27"/>
        <v>128</v>
      </c>
      <c r="AW71" s="74">
        <f t="shared" si="28"/>
        <v>93.984392112514541</v>
      </c>
    </row>
    <row r="72" spans="17:49" x14ac:dyDescent="0.25">
      <c r="Q72">
        <v>65</v>
      </c>
      <c r="R72" s="73">
        <f t="shared" si="49"/>
        <v>20</v>
      </c>
      <c r="S72" s="71">
        <f t="shared" si="50"/>
        <v>6.5</v>
      </c>
      <c r="T72" s="71">
        <f t="shared" si="51"/>
        <v>12</v>
      </c>
      <c r="U72" s="74">
        <f t="shared" si="52"/>
        <v>10.833333333333334</v>
      </c>
      <c r="V72" s="73">
        <f>IF(Variable_Management!$B$20=3,2,IF((S72*R72/T72)&lt;((T72*(1-(T72/R72)))/(2*Lm*Fsw)),1,2))</f>
        <v>2</v>
      </c>
      <c r="W72" s="71">
        <f t="shared" si="53"/>
        <v>0.4</v>
      </c>
      <c r="X72" s="74">
        <f t="shared" si="54"/>
        <v>0.6</v>
      </c>
      <c r="Y72" s="73">
        <f t="shared" si="55"/>
        <v>2.4000000000000004</v>
      </c>
      <c r="Z72" s="71">
        <f t="shared" si="30"/>
        <v>12.033333333333335</v>
      </c>
      <c r="AA72" s="71">
        <f t="shared" si="31"/>
        <v>10.855464573711764</v>
      </c>
      <c r="AB72" s="71">
        <v>0</v>
      </c>
      <c r="AC72" s="71">
        <f t="shared" si="56"/>
        <v>0.16262073333333335</v>
      </c>
      <c r="AD72" s="74">
        <f t="shared" ref="AD72:AD135" si="67">AB72+AC72</f>
        <v>0.16262073333333335</v>
      </c>
      <c r="AE72" s="73">
        <f t="shared" si="29"/>
        <v>4.3333333333333339</v>
      </c>
      <c r="AF72" s="71">
        <f t="shared" ref="AF72:AF135" si="68">CHOOSE(V72,Z72*SQRT(W72/3),SQRT(W72*((Z72^2)+((Y72^2)/3)-(Z72*Y72))))</f>
        <v>6.8655986224395935</v>
      </c>
      <c r="AG72" s="71">
        <f t="shared" si="57"/>
        <v>0.41480071111111111</v>
      </c>
      <c r="AH72" s="71">
        <f t="shared" si="58"/>
        <v>4.055958132045089</v>
      </c>
      <c r="AI72" s="74">
        <f t="shared" ref="AI72:AI135" si="69">AG72+AH72</f>
        <v>4.4707588431562</v>
      </c>
      <c r="AJ72" s="73">
        <f t="shared" ref="AJ72:AJ135" si="70">X72*U72</f>
        <v>6.5</v>
      </c>
      <c r="AK72" s="71">
        <f t="shared" si="59"/>
        <v>8.4086067018660504</v>
      </c>
      <c r="AL72" s="71">
        <f t="shared" si="60"/>
        <v>0.62220106666666664</v>
      </c>
      <c r="AM72" s="71">
        <f t="shared" ref="AM72:AM103" si="71">CHOOSE(V72,(R72+Vd_rect)*Qrr*Fsw,(R72+Vd_rect)*Qrr*Fsw)</f>
        <v>1.3728000000000002</v>
      </c>
      <c r="AN72" s="188">
        <f t="shared" si="61"/>
        <v>0.38506666666666672</v>
      </c>
      <c r="AO72" s="74">
        <f t="shared" ref="AO72:AO135" si="72">AL72+AM72+AN72</f>
        <v>2.3800677333333335</v>
      </c>
      <c r="AP72" s="73">
        <f t="shared" si="62"/>
        <v>0.17676166666666671</v>
      </c>
      <c r="AQ72" s="206">
        <f t="shared" si="63"/>
        <v>0.16262073333333335</v>
      </c>
      <c r="AR72" s="206">
        <f t="shared" si="64"/>
        <v>0.7544881202841347</v>
      </c>
      <c r="AS72" s="71">
        <f t="shared" si="65"/>
        <v>0.19999999999999998</v>
      </c>
      <c r="AT72" s="74">
        <f t="shared" si="66"/>
        <v>3.96E-5</v>
      </c>
      <c r="AU72" s="73">
        <f t="shared" ref="AU72:AU135" si="73">AP72+AO72+AI72+AD72+AS72+AT72+AQ72+AR72</f>
        <v>8.3073574301070021</v>
      </c>
      <c r="AV72" s="71">
        <f t="shared" ref="AV72:AV135" si="74">R72*S72</f>
        <v>130</v>
      </c>
      <c r="AW72" s="74">
        <f t="shared" ref="AW72:AW135" si="75">(AV72/(AV72+AU72))*100</f>
        <v>93.993553499635695</v>
      </c>
    </row>
    <row r="73" spans="17:49" x14ac:dyDescent="0.25">
      <c r="Q73">
        <v>66</v>
      </c>
      <c r="R73" s="73">
        <f t="shared" si="49"/>
        <v>20</v>
      </c>
      <c r="S73" s="71">
        <f t="shared" si="50"/>
        <v>6.6000000000000005</v>
      </c>
      <c r="T73" s="71">
        <f t="shared" si="51"/>
        <v>12</v>
      </c>
      <c r="U73" s="74">
        <f t="shared" si="52"/>
        <v>11</v>
      </c>
      <c r="V73" s="73">
        <f>IF(Variable_Management!$B$20=3,2,IF((S73*R73/T73)&lt;((T73*(1-(T73/R73)))/(2*Lm*Fsw)),1,2))</f>
        <v>2</v>
      </c>
      <c r="W73" s="71">
        <f t="shared" si="53"/>
        <v>0.4</v>
      </c>
      <c r="X73" s="74">
        <f t="shared" si="54"/>
        <v>0.6</v>
      </c>
      <c r="Y73" s="73">
        <f t="shared" si="55"/>
        <v>2.4000000000000004</v>
      </c>
      <c r="Z73" s="71">
        <f t="shared" si="30"/>
        <v>12.2</v>
      </c>
      <c r="AA73" s="71">
        <f t="shared" si="31"/>
        <v>11.021796586763884</v>
      </c>
      <c r="AB73" s="71">
        <v>0</v>
      </c>
      <c r="AC73" s="71">
        <f t="shared" si="56"/>
        <v>0.1676424</v>
      </c>
      <c r="AD73" s="74">
        <f t="shared" si="67"/>
        <v>0.1676424</v>
      </c>
      <c r="AE73" s="73">
        <f t="shared" ref="AE73:AE136" si="76">U73*W73</f>
        <v>4.4000000000000004</v>
      </c>
      <c r="AF73" s="71">
        <f t="shared" si="68"/>
        <v>6.970796224248704</v>
      </c>
      <c r="AG73" s="71">
        <f t="shared" si="57"/>
        <v>0.42760959999999998</v>
      </c>
      <c r="AH73" s="71">
        <f t="shared" si="58"/>
        <v>4.1183574879227054</v>
      </c>
      <c r="AI73" s="74">
        <f t="shared" si="69"/>
        <v>4.5459670879227057</v>
      </c>
      <c r="AJ73" s="73">
        <f t="shared" si="70"/>
        <v>6.6</v>
      </c>
      <c r="AK73" s="71">
        <f t="shared" si="59"/>
        <v>8.5374469251644527</v>
      </c>
      <c r="AL73" s="71">
        <f t="shared" si="60"/>
        <v>0.64141439999999972</v>
      </c>
      <c r="AM73" s="71">
        <f t="shared" si="71"/>
        <v>1.3728000000000002</v>
      </c>
      <c r="AN73" s="188">
        <f t="shared" si="61"/>
        <v>0.39039999999999997</v>
      </c>
      <c r="AO73" s="74">
        <f t="shared" si="72"/>
        <v>2.4046144000000003</v>
      </c>
      <c r="AP73" s="73">
        <f t="shared" si="62"/>
        <v>0.18222000000000002</v>
      </c>
      <c r="AQ73" s="206">
        <f t="shared" si="63"/>
        <v>0.1676424</v>
      </c>
      <c r="AR73" s="206">
        <f t="shared" si="64"/>
        <v>0.7544881202841347</v>
      </c>
      <c r="AS73" s="71">
        <f t="shared" si="65"/>
        <v>0.19999999999999998</v>
      </c>
      <c r="AT73" s="74">
        <f t="shared" si="66"/>
        <v>3.96E-5</v>
      </c>
      <c r="AU73" s="73">
        <f t="shared" si="73"/>
        <v>8.4226140082068408</v>
      </c>
      <c r="AV73" s="71">
        <f t="shared" si="74"/>
        <v>132</v>
      </c>
      <c r="AW73" s="74">
        <f t="shared" si="75"/>
        <v>94.001953269638904</v>
      </c>
    </row>
    <row r="74" spans="17:49" x14ac:dyDescent="0.25">
      <c r="Q74">
        <v>67</v>
      </c>
      <c r="R74" s="73">
        <f t="shared" si="49"/>
        <v>20</v>
      </c>
      <c r="S74" s="71">
        <f t="shared" si="50"/>
        <v>6.7</v>
      </c>
      <c r="T74" s="71">
        <f t="shared" si="51"/>
        <v>12</v>
      </c>
      <c r="U74" s="74">
        <f t="shared" si="52"/>
        <v>11.166666666666666</v>
      </c>
      <c r="V74" s="73">
        <f>IF(Variable_Management!$B$20=3,2,IF((S74*R74/T74)&lt;((T74*(1-(T74/R74)))/(2*Lm*Fsw)),1,2))</f>
        <v>2</v>
      </c>
      <c r="W74" s="71">
        <f t="shared" si="53"/>
        <v>0.4</v>
      </c>
      <c r="X74" s="74">
        <f t="shared" si="54"/>
        <v>0.6</v>
      </c>
      <c r="Y74" s="73">
        <f t="shared" si="55"/>
        <v>2.4000000000000004</v>
      </c>
      <c r="Z74" s="71">
        <f t="shared" si="30"/>
        <v>12.366666666666667</v>
      </c>
      <c r="AA74" s="71">
        <f t="shared" si="31"/>
        <v>11.188138560298778</v>
      </c>
      <c r="AB74" s="71">
        <v>0</v>
      </c>
      <c r="AC74" s="71">
        <f t="shared" si="56"/>
        <v>0.17274073333333329</v>
      </c>
      <c r="AD74" s="74">
        <f t="shared" si="67"/>
        <v>0.17274073333333329</v>
      </c>
      <c r="AE74" s="73">
        <f t="shared" si="76"/>
        <v>4.4666666666666668</v>
      </c>
      <c r="AF74" s="71">
        <f t="shared" si="68"/>
        <v>7.0760001256202489</v>
      </c>
      <c r="AG74" s="71">
        <f t="shared" si="57"/>
        <v>0.44061404444444452</v>
      </c>
      <c r="AH74" s="71">
        <f t="shared" si="58"/>
        <v>4.1807568438003218</v>
      </c>
      <c r="AI74" s="74">
        <f t="shared" si="69"/>
        <v>4.6213708882447664</v>
      </c>
      <c r="AJ74" s="73">
        <f t="shared" si="70"/>
        <v>6.6999999999999993</v>
      </c>
      <c r="AK74" s="71">
        <f t="shared" si="59"/>
        <v>8.6662948638196386</v>
      </c>
      <c r="AL74" s="71">
        <f t="shared" si="60"/>
        <v>0.6609210666666665</v>
      </c>
      <c r="AM74" s="71">
        <f t="shared" si="71"/>
        <v>1.3728000000000002</v>
      </c>
      <c r="AN74" s="188">
        <f t="shared" si="61"/>
        <v>0.39573333333333338</v>
      </c>
      <c r="AO74" s="74">
        <f t="shared" si="72"/>
        <v>2.4294544</v>
      </c>
      <c r="AP74" s="73">
        <f t="shared" si="62"/>
        <v>0.18776166666666663</v>
      </c>
      <c r="AQ74" s="206">
        <f t="shared" si="63"/>
        <v>0.17274073333333329</v>
      </c>
      <c r="AR74" s="206">
        <f t="shared" si="64"/>
        <v>0.7544881202841347</v>
      </c>
      <c r="AS74" s="71">
        <f t="shared" si="65"/>
        <v>0.19999999999999998</v>
      </c>
      <c r="AT74" s="74">
        <f t="shared" si="66"/>
        <v>3.96E-5</v>
      </c>
      <c r="AU74" s="73">
        <f t="shared" si="73"/>
        <v>8.538596141862234</v>
      </c>
      <c r="AV74" s="71">
        <f t="shared" si="74"/>
        <v>134</v>
      </c>
      <c r="AW74" s="74">
        <f t="shared" si="75"/>
        <v>94.009625201188214</v>
      </c>
    </row>
    <row r="75" spans="17:49" x14ac:dyDescent="0.25">
      <c r="Q75">
        <v>68</v>
      </c>
      <c r="R75" s="73">
        <f t="shared" si="49"/>
        <v>20</v>
      </c>
      <c r="S75" s="71">
        <f t="shared" si="50"/>
        <v>6.8000000000000007</v>
      </c>
      <c r="T75" s="71">
        <f t="shared" si="51"/>
        <v>12</v>
      </c>
      <c r="U75" s="74">
        <f t="shared" si="52"/>
        <v>11.333333333333334</v>
      </c>
      <c r="V75" s="73">
        <f>IF(Variable_Management!$B$20=3,2,IF((S75*R75/T75)&lt;((T75*(1-(T75/R75)))/(2*Lm*Fsw)),1,2))</f>
        <v>2</v>
      </c>
      <c r="W75" s="71">
        <f t="shared" si="53"/>
        <v>0.4</v>
      </c>
      <c r="X75" s="74">
        <f t="shared" si="54"/>
        <v>0.6</v>
      </c>
      <c r="Y75" s="73">
        <f t="shared" si="55"/>
        <v>2.4000000000000004</v>
      </c>
      <c r="Z75" s="71">
        <f t="shared" si="30"/>
        <v>12.533333333333335</v>
      </c>
      <c r="AA75" s="71">
        <f t="shared" si="31"/>
        <v>11.354490056556676</v>
      </c>
      <c r="AB75" s="71">
        <v>0</v>
      </c>
      <c r="AC75" s="71">
        <f t="shared" si="56"/>
        <v>0.1779157333333333</v>
      </c>
      <c r="AD75" s="74">
        <f t="shared" si="67"/>
        <v>0.1779157333333333</v>
      </c>
      <c r="AE75" s="73">
        <f t="shared" si="76"/>
        <v>4.5333333333333341</v>
      </c>
      <c r="AF75" s="71">
        <f t="shared" si="68"/>
        <v>7.1812100496906357</v>
      </c>
      <c r="AG75" s="71">
        <f t="shared" si="57"/>
        <v>0.45381404444444451</v>
      </c>
      <c r="AH75" s="71">
        <f t="shared" si="58"/>
        <v>4.2431561996779399</v>
      </c>
      <c r="AI75" s="74">
        <f t="shared" si="69"/>
        <v>4.6969702441223848</v>
      </c>
      <c r="AJ75" s="73">
        <f t="shared" si="70"/>
        <v>6.8</v>
      </c>
      <c r="AK75" s="71">
        <f t="shared" si="59"/>
        <v>8.7951501787443433</v>
      </c>
      <c r="AL75" s="71">
        <f t="shared" si="60"/>
        <v>0.68072106666666665</v>
      </c>
      <c r="AM75" s="71">
        <f t="shared" si="71"/>
        <v>1.3728000000000002</v>
      </c>
      <c r="AN75" s="188">
        <f t="shared" si="61"/>
        <v>0.40106666666666674</v>
      </c>
      <c r="AO75" s="74">
        <f t="shared" si="72"/>
        <v>2.4545877333333337</v>
      </c>
      <c r="AP75" s="73">
        <f t="shared" si="62"/>
        <v>0.19338666666666662</v>
      </c>
      <c r="AQ75" s="206">
        <f t="shared" si="63"/>
        <v>0.1779157333333333</v>
      </c>
      <c r="AR75" s="206">
        <f t="shared" si="64"/>
        <v>0.7544881202841347</v>
      </c>
      <c r="AS75" s="71">
        <f t="shared" si="65"/>
        <v>0.19999999999999998</v>
      </c>
      <c r="AT75" s="74">
        <f t="shared" si="66"/>
        <v>3.96E-5</v>
      </c>
      <c r="AU75" s="73">
        <f t="shared" si="73"/>
        <v>8.6553038310731871</v>
      </c>
      <c r="AV75" s="71">
        <f t="shared" si="74"/>
        <v>136</v>
      </c>
      <c r="AW75" s="74">
        <f t="shared" si="75"/>
        <v>94.016601118766616</v>
      </c>
    </row>
    <row r="76" spans="17:49" x14ac:dyDescent="0.25">
      <c r="Q76">
        <v>69</v>
      </c>
      <c r="R76" s="73">
        <f t="shared" si="49"/>
        <v>20</v>
      </c>
      <c r="S76" s="71">
        <f t="shared" si="50"/>
        <v>6.9</v>
      </c>
      <c r="T76" s="71">
        <f t="shared" si="51"/>
        <v>12</v>
      </c>
      <c r="U76" s="74">
        <f t="shared" si="52"/>
        <v>11.5</v>
      </c>
      <c r="V76" s="73">
        <f>IF(Variable_Management!$B$20=3,2,IF((S76*R76/T76)&lt;((T76*(1-(T76/R76)))/(2*Lm*Fsw)),1,2))</f>
        <v>2</v>
      </c>
      <c r="W76" s="71">
        <f t="shared" si="53"/>
        <v>0.4</v>
      </c>
      <c r="X76" s="74">
        <f t="shared" si="54"/>
        <v>0.6</v>
      </c>
      <c r="Y76" s="73">
        <f t="shared" si="55"/>
        <v>2.4000000000000004</v>
      </c>
      <c r="Z76" s="71">
        <f t="shared" si="30"/>
        <v>12.7</v>
      </c>
      <c r="AA76" s="71">
        <f t="shared" si="31"/>
        <v>11.520850663036995</v>
      </c>
      <c r="AB76" s="71">
        <v>0</v>
      </c>
      <c r="AC76" s="71">
        <f t="shared" si="56"/>
        <v>0.18316739999999992</v>
      </c>
      <c r="AD76" s="74">
        <f t="shared" si="67"/>
        <v>0.18316739999999992</v>
      </c>
      <c r="AE76" s="73">
        <f t="shared" si="76"/>
        <v>4.6000000000000005</v>
      </c>
      <c r="AF76" s="71">
        <f t="shared" si="68"/>
        <v>7.2864257355715898</v>
      </c>
      <c r="AG76" s="71">
        <f t="shared" si="57"/>
        <v>0.46720959999999989</v>
      </c>
      <c r="AH76" s="71">
        <f t="shared" si="58"/>
        <v>4.3055555555555562</v>
      </c>
      <c r="AI76" s="74">
        <f t="shared" si="69"/>
        <v>4.7727651555555557</v>
      </c>
      <c r="AJ76" s="73">
        <f t="shared" si="70"/>
        <v>6.8999999999999995</v>
      </c>
      <c r="AK76" s="71">
        <f t="shared" si="59"/>
        <v>8.9240125504169914</v>
      </c>
      <c r="AL76" s="71">
        <f t="shared" si="60"/>
        <v>0.70081439999999984</v>
      </c>
      <c r="AM76" s="71">
        <f t="shared" si="71"/>
        <v>1.3728000000000002</v>
      </c>
      <c r="AN76" s="188">
        <f t="shared" si="61"/>
        <v>0.40639999999999998</v>
      </c>
      <c r="AO76" s="74">
        <f t="shared" si="72"/>
        <v>2.4800144000000004</v>
      </c>
      <c r="AP76" s="73">
        <f t="shared" si="62"/>
        <v>0.19909499999999994</v>
      </c>
      <c r="AQ76" s="206">
        <f t="shared" si="63"/>
        <v>0.18316739999999992</v>
      </c>
      <c r="AR76" s="206">
        <f t="shared" si="64"/>
        <v>0.7544881202841347</v>
      </c>
      <c r="AS76" s="71">
        <f t="shared" si="65"/>
        <v>0.19999999999999998</v>
      </c>
      <c r="AT76" s="74">
        <f t="shared" si="66"/>
        <v>3.96E-5</v>
      </c>
      <c r="AU76" s="73">
        <f t="shared" si="73"/>
        <v>8.7727370758396912</v>
      </c>
      <c r="AV76" s="71">
        <f t="shared" si="74"/>
        <v>138</v>
      </c>
      <c r="AW76" s="74">
        <f t="shared" si="75"/>
        <v>94.022911031967269</v>
      </c>
    </row>
    <row r="77" spans="17:49" x14ac:dyDescent="0.25">
      <c r="Q77">
        <v>70</v>
      </c>
      <c r="R77" s="73">
        <f t="shared" si="49"/>
        <v>20</v>
      </c>
      <c r="S77" s="71">
        <f t="shared" si="50"/>
        <v>7</v>
      </c>
      <c r="T77" s="71">
        <f t="shared" si="51"/>
        <v>12</v>
      </c>
      <c r="U77" s="74">
        <f t="shared" si="52"/>
        <v>11.666666666666666</v>
      </c>
      <c r="V77" s="73">
        <f>IF(Variable_Management!$B$20=3,2,IF((S77*R77/T77)&lt;((T77*(1-(T77/R77)))/(2*Lm*Fsw)),1,2))</f>
        <v>2</v>
      </c>
      <c r="W77" s="71">
        <f t="shared" si="53"/>
        <v>0.4</v>
      </c>
      <c r="X77" s="74">
        <f t="shared" si="54"/>
        <v>0.6</v>
      </c>
      <c r="Y77" s="73">
        <f t="shared" si="55"/>
        <v>2.4000000000000004</v>
      </c>
      <c r="Z77" s="71">
        <f t="shared" si="30"/>
        <v>12.866666666666667</v>
      </c>
      <c r="AA77" s="71">
        <f t="shared" si="31"/>
        <v>11.687219990703994</v>
      </c>
      <c r="AB77" s="71">
        <v>0</v>
      </c>
      <c r="AC77" s="71">
        <f t="shared" si="56"/>
        <v>0.18849573333333328</v>
      </c>
      <c r="AD77" s="74">
        <f t="shared" si="67"/>
        <v>0.18849573333333328</v>
      </c>
      <c r="AE77" s="73">
        <f t="shared" si="76"/>
        <v>4.666666666666667</v>
      </c>
      <c r="AF77" s="71">
        <f t="shared" si="68"/>
        <v>7.3916469372153077</v>
      </c>
      <c r="AG77" s="71">
        <f t="shared" si="57"/>
        <v>0.48080071111111111</v>
      </c>
      <c r="AH77" s="71">
        <f t="shared" si="58"/>
        <v>4.3679549114331726</v>
      </c>
      <c r="AI77" s="74">
        <f t="shared" si="69"/>
        <v>4.8487556225442834</v>
      </c>
      <c r="AJ77" s="73">
        <f t="shared" si="70"/>
        <v>6.9999999999999991</v>
      </c>
      <c r="AK77" s="71">
        <f t="shared" si="59"/>
        <v>9.0528816774917953</v>
      </c>
      <c r="AL77" s="71">
        <f t="shared" si="60"/>
        <v>0.72120106666666672</v>
      </c>
      <c r="AM77" s="71">
        <f t="shared" si="71"/>
        <v>1.3728000000000002</v>
      </c>
      <c r="AN77" s="188">
        <f t="shared" si="61"/>
        <v>0.41173333333333334</v>
      </c>
      <c r="AO77" s="74">
        <f t="shared" si="72"/>
        <v>2.5057344000000001</v>
      </c>
      <c r="AP77" s="73">
        <f t="shared" si="62"/>
        <v>0.20488666666666661</v>
      </c>
      <c r="AQ77" s="206">
        <f t="shared" si="63"/>
        <v>0.18849573333333328</v>
      </c>
      <c r="AR77" s="206">
        <f t="shared" si="64"/>
        <v>0.7544881202841347</v>
      </c>
      <c r="AS77" s="71">
        <f t="shared" si="65"/>
        <v>0.19999999999999998</v>
      </c>
      <c r="AT77" s="74">
        <f t="shared" si="66"/>
        <v>3.96E-5</v>
      </c>
      <c r="AU77" s="73">
        <f t="shared" si="73"/>
        <v>8.8908958761617516</v>
      </c>
      <c r="AV77" s="71">
        <f t="shared" si="74"/>
        <v>140</v>
      </c>
      <c r="AW77" s="74">
        <f t="shared" si="75"/>
        <v>94.02858326303803</v>
      </c>
    </row>
    <row r="78" spans="17:49" x14ac:dyDescent="0.25">
      <c r="Q78">
        <v>71</v>
      </c>
      <c r="R78" s="73">
        <f t="shared" si="49"/>
        <v>20</v>
      </c>
      <c r="S78" s="71">
        <f t="shared" si="50"/>
        <v>7.1000000000000005</v>
      </c>
      <c r="T78" s="71">
        <f t="shared" si="51"/>
        <v>12</v>
      </c>
      <c r="U78" s="74">
        <f t="shared" si="52"/>
        <v>11.833333333333334</v>
      </c>
      <c r="V78" s="73">
        <f>IF(Variable_Management!$B$20=3,2,IF((S78*R78/T78)&lt;((T78*(1-(T78/R78)))/(2*Lm*Fsw)),1,2))</f>
        <v>2</v>
      </c>
      <c r="W78" s="71">
        <f t="shared" si="53"/>
        <v>0.4</v>
      </c>
      <c r="X78" s="74">
        <f t="shared" si="54"/>
        <v>0.6</v>
      </c>
      <c r="Y78" s="73">
        <f t="shared" si="55"/>
        <v>2.4000000000000004</v>
      </c>
      <c r="Z78" s="71">
        <f t="shared" si="30"/>
        <v>13.033333333333335</v>
      </c>
      <c r="AA78" s="71">
        <f t="shared" si="31"/>
        <v>11.853597672343101</v>
      </c>
      <c r="AB78" s="71">
        <v>0</v>
      </c>
      <c r="AC78" s="71">
        <f t="shared" si="56"/>
        <v>0.19390073333333335</v>
      </c>
      <c r="AD78" s="74">
        <f t="shared" si="67"/>
        <v>0.19390073333333335</v>
      </c>
      <c r="AE78" s="73">
        <f t="shared" si="76"/>
        <v>4.7333333333333334</v>
      </c>
      <c r="AF78" s="71">
        <f t="shared" si="68"/>
        <v>7.4968734223748985</v>
      </c>
      <c r="AG78" s="71">
        <f t="shared" si="57"/>
        <v>0.49458737777777789</v>
      </c>
      <c r="AH78" s="71">
        <f t="shared" si="58"/>
        <v>4.4303542673107899</v>
      </c>
      <c r="AI78" s="74">
        <f t="shared" si="69"/>
        <v>4.9249416450885679</v>
      </c>
      <c r="AJ78" s="73">
        <f t="shared" si="70"/>
        <v>7.1000000000000005</v>
      </c>
      <c r="AK78" s="71">
        <f t="shared" si="59"/>
        <v>9.1817572755255679</v>
      </c>
      <c r="AL78" s="71">
        <f t="shared" si="60"/>
        <v>0.74188106666666709</v>
      </c>
      <c r="AM78" s="71">
        <f t="shared" si="71"/>
        <v>1.3728000000000002</v>
      </c>
      <c r="AN78" s="188">
        <f t="shared" si="61"/>
        <v>0.41706666666666675</v>
      </c>
      <c r="AO78" s="74">
        <f t="shared" si="72"/>
        <v>2.5317477333333342</v>
      </c>
      <c r="AP78" s="73">
        <f t="shared" si="62"/>
        <v>0.21076166666666668</v>
      </c>
      <c r="AQ78" s="206">
        <f t="shared" si="63"/>
        <v>0.19390073333333335</v>
      </c>
      <c r="AR78" s="206">
        <f t="shared" si="64"/>
        <v>0.7544881202841347</v>
      </c>
      <c r="AS78" s="71">
        <f t="shared" si="65"/>
        <v>0.19999999999999998</v>
      </c>
      <c r="AT78" s="74">
        <f t="shared" si="66"/>
        <v>3.96E-5</v>
      </c>
      <c r="AU78" s="73">
        <f t="shared" si="73"/>
        <v>9.0097802320393683</v>
      </c>
      <c r="AV78" s="71">
        <f t="shared" si="74"/>
        <v>142</v>
      </c>
      <c r="AW78" s="74">
        <f t="shared" si="75"/>
        <v>94.033644563818925</v>
      </c>
    </row>
    <row r="79" spans="17:49" x14ac:dyDescent="0.25">
      <c r="Q79">
        <v>72</v>
      </c>
      <c r="R79" s="73">
        <f t="shared" si="49"/>
        <v>20</v>
      </c>
      <c r="S79" s="71">
        <f t="shared" si="50"/>
        <v>7.2</v>
      </c>
      <c r="T79" s="71">
        <f t="shared" si="51"/>
        <v>12</v>
      </c>
      <c r="U79" s="74">
        <f t="shared" si="52"/>
        <v>12</v>
      </c>
      <c r="V79" s="73">
        <f>IF(Variable_Management!$B$20=3,2,IF((S79*R79/T79)&lt;((T79*(1-(T79/R79)))/(2*Lm*Fsw)),1,2))</f>
        <v>2</v>
      </c>
      <c r="W79" s="71">
        <f t="shared" si="53"/>
        <v>0.4</v>
      </c>
      <c r="X79" s="74">
        <f t="shared" si="54"/>
        <v>0.6</v>
      </c>
      <c r="Y79" s="73">
        <f t="shared" si="55"/>
        <v>2.4000000000000004</v>
      </c>
      <c r="Z79" s="71">
        <f t="shared" si="30"/>
        <v>13.2</v>
      </c>
      <c r="AA79" s="71">
        <f t="shared" si="31"/>
        <v>12.019983361053376</v>
      </c>
      <c r="AB79" s="71">
        <v>0</v>
      </c>
      <c r="AC79" s="71">
        <f t="shared" si="56"/>
        <v>0.19938239999999999</v>
      </c>
      <c r="AD79" s="74">
        <f t="shared" si="67"/>
        <v>0.19938239999999999</v>
      </c>
      <c r="AE79" s="73">
        <f t="shared" si="76"/>
        <v>4.8000000000000007</v>
      </c>
      <c r="AF79" s="71">
        <f t="shared" si="68"/>
        <v>7.6021049716509435</v>
      </c>
      <c r="AG79" s="71">
        <f t="shared" si="57"/>
        <v>0.50856959999999996</v>
      </c>
      <c r="AH79" s="71">
        <f t="shared" si="58"/>
        <v>4.4927536231884062</v>
      </c>
      <c r="AI79" s="74">
        <f t="shared" si="69"/>
        <v>5.0013232231884057</v>
      </c>
      <c r="AJ79" s="73">
        <f t="shared" si="70"/>
        <v>7.1999999999999993</v>
      </c>
      <c r="AK79" s="71">
        <f t="shared" si="59"/>
        <v>9.3106390758099931</v>
      </c>
      <c r="AL79" s="71">
        <f t="shared" si="60"/>
        <v>0.76285439999999971</v>
      </c>
      <c r="AM79" s="71">
        <f t="shared" si="71"/>
        <v>1.3728000000000002</v>
      </c>
      <c r="AN79" s="188">
        <f t="shared" si="61"/>
        <v>0.4224</v>
      </c>
      <c r="AO79" s="74">
        <f t="shared" si="72"/>
        <v>2.5580544000000001</v>
      </c>
      <c r="AP79" s="73">
        <f t="shared" si="62"/>
        <v>0.21672</v>
      </c>
      <c r="AQ79" s="206">
        <f t="shared" si="63"/>
        <v>0.19938239999999999</v>
      </c>
      <c r="AR79" s="206">
        <f t="shared" si="64"/>
        <v>0.7544881202841347</v>
      </c>
      <c r="AS79" s="71">
        <f t="shared" si="65"/>
        <v>0.19999999999999998</v>
      </c>
      <c r="AT79" s="74">
        <f t="shared" si="66"/>
        <v>3.96E-5</v>
      </c>
      <c r="AU79" s="73">
        <f t="shared" si="73"/>
        <v>9.1293901434725395</v>
      </c>
      <c r="AV79" s="71">
        <f t="shared" si="74"/>
        <v>144</v>
      </c>
      <c r="AW79" s="74">
        <f t="shared" si="75"/>
        <v>94.038120223087901</v>
      </c>
    </row>
    <row r="80" spans="17:49" x14ac:dyDescent="0.25">
      <c r="Q80">
        <v>73</v>
      </c>
      <c r="R80" s="73">
        <f t="shared" si="49"/>
        <v>20</v>
      </c>
      <c r="S80" s="71">
        <f t="shared" si="50"/>
        <v>7.3000000000000007</v>
      </c>
      <c r="T80" s="71">
        <f t="shared" si="51"/>
        <v>12</v>
      </c>
      <c r="U80" s="74">
        <f t="shared" si="52"/>
        <v>12.166666666666666</v>
      </c>
      <c r="V80" s="73">
        <f>IF(Variable_Management!$B$20=3,2,IF((S80*R80/T80)&lt;((T80*(1-(T80/R80)))/(2*Lm*Fsw)),1,2))</f>
        <v>2</v>
      </c>
      <c r="W80" s="71">
        <f t="shared" si="53"/>
        <v>0.4</v>
      </c>
      <c r="X80" s="74">
        <f t="shared" si="54"/>
        <v>0.6</v>
      </c>
      <c r="Y80" s="73">
        <f t="shared" si="55"/>
        <v>2.4000000000000004</v>
      </c>
      <c r="Z80" s="71">
        <f t="shared" ref="Z80:Z143" si="77">CHOOSE(V80,Y80,U80+(0.5*Y80))</f>
        <v>13.366666666666667</v>
      </c>
      <c r="AA80" s="71">
        <f t="shared" ref="AA80:AA143" si="78">CHOOSE(V80,Z80*SQRT((W80+X80)/3),SQRT((U80^2)+((Y80^2)/12)))</f>
        <v>12.186376728863168</v>
      </c>
      <c r="AB80" s="71">
        <v>0</v>
      </c>
      <c r="AC80" s="71">
        <f t="shared" si="56"/>
        <v>0.20494073333333329</v>
      </c>
      <c r="AD80" s="74">
        <f t="shared" si="67"/>
        <v>0.20494073333333329</v>
      </c>
      <c r="AE80" s="73">
        <f t="shared" si="76"/>
        <v>4.8666666666666671</v>
      </c>
      <c r="AF80" s="71">
        <f t="shared" si="68"/>
        <v>7.7073413776159612</v>
      </c>
      <c r="AG80" s="71">
        <f t="shared" si="57"/>
        <v>0.52274737777777769</v>
      </c>
      <c r="AH80" s="71">
        <f t="shared" si="58"/>
        <v>4.5551529790660226</v>
      </c>
      <c r="AI80" s="74">
        <f t="shared" si="69"/>
        <v>5.0779003568438004</v>
      </c>
      <c r="AJ80" s="73">
        <f t="shared" si="70"/>
        <v>7.2999999999999989</v>
      </c>
      <c r="AK80" s="71">
        <f t="shared" si="59"/>
        <v>9.4395268242993335</v>
      </c>
      <c r="AL80" s="71">
        <f t="shared" si="60"/>
        <v>0.7841210666666667</v>
      </c>
      <c r="AM80" s="71">
        <f t="shared" si="71"/>
        <v>1.3728000000000002</v>
      </c>
      <c r="AN80" s="188">
        <f t="shared" si="61"/>
        <v>0.42773333333333335</v>
      </c>
      <c r="AO80" s="74">
        <f t="shared" si="72"/>
        <v>2.5846544000000002</v>
      </c>
      <c r="AP80" s="73">
        <f t="shared" si="62"/>
        <v>0.22276166666666664</v>
      </c>
      <c r="AQ80" s="206">
        <f t="shared" si="63"/>
        <v>0.20494073333333329</v>
      </c>
      <c r="AR80" s="206">
        <f t="shared" si="64"/>
        <v>0.7544881202841347</v>
      </c>
      <c r="AS80" s="71">
        <f t="shared" si="65"/>
        <v>0.19999999999999998</v>
      </c>
      <c r="AT80" s="74">
        <f t="shared" si="66"/>
        <v>3.96E-5</v>
      </c>
      <c r="AU80" s="73">
        <f t="shared" si="73"/>
        <v>9.2497256104612671</v>
      </c>
      <c r="AV80" s="71">
        <f t="shared" si="74"/>
        <v>146</v>
      </c>
      <c r="AW80" s="74">
        <f t="shared" si="75"/>
        <v>94.042034165219818</v>
      </c>
    </row>
    <row r="81" spans="17:49" x14ac:dyDescent="0.25">
      <c r="Q81">
        <v>74</v>
      </c>
      <c r="R81" s="73">
        <f t="shared" si="49"/>
        <v>20</v>
      </c>
      <c r="S81" s="71">
        <f t="shared" si="50"/>
        <v>7.4</v>
      </c>
      <c r="T81" s="71">
        <f t="shared" si="51"/>
        <v>12</v>
      </c>
      <c r="U81" s="74">
        <f t="shared" si="52"/>
        <v>12.333333333333334</v>
      </c>
      <c r="V81" s="73">
        <f>IF(Variable_Management!$B$20=3,2,IF((S81*R81/T81)&lt;((T81*(1-(T81/R81)))/(2*Lm*Fsw)),1,2))</f>
        <v>2</v>
      </c>
      <c r="W81" s="71">
        <f t="shared" si="53"/>
        <v>0.4</v>
      </c>
      <c r="X81" s="74">
        <f t="shared" si="54"/>
        <v>0.6</v>
      </c>
      <c r="Y81" s="73">
        <f t="shared" si="55"/>
        <v>2.4000000000000004</v>
      </c>
      <c r="Z81" s="71">
        <f t="shared" si="77"/>
        <v>13.533333333333335</v>
      </c>
      <c r="AA81" s="71">
        <f t="shared" si="78"/>
        <v>12.352777465457358</v>
      </c>
      <c r="AB81" s="71">
        <v>0</v>
      </c>
      <c r="AC81" s="71">
        <f t="shared" si="56"/>
        <v>0.21057573333333332</v>
      </c>
      <c r="AD81" s="74">
        <f t="shared" si="67"/>
        <v>0.21057573333333332</v>
      </c>
      <c r="AE81" s="73">
        <f t="shared" si="76"/>
        <v>4.9333333333333336</v>
      </c>
      <c r="AF81" s="71">
        <f t="shared" si="68"/>
        <v>7.8125824440094362</v>
      </c>
      <c r="AG81" s="71">
        <f t="shared" si="57"/>
        <v>0.53712071111111126</v>
      </c>
      <c r="AH81" s="71">
        <f t="shared" si="58"/>
        <v>4.6175523349436398</v>
      </c>
      <c r="AI81" s="74">
        <f t="shared" si="69"/>
        <v>5.154673046054751</v>
      </c>
      <c r="AJ81" s="73">
        <f t="shared" si="70"/>
        <v>7.4</v>
      </c>
      <c r="AK81" s="71">
        <f t="shared" si="59"/>
        <v>9.5684202806245224</v>
      </c>
      <c r="AL81" s="71">
        <f t="shared" si="60"/>
        <v>0.80568106666666672</v>
      </c>
      <c r="AM81" s="71">
        <f t="shared" si="71"/>
        <v>1.3728000000000002</v>
      </c>
      <c r="AN81" s="188">
        <f t="shared" si="61"/>
        <v>0.43306666666666671</v>
      </c>
      <c r="AO81" s="74">
        <f t="shared" si="72"/>
        <v>2.6115477333333335</v>
      </c>
      <c r="AP81" s="73">
        <f t="shared" si="62"/>
        <v>0.22888666666666665</v>
      </c>
      <c r="AQ81" s="206">
        <f t="shared" si="63"/>
        <v>0.21057573333333332</v>
      </c>
      <c r="AR81" s="206">
        <f t="shared" si="64"/>
        <v>0.7544881202841347</v>
      </c>
      <c r="AS81" s="71">
        <f t="shared" si="65"/>
        <v>0.19999999999999998</v>
      </c>
      <c r="AT81" s="74">
        <f t="shared" si="66"/>
        <v>3.96E-5</v>
      </c>
      <c r="AU81" s="73">
        <f t="shared" si="73"/>
        <v>9.3707866330055527</v>
      </c>
      <c r="AV81" s="71">
        <f t="shared" si="74"/>
        <v>148</v>
      </c>
      <c r="AW81" s="74">
        <f t="shared" si="75"/>
        <v>94.045409040968593</v>
      </c>
    </row>
    <row r="82" spans="17:49" x14ac:dyDescent="0.25">
      <c r="Q82">
        <v>75</v>
      </c>
      <c r="R82" s="73">
        <f t="shared" si="49"/>
        <v>20</v>
      </c>
      <c r="S82" s="71">
        <f t="shared" si="50"/>
        <v>7.5</v>
      </c>
      <c r="T82" s="71">
        <f t="shared" si="51"/>
        <v>12</v>
      </c>
      <c r="U82" s="74">
        <f t="shared" si="52"/>
        <v>12.5</v>
      </c>
      <c r="V82" s="73">
        <f>IF(Variable_Management!$B$20=3,2,IF((S82*R82/T82)&lt;((T82*(1-(T82/R82)))/(2*Lm*Fsw)),1,2))</f>
        <v>2</v>
      </c>
      <c r="W82" s="71">
        <f t="shared" si="53"/>
        <v>0.4</v>
      </c>
      <c r="X82" s="74">
        <f t="shared" si="54"/>
        <v>0.6</v>
      </c>
      <c r="Y82" s="73">
        <f t="shared" si="55"/>
        <v>2.4000000000000004</v>
      </c>
      <c r="Z82" s="71">
        <f t="shared" si="77"/>
        <v>13.7</v>
      </c>
      <c r="AA82" s="71">
        <f t="shared" si="78"/>
        <v>12.519185277005848</v>
      </c>
      <c r="AB82" s="71">
        <v>0</v>
      </c>
      <c r="AC82" s="71">
        <f t="shared" si="56"/>
        <v>0.21628739999999996</v>
      </c>
      <c r="AD82" s="74">
        <f t="shared" si="67"/>
        <v>0.21628739999999996</v>
      </c>
      <c r="AE82" s="73">
        <f t="shared" si="76"/>
        <v>5</v>
      </c>
      <c r="AF82" s="71">
        <f t="shared" si="68"/>
        <v>7.9178279849968947</v>
      </c>
      <c r="AG82" s="71">
        <f t="shared" si="57"/>
        <v>0.55168959999999989</v>
      </c>
      <c r="AH82" s="71">
        <f t="shared" si="58"/>
        <v>4.6799516908212562</v>
      </c>
      <c r="AI82" s="74">
        <f t="shared" si="69"/>
        <v>5.2316412908212557</v>
      </c>
      <c r="AJ82" s="73">
        <f t="shared" si="70"/>
        <v>7.5</v>
      </c>
      <c r="AK82" s="71">
        <f t="shared" si="59"/>
        <v>9.6973192171857452</v>
      </c>
      <c r="AL82" s="71">
        <f t="shared" si="60"/>
        <v>0.82753439999999967</v>
      </c>
      <c r="AM82" s="71">
        <f t="shared" si="71"/>
        <v>1.3728000000000002</v>
      </c>
      <c r="AN82" s="188">
        <f t="shared" si="61"/>
        <v>0.43840000000000001</v>
      </c>
      <c r="AO82" s="74">
        <f t="shared" si="72"/>
        <v>2.6387344000000001</v>
      </c>
      <c r="AP82" s="73">
        <f t="shared" si="62"/>
        <v>0.235095</v>
      </c>
      <c r="AQ82" s="206">
        <f t="shared" si="63"/>
        <v>0.21628739999999996</v>
      </c>
      <c r="AR82" s="206">
        <f t="shared" si="64"/>
        <v>0.7544881202841347</v>
      </c>
      <c r="AS82" s="71">
        <f t="shared" si="65"/>
        <v>0.19999999999999998</v>
      </c>
      <c r="AT82" s="74">
        <f t="shared" si="66"/>
        <v>3.96E-5</v>
      </c>
      <c r="AU82" s="73">
        <f t="shared" si="73"/>
        <v>9.4925732111053911</v>
      </c>
      <c r="AV82" s="71">
        <f t="shared" si="74"/>
        <v>150</v>
      </c>
      <c r="AW82" s="74">
        <f t="shared" si="75"/>
        <v>94.048266311095901</v>
      </c>
    </row>
    <row r="83" spans="17:49" x14ac:dyDescent="0.25">
      <c r="Q83">
        <v>76</v>
      </c>
      <c r="R83" s="73">
        <f t="shared" si="49"/>
        <v>20</v>
      </c>
      <c r="S83" s="71">
        <f t="shared" si="50"/>
        <v>7.6000000000000005</v>
      </c>
      <c r="T83" s="71">
        <f t="shared" si="51"/>
        <v>12</v>
      </c>
      <c r="U83" s="74">
        <f t="shared" si="52"/>
        <v>12.666666666666666</v>
      </c>
      <c r="V83" s="73">
        <f>IF(Variable_Management!$B$20=3,2,IF((S83*R83/T83)&lt;((T83*(1-(T83/R83)))/(2*Lm*Fsw)),1,2))</f>
        <v>2</v>
      </c>
      <c r="W83" s="71">
        <f t="shared" si="53"/>
        <v>0.4</v>
      </c>
      <c r="X83" s="74">
        <f t="shared" si="54"/>
        <v>0.6</v>
      </c>
      <c r="Y83" s="73">
        <f t="shared" si="55"/>
        <v>2.4000000000000004</v>
      </c>
      <c r="Z83" s="71">
        <f t="shared" si="77"/>
        <v>13.866666666666667</v>
      </c>
      <c r="AA83" s="71">
        <f t="shared" si="78"/>
        <v>12.685599885084049</v>
      </c>
      <c r="AB83" s="71">
        <v>0</v>
      </c>
      <c r="AC83" s="71">
        <f t="shared" si="56"/>
        <v>0.22207573333333328</v>
      </c>
      <c r="AD83" s="74">
        <f t="shared" si="67"/>
        <v>0.22207573333333328</v>
      </c>
      <c r="AE83" s="73">
        <f t="shared" si="76"/>
        <v>5.0666666666666664</v>
      </c>
      <c r="AF83" s="71">
        <f t="shared" si="68"/>
        <v>8.0230778244871708</v>
      </c>
      <c r="AG83" s="71">
        <f t="shared" si="57"/>
        <v>0.56645404444444469</v>
      </c>
      <c r="AH83" s="71">
        <f t="shared" si="58"/>
        <v>4.7423510466988725</v>
      </c>
      <c r="AI83" s="74">
        <f t="shared" si="69"/>
        <v>5.3088050911433173</v>
      </c>
      <c r="AJ83" s="73">
        <f t="shared" si="70"/>
        <v>7.6</v>
      </c>
      <c r="AK83" s="71">
        <f t="shared" si="59"/>
        <v>9.826223418316248</v>
      </c>
      <c r="AL83" s="71">
        <f t="shared" si="60"/>
        <v>0.84968106666666654</v>
      </c>
      <c r="AM83" s="71">
        <f t="shared" si="71"/>
        <v>1.3728000000000002</v>
      </c>
      <c r="AN83" s="188">
        <f t="shared" si="61"/>
        <v>0.44373333333333337</v>
      </c>
      <c r="AO83" s="74">
        <f t="shared" si="72"/>
        <v>2.6662144000000003</v>
      </c>
      <c r="AP83" s="73">
        <f t="shared" si="62"/>
        <v>0.24138666666666664</v>
      </c>
      <c r="AQ83" s="206">
        <f t="shared" si="63"/>
        <v>0.22207573333333328</v>
      </c>
      <c r="AR83" s="206">
        <f t="shared" si="64"/>
        <v>0.7544881202841347</v>
      </c>
      <c r="AS83" s="71">
        <f t="shared" si="65"/>
        <v>0.19999999999999998</v>
      </c>
      <c r="AT83" s="74">
        <f t="shared" si="66"/>
        <v>3.96E-5</v>
      </c>
      <c r="AU83" s="73">
        <f t="shared" si="73"/>
        <v>9.6150853447607858</v>
      </c>
      <c r="AV83" s="71">
        <f t="shared" si="74"/>
        <v>152</v>
      </c>
      <c r="AW83" s="74">
        <f t="shared" si="75"/>
        <v>94.050626323495933</v>
      </c>
    </row>
    <row r="84" spans="17:49" x14ac:dyDescent="0.25">
      <c r="Q84">
        <v>77</v>
      </c>
      <c r="R84" s="73">
        <f t="shared" si="49"/>
        <v>20</v>
      </c>
      <c r="S84" s="71">
        <f t="shared" si="50"/>
        <v>7.7</v>
      </c>
      <c r="T84" s="71">
        <f t="shared" si="51"/>
        <v>12</v>
      </c>
      <c r="U84" s="74">
        <f t="shared" si="52"/>
        <v>12.833333333333334</v>
      </c>
      <c r="V84" s="73">
        <f>IF(Variable_Management!$B$20=3,2,IF((S84*R84/T84)&lt;((T84*(1-(T84/R84)))/(2*Lm*Fsw)),1,2))</f>
        <v>2</v>
      </c>
      <c r="W84" s="71">
        <f t="shared" si="53"/>
        <v>0.4</v>
      </c>
      <c r="X84" s="74">
        <f t="shared" si="54"/>
        <v>0.6</v>
      </c>
      <c r="Y84" s="73">
        <f t="shared" si="55"/>
        <v>2.4000000000000004</v>
      </c>
      <c r="Z84" s="71">
        <f t="shared" si="77"/>
        <v>14.033333333333335</v>
      </c>
      <c r="AA84" s="71">
        <f t="shared" si="78"/>
        <v>12.852021025677029</v>
      </c>
      <c r="AB84" s="71">
        <v>0</v>
      </c>
      <c r="AC84" s="71">
        <f t="shared" si="56"/>
        <v>0.22794073333333331</v>
      </c>
      <c r="AD84" s="74">
        <f t="shared" si="67"/>
        <v>0.22794073333333331</v>
      </c>
      <c r="AE84" s="73">
        <f t="shared" si="76"/>
        <v>5.1333333333333337</v>
      </c>
      <c r="AF84" s="71">
        <f t="shared" si="68"/>
        <v>8.1283317955025556</v>
      </c>
      <c r="AG84" s="71">
        <f t="shared" si="57"/>
        <v>0.58141404444444467</v>
      </c>
      <c r="AH84" s="71">
        <f t="shared" si="58"/>
        <v>4.8047504025764907</v>
      </c>
      <c r="AI84" s="74">
        <f t="shared" si="69"/>
        <v>5.3861644470209349</v>
      </c>
      <c r="AJ84" s="73">
        <f t="shared" si="70"/>
        <v>7.7</v>
      </c>
      <c r="AK84" s="71">
        <f t="shared" si="59"/>
        <v>9.9551326795109407</v>
      </c>
      <c r="AL84" s="71">
        <f t="shared" si="60"/>
        <v>0.87212106666666689</v>
      </c>
      <c r="AM84" s="71">
        <f t="shared" si="71"/>
        <v>1.3728000000000002</v>
      </c>
      <c r="AN84" s="188">
        <f t="shared" si="61"/>
        <v>0.44906666666666673</v>
      </c>
      <c r="AO84" s="74">
        <f t="shared" si="72"/>
        <v>2.6939877333333335</v>
      </c>
      <c r="AP84" s="73">
        <f t="shared" si="62"/>
        <v>0.24776166666666669</v>
      </c>
      <c r="AQ84" s="206">
        <f t="shared" si="63"/>
        <v>0.22794073333333331</v>
      </c>
      <c r="AR84" s="206">
        <f t="shared" si="64"/>
        <v>0.7544881202841347</v>
      </c>
      <c r="AS84" s="71">
        <f t="shared" si="65"/>
        <v>0.19999999999999998</v>
      </c>
      <c r="AT84" s="74">
        <f t="shared" si="66"/>
        <v>3.96E-5</v>
      </c>
      <c r="AU84" s="73">
        <f t="shared" si="73"/>
        <v>9.7383230339717368</v>
      </c>
      <c r="AV84" s="71">
        <f t="shared" si="74"/>
        <v>154</v>
      </c>
      <c r="AW84" s="74">
        <f t="shared" si="75"/>
        <v>94.052508384398635</v>
      </c>
    </row>
    <row r="85" spans="17:49" x14ac:dyDescent="0.25">
      <c r="Q85">
        <v>78</v>
      </c>
      <c r="R85" s="73">
        <f t="shared" si="49"/>
        <v>20</v>
      </c>
      <c r="S85" s="71">
        <f t="shared" si="50"/>
        <v>7.8000000000000007</v>
      </c>
      <c r="T85" s="71">
        <f t="shared" si="51"/>
        <v>12</v>
      </c>
      <c r="U85" s="74">
        <f t="shared" si="52"/>
        <v>13</v>
      </c>
      <c r="V85" s="73">
        <f>IF(Variable_Management!$B$20=3,2,IF((S85*R85/T85)&lt;((T85*(1-(T85/R85)))/(2*Lm*Fsw)),1,2))</f>
        <v>2</v>
      </c>
      <c r="W85" s="71">
        <f t="shared" si="53"/>
        <v>0.4</v>
      </c>
      <c r="X85" s="74">
        <f t="shared" si="54"/>
        <v>0.6</v>
      </c>
      <c r="Y85" s="73">
        <f t="shared" si="55"/>
        <v>2.4000000000000004</v>
      </c>
      <c r="Z85" s="71">
        <f t="shared" si="77"/>
        <v>14.2</v>
      </c>
      <c r="AA85" s="71">
        <f t="shared" si="78"/>
        <v>13.018448448259877</v>
      </c>
      <c r="AB85" s="71">
        <v>0</v>
      </c>
      <c r="AC85" s="71">
        <f t="shared" si="56"/>
        <v>0.23388239999999996</v>
      </c>
      <c r="AD85" s="74">
        <f t="shared" si="67"/>
        <v>0.23388239999999996</v>
      </c>
      <c r="AE85" s="73">
        <f t="shared" si="76"/>
        <v>5.2</v>
      </c>
      <c r="AF85" s="71">
        <f t="shared" si="68"/>
        <v>8.233589739597182</v>
      </c>
      <c r="AG85" s="71">
        <f t="shared" si="57"/>
        <v>0.59656959999999992</v>
      </c>
      <c r="AH85" s="71">
        <f t="shared" si="58"/>
        <v>4.867149758454107</v>
      </c>
      <c r="AI85" s="74">
        <f t="shared" si="69"/>
        <v>5.4637193584541066</v>
      </c>
      <c r="AJ85" s="73">
        <f t="shared" si="70"/>
        <v>7.8</v>
      </c>
      <c r="AK85" s="71">
        <f t="shared" si="59"/>
        <v>10.084046806714058</v>
      </c>
      <c r="AL85" s="71">
        <f t="shared" si="60"/>
        <v>0.89485439999999994</v>
      </c>
      <c r="AM85" s="71">
        <f t="shared" si="71"/>
        <v>1.3728000000000002</v>
      </c>
      <c r="AN85" s="188">
        <f t="shared" si="61"/>
        <v>0.45439999999999997</v>
      </c>
      <c r="AO85" s="74">
        <f t="shared" si="72"/>
        <v>2.7220544000000002</v>
      </c>
      <c r="AP85" s="73">
        <f t="shared" si="62"/>
        <v>0.25422</v>
      </c>
      <c r="AQ85" s="206">
        <f t="shared" si="63"/>
        <v>0.23388239999999996</v>
      </c>
      <c r="AR85" s="206">
        <f t="shared" si="64"/>
        <v>0.7544881202841347</v>
      </c>
      <c r="AS85" s="71">
        <f t="shared" si="65"/>
        <v>0.19999999999999998</v>
      </c>
      <c r="AT85" s="74">
        <f t="shared" si="66"/>
        <v>3.96E-5</v>
      </c>
      <c r="AU85" s="73">
        <f t="shared" si="73"/>
        <v>9.8622862787382424</v>
      </c>
      <c r="AV85" s="71">
        <f t="shared" si="74"/>
        <v>156</v>
      </c>
      <c r="AW85" s="74">
        <f t="shared" si="75"/>
        <v>94.053930824175254</v>
      </c>
    </row>
    <row r="86" spans="17:49" x14ac:dyDescent="0.25">
      <c r="Q86">
        <v>79</v>
      </c>
      <c r="R86" s="73">
        <f t="shared" si="49"/>
        <v>20</v>
      </c>
      <c r="S86" s="71">
        <f t="shared" si="50"/>
        <v>7.9</v>
      </c>
      <c r="T86" s="71">
        <f t="shared" si="51"/>
        <v>12</v>
      </c>
      <c r="U86" s="74">
        <f t="shared" si="52"/>
        <v>13.166666666666666</v>
      </c>
      <c r="V86" s="73">
        <f>IF(Variable_Management!$B$20=3,2,IF((S86*R86/T86)&lt;((T86*(1-(T86/R86)))/(2*Lm*Fsw)),1,2))</f>
        <v>2</v>
      </c>
      <c r="W86" s="71">
        <f t="shared" si="53"/>
        <v>0.4</v>
      </c>
      <c r="X86" s="74">
        <f t="shared" si="54"/>
        <v>0.6</v>
      </c>
      <c r="Y86" s="73">
        <f t="shared" si="55"/>
        <v>2.4000000000000004</v>
      </c>
      <c r="Z86" s="71">
        <f t="shared" si="77"/>
        <v>14.366666666666667</v>
      </c>
      <c r="AA86" s="71">
        <f t="shared" si="78"/>
        <v>13.184881914947553</v>
      </c>
      <c r="AB86" s="71">
        <v>0</v>
      </c>
      <c r="AC86" s="71">
        <f t="shared" si="56"/>
        <v>0.23990073333333323</v>
      </c>
      <c r="AD86" s="74">
        <f t="shared" si="67"/>
        <v>0.23990073333333323</v>
      </c>
      <c r="AE86" s="73">
        <f t="shared" si="76"/>
        <v>5.2666666666666666</v>
      </c>
      <c r="AF86" s="71">
        <f t="shared" si="68"/>
        <v>8.3388515063193474</v>
      </c>
      <c r="AG86" s="71">
        <f t="shared" si="57"/>
        <v>0.61192071111111113</v>
      </c>
      <c r="AH86" s="71">
        <f t="shared" si="58"/>
        <v>4.9295491143317234</v>
      </c>
      <c r="AI86" s="74">
        <f t="shared" si="69"/>
        <v>5.5414698254428343</v>
      </c>
      <c r="AJ86" s="73">
        <f t="shared" si="70"/>
        <v>7.8999999999999995</v>
      </c>
      <c r="AK86" s="71">
        <f t="shared" si="59"/>
        <v>10.212965615660647</v>
      </c>
      <c r="AL86" s="71">
        <f t="shared" si="60"/>
        <v>0.91788106666666658</v>
      </c>
      <c r="AM86" s="71">
        <f t="shared" si="71"/>
        <v>1.3728000000000002</v>
      </c>
      <c r="AN86" s="188">
        <f t="shared" si="61"/>
        <v>0.45973333333333338</v>
      </c>
      <c r="AO86" s="74">
        <f t="shared" si="72"/>
        <v>2.7504144000000004</v>
      </c>
      <c r="AP86" s="73">
        <f t="shared" si="62"/>
        <v>0.26076166666666656</v>
      </c>
      <c r="AQ86" s="206">
        <f t="shared" si="63"/>
        <v>0.23990073333333323</v>
      </c>
      <c r="AR86" s="206">
        <f t="shared" si="64"/>
        <v>0.7544881202841347</v>
      </c>
      <c r="AS86" s="71">
        <f t="shared" si="65"/>
        <v>0.19999999999999998</v>
      </c>
      <c r="AT86" s="74">
        <f t="shared" si="66"/>
        <v>3.96E-5</v>
      </c>
      <c r="AU86" s="73">
        <f t="shared" si="73"/>
        <v>9.9869750790603025</v>
      </c>
      <c r="AV86" s="71">
        <f t="shared" si="74"/>
        <v>158</v>
      </c>
      <c r="AW86" s="74">
        <f t="shared" si="75"/>
        <v>94.054911058217399</v>
      </c>
    </row>
    <row r="87" spans="17:49" x14ac:dyDescent="0.25">
      <c r="Q87">
        <v>80</v>
      </c>
      <c r="R87" s="73">
        <f t="shared" si="49"/>
        <v>20</v>
      </c>
      <c r="S87" s="71">
        <f t="shared" si="50"/>
        <v>8</v>
      </c>
      <c r="T87" s="71">
        <f t="shared" si="51"/>
        <v>12</v>
      </c>
      <c r="U87" s="74">
        <f t="shared" si="52"/>
        <v>13.333333333333334</v>
      </c>
      <c r="V87" s="73">
        <f>IF(Variable_Management!$B$20=3,2,IF((S87*R87/T87)&lt;((T87*(1-(T87/R87)))/(2*Lm*Fsw)),1,2))</f>
        <v>2</v>
      </c>
      <c r="W87" s="71">
        <f t="shared" si="53"/>
        <v>0.4</v>
      </c>
      <c r="X87" s="74">
        <f t="shared" si="54"/>
        <v>0.6</v>
      </c>
      <c r="Y87" s="73">
        <f t="shared" si="55"/>
        <v>2.4000000000000004</v>
      </c>
      <c r="Z87" s="71">
        <f t="shared" si="77"/>
        <v>14.533333333333335</v>
      </c>
      <c r="AA87" s="71">
        <f t="shared" si="78"/>
        <v>13.351321199708206</v>
      </c>
      <c r="AB87" s="71">
        <v>0</v>
      </c>
      <c r="AC87" s="71">
        <f t="shared" si="56"/>
        <v>0.2459957333333333</v>
      </c>
      <c r="AD87" s="74">
        <f t="shared" si="67"/>
        <v>0.2459957333333333</v>
      </c>
      <c r="AE87" s="73">
        <f t="shared" si="76"/>
        <v>5.3333333333333339</v>
      </c>
      <c r="AF87" s="71">
        <f t="shared" si="68"/>
        <v>8.4441169527139497</v>
      </c>
      <c r="AG87" s="71">
        <f t="shared" si="57"/>
        <v>0.62746737777777795</v>
      </c>
      <c r="AH87" s="71">
        <f t="shared" si="58"/>
        <v>4.9919484702093406</v>
      </c>
      <c r="AI87" s="74">
        <f t="shared" si="69"/>
        <v>5.6194158479871188</v>
      </c>
      <c r="AJ87" s="73">
        <f t="shared" si="70"/>
        <v>8</v>
      </c>
      <c r="AK87" s="71">
        <f t="shared" si="59"/>
        <v>10.341888931267183</v>
      </c>
      <c r="AL87" s="71">
        <f t="shared" si="60"/>
        <v>0.94120106666666681</v>
      </c>
      <c r="AM87" s="71">
        <f t="shared" si="71"/>
        <v>1.3728000000000002</v>
      </c>
      <c r="AN87" s="188">
        <f t="shared" si="61"/>
        <v>0.46506666666666674</v>
      </c>
      <c r="AO87" s="74">
        <f t="shared" si="72"/>
        <v>2.779067733333334</v>
      </c>
      <c r="AP87" s="73">
        <f t="shared" si="62"/>
        <v>0.26738666666666666</v>
      </c>
      <c r="AQ87" s="206">
        <f t="shared" si="63"/>
        <v>0.2459957333333333</v>
      </c>
      <c r="AR87" s="206">
        <f t="shared" si="64"/>
        <v>0.7544881202841347</v>
      </c>
      <c r="AS87" s="71">
        <f t="shared" si="65"/>
        <v>0.19999999999999998</v>
      </c>
      <c r="AT87" s="74">
        <f t="shared" si="66"/>
        <v>3.96E-5</v>
      </c>
      <c r="AU87" s="73">
        <f t="shared" si="73"/>
        <v>10.112389434937917</v>
      </c>
      <c r="AV87" s="71">
        <f t="shared" si="74"/>
        <v>160</v>
      </c>
      <c r="AW87" s="74">
        <f t="shared" si="75"/>
        <v>94.055465643314861</v>
      </c>
    </row>
    <row r="88" spans="17:49" x14ac:dyDescent="0.25">
      <c r="Q88">
        <v>81</v>
      </c>
      <c r="R88" s="73">
        <f t="shared" si="49"/>
        <v>20</v>
      </c>
      <c r="S88" s="71">
        <f t="shared" si="50"/>
        <v>8.1</v>
      </c>
      <c r="T88" s="71">
        <f t="shared" si="51"/>
        <v>12</v>
      </c>
      <c r="U88" s="74">
        <f t="shared" si="52"/>
        <v>13.5</v>
      </c>
      <c r="V88" s="73">
        <f>IF(Variable_Management!$B$20=3,2,IF((S88*R88/T88)&lt;((T88*(1-(T88/R88)))/(2*Lm*Fsw)),1,2))</f>
        <v>2</v>
      </c>
      <c r="W88" s="71">
        <f t="shared" si="53"/>
        <v>0.4</v>
      </c>
      <c r="X88" s="74">
        <f t="shared" si="54"/>
        <v>0.6</v>
      </c>
      <c r="Y88" s="73">
        <f t="shared" si="55"/>
        <v>2.4000000000000004</v>
      </c>
      <c r="Z88" s="71">
        <f t="shared" si="77"/>
        <v>14.7</v>
      </c>
      <c r="AA88" s="71">
        <f t="shared" si="78"/>
        <v>13.517766087634451</v>
      </c>
      <c r="AB88" s="71">
        <v>0</v>
      </c>
      <c r="AC88" s="71">
        <f t="shared" si="56"/>
        <v>0.25216739999999999</v>
      </c>
      <c r="AD88" s="74">
        <f t="shared" si="67"/>
        <v>0.25216739999999999</v>
      </c>
      <c r="AE88" s="73">
        <f t="shared" si="76"/>
        <v>5.4</v>
      </c>
      <c r="AF88" s="71">
        <f t="shared" si="68"/>
        <v>8.5493859428616261</v>
      </c>
      <c r="AG88" s="71">
        <f t="shared" si="57"/>
        <v>0.64320959999999983</v>
      </c>
      <c r="AH88" s="71">
        <f t="shared" si="58"/>
        <v>5.054347826086957</v>
      </c>
      <c r="AI88" s="74">
        <f t="shared" si="69"/>
        <v>5.6975574260869566</v>
      </c>
      <c r="AJ88" s="73">
        <f t="shared" si="70"/>
        <v>8.1</v>
      </c>
      <c r="AK88" s="71">
        <f t="shared" si="59"/>
        <v>10.470816587067123</v>
      </c>
      <c r="AL88" s="71">
        <f t="shared" si="60"/>
        <v>0.96481439999999996</v>
      </c>
      <c r="AM88" s="71">
        <f t="shared" si="71"/>
        <v>1.3728000000000002</v>
      </c>
      <c r="AN88" s="188">
        <f t="shared" si="61"/>
        <v>0.47039999999999998</v>
      </c>
      <c r="AO88" s="74">
        <f t="shared" si="72"/>
        <v>2.8080144000000002</v>
      </c>
      <c r="AP88" s="73">
        <f t="shared" si="62"/>
        <v>0.27409500000000003</v>
      </c>
      <c r="AQ88" s="206">
        <f t="shared" si="63"/>
        <v>0.25216739999999999</v>
      </c>
      <c r="AR88" s="206">
        <f t="shared" si="64"/>
        <v>0.7544881202841347</v>
      </c>
      <c r="AS88" s="71">
        <f t="shared" si="65"/>
        <v>0.19999999999999998</v>
      </c>
      <c r="AT88" s="74">
        <f t="shared" si="66"/>
        <v>3.96E-5</v>
      </c>
      <c r="AU88" s="73">
        <f t="shared" si="73"/>
        <v>10.238529346371088</v>
      </c>
      <c r="AV88" s="71">
        <f t="shared" si="74"/>
        <v>162</v>
      </c>
      <c r="AW88" s="74">
        <f t="shared" si="75"/>
        <v>94.055610329915538</v>
      </c>
    </row>
    <row r="89" spans="17:49" x14ac:dyDescent="0.25">
      <c r="Q89">
        <v>82</v>
      </c>
      <c r="R89" s="73">
        <f t="shared" si="49"/>
        <v>20</v>
      </c>
      <c r="S89" s="71">
        <f t="shared" si="50"/>
        <v>8.2000000000000011</v>
      </c>
      <c r="T89" s="71">
        <f t="shared" si="51"/>
        <v>12</v>
      </c>
      <c r="U89" s="74">
        <f t="shared" si="52"/>
        <v>13.66666666666667</v>
      </c>
      <c r="V89" s="73">
        <f>IF(Variable_Management!$B$20=3,2,IF((S89*R89/T89)&lt;((T89*(1-(T89/R89)))/(2*Lm*Fsw)),1,2))</f>
        <v>2</v>
      </c>
      <c r="W89" s="71">
        <f t="shared" si="53"/>
        <v>0.4</v>
      </c>
      <c r="X89" s="74">
        <f t="shared" si="54"/>
        <v>0.6</v>
      </c>
      <c r="Y89" s="73">
        <f t="shared" si="55"/>
        <v>2.4000000000000004</v>
      </c>
      <c r="Z89" s="71">
        <f t="shared" si="77"/>
        <v>14.866666666666671</v>
      </c>
      <c r="AA89" s="71">
        <f t="shared" si="78"/>
        <v>13.684216374267759</v>
      </c>
      <c r="AB89" s="71">
        <v>0</v>
      </c>
      <c r="AC89" s="71">
        <f t="shared" si="56"/>
        <v>0.2584157333333334</v>
      </c>
      <c r="AD89" s="74">
        <f t="shared" si="67"/>
        <v>0.2584157333333334</v>
      </c>
      <c r="AE89" s="73">
        <f t="shared" si="76"/>
        <v>5.4666666666666686</v>
      </c>
      <c r="AF89" s="71">
        <f t="shared" si="68"/>
        <v>8.6546583474514556</v>
      </c>
      <c r="AG89" s="71">
        <f t="shared" si="57"/>
        <v>0.65914737777777821</v>
      </c>
      <c r="AH89" s="71">
        <f t="shared" si="58"/>
        <v>5.1167471819645742</v>
      </c>
      <c r="AI89" s="74">
        <f t="shared" si="69"/>
        <v>5.7758945597423521</v>
      </c>
      <c r="AJ89" s="73">
        <f t="shared" si="70"/>
        <v>8.2000000000000011</v>
      </c>
      <c r="AK89" s="71">
        <f t="shared" si="59"/>
        <v>10.599748424687574</v>
      </c>
      <c r="AL89" s="71">
        <f t="shared" si="60"/>
        <v>0.98872106666666704</v>
      </c>
      <c r="AM89" s="71">
        <f t="shared" si="71"/>
        <v>1.3728000000000002</v>
      </c>
      <c r="AN89" s="188">
        <f t="shared" si="61"/>
        <v>0.47573333333333345</v>
      </c>
      <c r="AO89" s="74">
        <f t="shared" si="72"/>
        <v>2.8372544000000008</v>
      </c>
      <c r="AP89" s="73">
        <f t="shared" si="62"/>
        <v>0.28088666666666678</v>
      </c>
      <c r="AQ89" s="206">
        <f t="shared" si="63"/>
        <v>0.2584157333333334</v>
      </c>
      <c r="AR89" s="206">
        <f t="shared" si="64"/>
        <v>0.7544881202841347</v>
      </c>
      <c r="AS89" s="71">
        <f t="shared" si="65"/>
        <v>0.19999999999999998</v>
      </c>
      <c r="AT89" s="74">
        <f t="shared" si="66"/>
        <v>3.96E-5</v>
      </c>
      <c r="AU89" s="73">
        <f t="shared" si="73"/>
        <v>10.365394813359819</v>
      </c>
      <c r="AV89" s="71">
        <f t="shared" si="74"/>
        <v>164.00000000000003</v>
      </c>
      <c r="AW89" s="74">
        <f t="shared" si="75"/>
        <v>94.05536011061433</v>
      </c>
    </row>
    <row r="90" spans="17:49" x14ac:dyDescent="0.25">
      <c r="Q90">
        <v>83</v>
      </c>
      <c r="R90" s="73">
        <f t="shared" si="49"/>
        <v>20</v>
      </c>
      <c r="S90" s="71">
        <f t="shared" si="50"/>
        <v>8.3000000000000007</v>
      </c>
      <c r="T90" s="71">
        <f t="shared" si="51"/>
        <v>12</v>
      </c>
      <c r="U90" s="74">
        <f t="shared" si="52"/>
        <v>13.833333333333334</v>
      </c>
      <c r="V90" s="73">
        <f>IF(Variable_Management!$B$20=3,2,IF((S90*R90/T90)&lt;((T90*(1-(T90/R90)))/(2*Lm*Fsw)),1,2))</f>
        <v>2</v>
      </c>
      <c r="W90" s="71">
        <f t="shared" si="53"/>
        <v>0.4</v>
      </c>
      <c r="X90" s="74">
        <f t="shared" si="54"/>
        <v>0.6</v>
      </c>
      <c r="Y90" s="73">
        <f t="shared" si="55"/>
        <v>2.4000000000000004</v>
      </c>
      <c r="Z90" s="71">
        <f t="shared" si="77"/>
        <v>15.033333333333335</v>
      </c>
      <c r="AA90" s="71">
        <f t="shared" si="78"/>
        <v>13.850671864971428</v>
      </c>
      <c r="AB90" s="71">
        <v>0</v>
      </c>
      <c r="AC90" s="71">
        <f t="shared" si="56"/>
        <v>0.26474073333333331</v>
      </c>
      <c r="AD90" s="74">
        <f t="shared" si="67"/>
        <v>0.26474073333333331</v>
      </c>
      <c r="AE90" s="73">
        <f t="shared" si="76"/>
        <v>5.5333333333333341</v>
      </c>
      <c r="AF90" s="71">
        <f t="shared" si="68"/>
        <v>8.7599340433843711</v>
      </c>
      <c r="AG90" s="71">
        <f t="shared" si="57"/>
        <v>0.67528071111111132</v>
      </c>
      <c r="AH90" s="71">
        <f t="shared" si="58"/>
        <v>5.1791465378421906</v>
      </c>
      <c r="AI90" s="74">
        <f t="shared" si="69"/>
        <v>5.8544272489533018</v>
      </c>
      <c r="AJ90" s="73">
        <f t="shared" si="70"/>
        <v>8.3000000000000007</v>
      </c>
      <c r="AK90" s="71">
        <f t="shared" si="59"/>
        <v>10.728684293363594</v>
      </c>
      <c r="AL90" s="71">
        <f t="shared" si="60"/>
        <v>1.0129210666666668</v>
      </c>
      <c r="AM90" s="71">
        <f t="shared" si="71"/>
        <v>1.3728000000000002</v>
      </c>
      <c r="AN90" s="188">
        <f t="shared" si="61"/>
        <v>0.48106666666666675</v>
      </c>
      <c r="AO90" s="74">
        <f t="shared" si="72"/>
        <v>2.866787733333334</v>
      </c>
      <c r="AP90" s="73">
        <f t="shared" si="62"/>
        <v>0.28776166666666664</v>
      </c>
      <c r="AQ90" s="206">
        <f t="shared" si="63"/>
        <v>0.26474073333333331</v>
      </c>
      <c r="AR90" s="206">
        <f t="shared" si="64"/>
        <v>0.7544881202841347</v>
      </c>
      <c r="AS90" s="71">
        <f t="shared" si="65"/>
        <v>0.19999999999999998</v>
      </c>
      <c r="AT90" s="74">
        <f t="shared" si="66"/>
        <v>3.96E-5</v>
      </c>
      <c r="AU90" s="73">
        <f t="shared" si="73"/>
        <v>10.492985835904102</v>
      </c>
      <c r="AV90" s="71">
        <f t="shared" si="74"/>
        <v>166</v>
      </c>
      <c r="AW90" s="74">
        <f t="shared" si="75"/>
        <v>94.054729265184477</v>
      </c>
    </row>
    <row r="91" spans="17:49" x14ac:dyDescent="0.25">
      <c r="Q91">
        <v>84</v>
      </c>
      <c r="R91" s="73">
        <f t="shared" si="49"/>
        <v>20</v>
      </c>
      <c r="S91" s="71">
        <f t="shared" si="50"/>
        <v>8.4</v>
      </c>
      <c r="T91" s="71">
        <f t="shared" si="51"/>
        <v>12</v>
      </c>
      <c r="U91" s="74">
        <f t="shared" si="52"/>
        <v>14</v>
      </c>
      <c r="V91" s="73">
        <f>IF(Variable_Management!$B$20=3,2,IF((S91*R91/T91)&lt;((T91*(1-(T91/R91)))/(2*Lm*Fsw)),1,2))</f>
        <v>2</v>
      </c>
      <c r="W91" s="71">
        <f t="shared" si="53"/>
        <v>0.4</v>
      </c>
      <c r="X91" s="74">
        <f t="shared" si="54"/>
        <v>0.6</v>
      </c>
      <c r="Y91" s="73">
        <f t="shared" si="55"/>
        <v>2.4000000000000004</v>
      </c>
      <c r="Z91" s="71">
        <f t="shared" si="77"/>
        <v>15.2</v>
      </c>
      <c r="AA91" s="71">
        <f t="shared" si="78"/>
        <v>14.017132374348185</v>
      </c>
      <c r="AB91" s="71">
        <v>0</v>
      </c>
      <c r="AC91" s="71">
        <f t="shared" si="56"/>
        <v>0.27114239999999995</v>
      </c>
      <c r="AD91" s="74">
        <f t="shared" si="67"/>
        <v>0.27114239999999995</v>
      </c>
      <c r="AE91" s="73">
        <f t="shared" si="76"/>
        <v>5.6000000000000005</v>
      </c>
      <c r="AF91" s="71">
        <f t="shared" si="68"/>
        <v>8.865212913404843</v>
      </c>
      <c r="AG91" s="71">
        <f t="shared" si="57"/>
        <v>0.69160959999999994</v>
      </c>
      <c r="AH91" s="71">
        <f t="shared" si="58"/>
        <v>5.2415458937198069</v>
      </c>
      <c r="AI91" s="74">
        <f t="shared" si="69"/>
        <v>5.9331554937198066</v>
      </c>
      <c r="AJ91" s="73">
        <f t="shared" si="70"/>
        <v>8.4</v>
      </c>
      <c r="AK91" s="71">
        <f t="shared" si="59"/>
        <v>10.857624049487068</v>
      </c>
      <c r="AL91" s="71">
        <f t="shared" si="60"/>
        <v>1.0374143999999996</v>
      </c>
      <c r="AM91" s="71">
        <f t="shared" si="71"/>
        <v>1.3728000000000002</v>
      </c>
      <c r="AN91" s="188">
        <f t="shared" si="61"/>
        <v>0.4864</v>
      </c>
      <c r="AO91" s="74">
        <f t="shared" si="72"/>
        <v>2.8966144000000003</v>
      </c>
      <c r="AP91" s="73">
        <f t="shared" si="62"/>
        <v>0.29471999999999993</v>
      </c>
      <c r="AQ91" s="206">
        <f t="shared" si="63"/>
        <v>0.27114239999999995</v>
      </c>
      <c r="AR91" s="206">
        <f t="shared" si="64"/>
        <v>0.7544881202841347</v>
      </c>
      <c r="AS91" s="71">
        <f t="shared" si="65"/>
        <v>0.19999999999999998</v>
      </c>
      <c r="AT91" s="74">
        <f t="shared" si="66"/>
        <v>3.96E-5</v>
      </c>
      <c r="AU91" s="73">
        <f t="shared" si="73"/>
        <v>10.62130241400394</v>
      </c>
      <c r="AV91" s="71">
        <f t="shared" si="74"/>
        <v>168</v>
      </c>
      <c r="AW91" s="74">
        <f t="shared" si="75"/>
        <v>94.053731402435886</v>
      </c>
    </row>
    <row r="92" spans="17:49" x14ac:dyDescent="0.25">
      <c r="Q92">
        <v>85</v>
      </c>
      <c r="R92" s="73">
        <f t="shared" si="49"/>
        <v>20</v>
      </c>
      <c r="S92" s="71">
        <f t="shared" si="50"/>
        <v>8.5</v>
      </c>
      <c r="T92" s="71">
        <f t="shared" si="51"/>
        <v>12</v>
      </c>
      <c r="U92" s="74">
        <f t="shared" si="52"/>
        <v>14.166666666666666</v>
      </c>
      <c r="V92" s="73">
        <f>IF(Variable_Management!$B$20=3,2,IF((S92*R92/T92)&lt;((T92*(1-(T92/R92)))/(2*Lm*Fsw)),1,2))</f>
        <v>2</v>
      </c>
      <c r="W92" s="71">
        <f t="shared" si="53"/>
        <v>0.4</v>
      </c>
      <c r="X92" s="74">
        <f t="shared" si="54"/>
        <v>0.6</v>
      </c>
      <c r="Y92" s="73">
        <f t="shared" si="55"/>
        <v>2.4000000000000004</v>
      </c>
      <c r="Z92" s="71">
        <f t="shared" si="77"/>
        <v>15.366666666666667</v>
      </c>
      <c r="AA92" s="71">
        <f t="shared" si="78"/>
        <v>14.183597725698668</v>
      </c>
      <c r="AB92" s="71">
        <v>0</v>
      </c>
      <c r="AC92" s="71">
        <f t="shared" si="56"/>
        <v>0.27762073333333326</v>
      </c>
      <c r="AD92" s="74">
        <f t="shared" si="67"/>
        <v>0.27762073333333326</v>
      </c>
      <c r="AE92" s="73">
        <f t="shared" si="76"/>
        <v>5.666666666666667</v>
      </c>
      <c r="AF92" s="71">
        <f t="shared" si="68"/>
        <v>8.9704948457583864</v>
      </c>
      <c r="AG92" s="71">
        <f t="shared" si="57"/>
        <v>0.7081340444444445</v>
      </c>
      <c r="AH92" s="71">
        <f t="shared" si="58"/>
        <v>5.3039452495974233</v>
      </c>
      <c r="AI92" s="74">
        <f t="shared" si="69"/>
        <v>6.0120792940418681</v>
      </c>
      <c r="AJ92" s="73">
        <f t="shared" si="70"/>
        <v>8.5</v>
      </c>
      <c r="AK92" s="71">
        <f t="shared" si="59"/>
        <v>10.986567556187266</v>
      </c>
      <c r="AL92" s="71">
        <f t="shared" si="60"/>
        <v>1.0622010666666666</v>
      </c>
      <c r="AM92" s="71">
        <f t="shared" si="71"/>
        <v>1.3728000000000002</v>
      </c>
      <c r="AN92" s="188">
        <f t="shared" si="61"/>
        <v>0.49173333333333336</v>
      </c>
      <c r="AO92" s="74">
        <f t="shared" si="72"/>
        <v>2.9267344</v>
      </c>
      <c r="AP92" s="73">
        <f t="shared" si="62"/>
        <v>0.30176166666666665</v>
      </c>
      <c r="AQ92" s="206">
        <f t="shared" si="63"/>
        <v>0.27762073333333326</v>
      </c>
      <c r="AR92" s="206">
        <f t="shared" si="64"/>
        <v>0.7544881202841347</v>
      </c>
      <c r="AS92" s="71">
        <f t="shared" si="65"/>
        <v>0.19999999999999998</v>
      </c>
      <c r="AT92" s="74">
        <f t="shared" si="66"/>
        <v>3.96E-5</v>
      </c>
      <c r="AU92" s="73">
        <f t="shared" si="73"/>
        <v>10.750344547659333</v>
      </c>
      <c r="AV92" s="71">
        <f t="shared" si="74"/>
        <v>170</v>
      </c>
      <c r="AW92" s="74">
        <f t="shared" si="75"/>
        <v>94.052379499157894</v>
      </c>
    </row>
    <row r="93" spans="17:49" x14ac:dyDescent="0.25">
      <c r="Q93">
        <v>86</v>
      </c>
      <c r="R93" s="73">
        <f t="shared" si="49"/>
        <v>20</v>
      </c>
      <c r="S93" s="71">
        <f t="shared" si="50"/>
        <v>8.6</v>
      </c>
      <c r="T93" s="71">
        <f t="shared" si="51"/>
        <v>12</v>
      </c>
      <c r="U93" s="74">
        <f t="shared" si="52"/>
        <v>14.333333333333334</v>
      </c>
      <c r="V93" s="73">
        <f>IF(Variable_Management!$B$20=3,2,IF((S93*R93/T93)&lt;((T93*(1-(T93/R93)))/(2*Lm*Fsw)),1,2))</f>
        <v>2</v>
      </c>
      <c r="W93" s="71">
        <f t="shared" si="53"/>
        <v>0.4</v>
      </c>
      <c r="X93" s="74">
        <f t="shared" si="54"/>
        <v>0.6</v>
      </c>
      <c r="Y93" s="73">
        <f t="shared" si="55"/>
        <v>2.4000000000000004</v>
      </c>
      <c r="Z93" s="71">
        <f t="shared" si="77"/>
        <v>15.533333333333335</v>
      </c>
      <c r="AA93" s="71">
        <f t="shared" si="78"/>
        <v>14.350067750517573</v>
      </c>
      <c r="AB93" s="71">
        <v>0</v>
      </c>
      <c r="AC93" s="71">
        <f t="shared" si="56"/>
        <v>0.28417573333333335</v>
      </c>
      <c r="AD93" s="74">
        <f t="shared" si="67"/>
        <v>0.28417573333333335</v>
      </c>
      <c r="AE93" s="73">
        <f t="shared" si="76"/>
        <v>5.7333333333333343</v>
      </c>
      <c r="AF93" s="71">
        <f t="shared" si="68"/>
        <v>9.0757797338728867</v>
      </c>
      <c r="AG93" s="71">
        <f t="shared" si="57"/>
        <v>0.72485404444444479</v>
      </c>
      <c r="AH93" s="71">
        <f t="shared" si="58"/>
        <v>5.3663446054750414</v>
      </c>
      <c r="AI93" s="74">
        <f t="shared" si="69"/>
        <v>6.0911986499194866</v>
      </c>
      <c r="AJ93" s="73">
        <f t="shared" si="70"/>
        <v>8.6</v>
      </c>
      <c r="AK93" s="71">
        <f t="shared" si="59"/>
        <v>11.115514682940537</v>
      </c>
      <c r="AL93" s="71">
        <f t="shared" si="60"/>
        <v>1.0872810666666668</v>
      </c>
      <c r="AM93" s="71">
        <f t="shared" si="71"/>
        <v>1.3728000000000002</v>
      </c>
      <c r="AN93" s="188">
        <f t="shared" si="61"/>
        <v>0.49706666666666671</v>
      </c>
      <c r="AO93" s="74">
        <f t="shared" si="72"/>
        <v>2.9571477333333336</v>
      </c>
      <c r="AP93" s="73">
        <f t="shared" si="62"/>
        <v>0.3088866666666667</v>
      </c>
      <c r="AQ93" s="206">
        <f t="shared" si="63"/>
        <v>0.28417573333333335</v>
      </c>
      <c r="AR93" s="206">
        <f t="shared" si="64"/>
        <v>0.7544881202841347</v>
      </c>
      <c r="AS93" s="71">
        <f t="shared" si="65"/>
        <v>0.19999999999999998</v>
      </c>
      <c r="AT93" s="74">
        <f t="shared" si="66"/>
        <v>3.96E-5</v>
      </c>
      <c r="AU93" s="73">
        <f t="shared" si="73"/>
        <v>10.880112236870286</v>
      </c>
      <c r="AV93" s="71">
        <f t="shared" si="74"/>
        <v>172</v>
      </c>
      <c r="AW93" s="74">
        <f t="shared" si="75"/>
        <v>94.050685936381029</v>
      </c>
    </row>
    <row r="94" spans="17:49" x14ac:dyDescent="0.25">
      <c r="Q94">
        <v>87</v>
      </c>
      <c r="R94" s="73">
        <f t="shared" si="49"/>
        <v>20</v>
      </c>
      <c r="S94" s="71">
        <f t="shared" si="50"/>
        <v>8.7000000000000011</v>
      </c>
      <c r="T94" s="71">
        <f t="shared" si="51"/>
        <v>12</v>
      </c>
      <c r="U94" s="74">
        <f t="shared" si="52"/>
        <v>14.500000000000002</v>
      </c>
      <c r="V94" s="73">
        <f>IF(Variable_Management!$B$20=3,2,IF((S94*R94/T94)&lt;((T94*(1-(T94/R94)))/(2*Lm*Fsw)),1,2))</f>
        <v>2</v>
      </c>
      <c r="W94" s="71">
        <f t="shared" si="53"/>
        <v>0.4</v>
      </c>
      <c r="X94" s="74">
        <f t="shared" si="54"/>
        <v>0.6</v>
      </c>
      <c r="Y94" s="73">
        <f t="shared" si="55"/>
        <v>2.4000000000000004</v>
      </c>
      <c r="Z94" s="71">
        <f t="shared" si="77"/>
        <v>15.700000000000003</v>
      </c>
      <c r="AA94" s="71">
        <f t="shared" si="78"/>
        <v>14.516542288024379</v>
      </c>
      <c r="AB94" s="71">
        <v>0</v>
      </c>
      <c r="AC94" s="71">
        <f t="shared" si="56"/>
        <v>0.2908074000000001</v>
      </c>
      <c r="AD94" s="74">
        <f t="shared" si="67"/>
        <v>0.2908074000000001</v>
      </c>
      <c r="AE94" s="73">
        <f t="shared" si="76"/>
        <v>5.8000000000000007</v>
      </c>
      <c r="AF94" s="71">
        <f t="shared" si="68"/>
        <v>9.1810674760618127</v>
      </c>
      <c r="AG94" s="71">
        <f t="shared" si="57"/>
        <v>0.74176960000000036</v>
      </c>
      <c r="AH94" s="71">
        <f t="shared" si="58"/>
        <v>5.4287439613526587</v>
      </c>
      <c r="AI94" s="74">
        <f t="shared" si="69"/>
        <v>6.1705135613526592</v>
      </c>
      <c r="AJ94" s="73">
        <f t="shared" si="70"/>
        <v>8.7000000000000011</v>
      </c>
      <c r="AK94" s="71">
        <f t="shared" si="59"/>
        <v>11.244465305206827</v>
      </c>
      <c r="AL94" s="71">
        <f t="shared" si="60"/>
        <v>1.1126544000000005</v>
      </c>
      <c r="AM94" s="71">
        <f t="shared" si="71"/>
        <v>1.3728000000000002</v>
      </c>
      <c r="AN94" s="188">
        <f t="shared" si="61"/>
        <v>0.50240000000000007</v>
      </c>
      <c r="AO94" s="74">
        <f t="shared" si="72"/>
        <v>2.9878544000000011</v>
      </c>
      <c r="AP94" s="73">
        <f t="shared" si="62"/>
        <v>0.31609500000000013</v>
      </c>
      <c r="AQ94" s="206">
        <f t="shared" si="63"/>
        <v>0.2908074000000001</v>
      </c>
      <c r="AR94" s="206">
        <f t="shared" si="64"/>
        <v>0.7544881202841347</v>
      </c>
      <c r="AS94" s="71">
        <f t="shared" si="65"/>
        <v>0.19999999999999998</v>
      </c>
      <c r="AT94" s="74">
        <f t="shared" si="66"/>
        <v>3.96E-5</v>
      </c>
      <c r="AU94" s="73">
        <f t="shared" si="73"/>
        <v>11.010605481636794</v>
      </c>
      <c r="AV94" s="71">
        <f t="shared" si="74"/>
        <v>174.00000000000003</v>
      </c>
      <c r="AW94" s="74">
        <f t="shared" si="75"/>
        <v>94.048662533170486</v>
      </c>
    </row>
    <row r="95" spans="17:49" x14ac:dyDescent="0.25">
      <c r="Q95">
        <v>88</v>
      </c>
      <c r="R95" s="73">
        <f t="shared" si="49"/>
        <v>20</v>
      </c>
      <c r="S95" s="71">
        <f t="shared" si="50"/>
        <v>8.8000000000000007</v>
      </c>
      <c r="T95" s="71">
        <f t="shared" si="51"/>
        <v>12</v>
      </c>
      <c r="U95" s="74">
        <f t="shared" si="52"/>
        <v>14.666666666666666</v>
      </c>
      <c r="V95" s="73">
        <f>IF(Variable_Management!$B$20=3,2,IF((S95*R95/T95)&lt;((T95*(1-(T95/R95)))/(2*Lm*Fsw)),1,2))</f>
        <v>2</v>
      </c>
      <c r="W95" s="71">
        <f t="shared" si="53"/>
        <v>0.4</v>
      </c>
      <c r="X95" s="74">
        <f t="shared" si="54"/>
        <v>0.6</v>
      </c>
      <c r="Y95" s="73">
        <f t="shared" si="55"/>
        <v>2.4000000000000004</v>
      </c>
      <c r="Z95" s="71">
        <f t="shared" si="77"/>
        <v>15.866666666666667</v>
      </c>
      <c r="AA95" s="71">
        <f t="shared" si="78"/>
        <v>14.683021184725952</v>
      </c>
      <c r="AB95" s="71">
        <v>0</v>
      </c>
      <c r="AC95" s="71">
        <f t="shared" si="56"/>
        <v>0.29751573333333331</v>
      </c>
      <c r="AD95" s="74">
        <f t="shared" si="67"/>
        <v>0.29751573333333331</v>
      </c>
      <c r="AE95" s="73">
        <f t="shared" si="76"/>
        <v>5.8666666666666671</v>
      </c>
      <c r="AF95" s="71">
        <f t="shared" si="68"/>
        <v>9.2863579752475864</v>
      </c>
      <c r="AG95" s="71">
        <f t="shared" si="57"/>
        <v>0.75888071111111133</v>
      </c>
      <c r="AH95" s="71">
        <f t="shared" si="58"/>
        <v>5.4911433172302742</v>
      </c>
      <c r="AI95" s="74">
        <f t="shared" si="69"/>
        <v>6.2500240283413859</v>
      </c>
      <c r="AJ95" s="73">
        <f t="shared" si="70"/>
        <v>8.7999999999999989</v>
      </c>
      <c r="AK95" s="71">
        <f t="shared" si="59"/>
        <v>11.373419304090861</v>
      </c>
      <c r="AL95" s="71">
        <f t="shared" si="60"/>
        <v>1.1383210666666665</v>
      </c>
      <c r="AM95" s="71">
        <f t="shared" si="71"/>
        <v>1.3728000000000002</v>
      </c>
      <c r="AN95" s="188">
        <f t="shared" si="61"/>
        <v>0.50773333333333337</v>
      </c>
      <c r="AO95" s="74">
        <f t="shared" si="72"/>
        <v>3.0188544000000004</v>
      </c>
      <c r="AP95" s="73">
        <f t="shared" si="62"/>
        <v>0.32338666666666666</v>
      </c>
      <c r="AQ95" s="206">
        <f t="shared" si="63"/>
        <v>0.29751573333333331</v>
      </c>
      <c r="AR95" s="206">
        <f t="shared" si="64"/>
        <v>0.7544881202841347</v>
      </c>
      <c r="AS95" s="71">
        <f t="shared" si="65"/>
        <v>0.19999999999999998</v>
      </c>
      <c r="AT95" s="74">
        <f t="shared" si="66"/>
        <v>3.96E-5</v>
      </c>
      <c r="AU95" s="73">
        <f t="shared" si="73"/>
        <v>11.141824281958851</v>
      </c>
      <c r="AV95" s="71">
        <f t="shared" si="74"/>
        <v>176</v>
      </c>
      <c r="AW95" s="74">
        <f t="shared" si="75"/>
        <v>94.046320578145099</v>
      </c>
    </row>
    <row r="96" spans="17:49" x14ac:dyDescent="0.25">
      <c r="Q96">
        <v>89</v>
      </c>
      <c r="R96" s="73">
        <f t="shared" si="49"/>
        <v>20</v>
      </c>
      <c r="S96" s="71">
        <f t="shared" si="50"/>
        <v>8.9</v>
      </c>
      <c r="T96" s="71">
        <f t="shared" si="51"/>
        <v>12</v>
      </c>
      <c r="U96" s="74">
        <f t="shared" si="52"/>
        <v>14.833333333333334</v>
      </c>
      <c r="V96" s="73">
        <f>IF(Variable_Management!$B$20=3,2,IF((S96*R96/T96)&lt;((T96*(1-(T96/R96)))/(2*Lm*Fsw)),1,2))</f>
        <v>2</v>
      </c>
      <c r="W96" s="71">
        <f t="shared" si="53"/>
        <v>0.4</v>
      </c>
      <c r="X96" s="74">
        <f t="shared" si="54"/>
        <v>0.6</v>
      </c>
      <c r="Y96" s="73">
        <f t="shared" si="55"/>
        <v>2.4000000000000004</v>
      </c>
      <c r="Z96" s="71">
        <f t="shared" si="77"/>
        <v>16.033333333333335</v>
      </c>
      <c r="AA96" s="71">
        <f t="shared" si="78"/>
        <v>14.849504294008531</v>
      </c>
      <c r="AB96" s="71">
        <v>0</v>
      </c>
      <c r="AC96" s="71">
        <f t="shared" si="56"/>
        <v>0.30430073333333335</v>
      </c>
      <c r="AD96" s="74">
        <f t="shared" si="67"/>
        <v>0.30430073333333335</v>
      </c>
      <c r="AE96" s="73">
        <f t="shared" si="76"/>
        <v>5.9333333333333336</v>
      </c>
      <c r="AF96" s="71">
        <f t="shared" si="68"/>
        <v>9.3916511387035211</v>
      </c>
      <c r="AG96" s="71">
        <f t="shared" si="57"/>
        <v>0.77618737777777813</v>
      </c>
      <c r="AH96" s="71">
        <f t="shared" si="58"/>
        <v>5.5535426731078914</v>
      </c>
      <c r="AI96" s="74">
        <f t="shared" si="69"/>
        <v>6.3297300508856695</v>
      </c>
      <c r="AJ96" s="73">
        <f t="shared" si="70"/>
        <v>8.9</v>
      </c>
      <c r="AK96" s="71">
        <f t="shared" si="59"/>
        <v>11.502376566026113</v>
      </c>
      <c r="AL96" s="71">
        <f t="shared" si="60"/>
        <v>1.1642810666666668</v>
      </c>
      <c r="AM96" s="71">
        <f t="shared" si="71"/>
        <v>1.3728000000000002</v>
      </c>
      <c r="AN96" s="188">
        <f t="shared" si="61"/>
        <v>0.51306666666666678</v>
      </c>
      <c r="AO96" s="74">
        <f t="shared" si="72"/>
        <v>3.0501477333333336</v>
      </c>
      <c r="AP96" s="73">
        <f t="shared" si="62"/>
        <v>0.33076166666666668</v>
      </c>
      <c r="AQ96" s="206">
        <f t="shared" si="63"/>
        <v>0.30430073333333335</v>
      </c>
      <c r="AR96" s="206">
        <f t="shared" si="64"/>
        <v>0.7544881202841347</v>
      </c>
      <c r="AS96" s="71">
        <f t="shared" si="65"/>
        <v>0.19999999999999998</v>
      </c>
      <c r="AT96" s="74">
        <f t="shared" si="66"/>
        <v>3.96E-5</v>
      </c>
      <c r="AU96" s="73">
        <f t="shared" si="73"/>
        <v>11.273768637836469</v>
      </c>
      <c r="AV96" s="71">
        <f t="shared" si="74"/>
        <v>178</v>
      </c>
      <c r="AW96" s="74">
        <f t="shared" si="75"/>
        <v>94.043670858898508</v>
      </c>
    </row>
    <row r="97" spans="17:49" x14ac:dyDescent="0.25">
      <c r="Q97">
        <v>90</v>
      </c>
      <c r="R97" s="73">
        <f t="shared" si="49"/>
        <v>20</v>
      </c>
      <c r="S97" s="71">
        <f t="shared" si="50"/>
        <v>9</v>
      </c>
      <c r="T97" s="71">
        <f t="shared" si="51"/>
        <v>12</v>
      </c>
      <c r="U97" s="74">
        <f t="shared" si="52"/>
        <v>15</v>
      </c>
      <c r="V97" s="73">
        <f>IF(Variable_Management!$B$20=3,2,IF((S97*R97/T97)&lt;((T97*(1-(T97/R97)))/(2*Lm*Fsw)),1,2))</f>
        <v>2</v>
      </c>
      <c r="W97" s="71">
        <f t="shared" si="53"/>
        <v>0.4</v>
      </c>
      <c r="X97" s="74">
        <f t="shared" si="54"/>
        <v>0.6</v>
      </c>
      <c r="Y97" s="73">
        <f t="shared" si="55"/>
        <v>2.4000000000000004</v>
      </c>
      <c r="Z97" s="71">
        <f t="shared" si="77"/>
        <v>16.2</v>
      </c>
      <c r="AA97" s="71">
        <f t="shared" si="78"/>
        <v>15.015991475756771</v>
      </c>
      <c r="AB97" s="71">
        <v>0</v>
      </c>
      <c r="AC97" s="71">
        <f t="shared" si="56"/>
        <v>0.31116239999999995</v>
      </c>
      <c r="AD97" s="74">
        <f t="shared" si="67"/>
        <v>0.31116239999999995</v>
      </c>
      <c r="AE97" s="73">
        <f t="shared" si="76"/>
        <v>6</v>
      </c>
      <c r="AF97" s="71">
        <f t="shared" si="68"/>
        <v>9.4969468778128903</v>
      </c>
      <c r="AG97" s="71">
        <f t="shared" si="57"/>
        <v>0.79368960000000011</v>
      </c>
      <c r="AH97" s="71">
        <f t="shared" si="58"/>
        <v>5.6159420289855078</v>
      </c>
      <c r="AI97" s="74">
        <f t="shared" si="69"/>
        <v>6.4096316289855082</v>
      </c>
      <c r="AJ97" s="73">
        <f t="shared" si="70"/>
        <v>9</v>
      </c>
      <c r="AK97" s="71">
        <f t="shared" si="59"/>
        <v>11.631336982479702</v>
      </c>
      <c r="AL97" s="71">
        <f t="shared" si="60"/>
        <v>1.1905344000000002</v>
      </c>
      <c r="AM97" s="71">
        <f t="shared" si="71"/>
        <v>1.3728000000000002</v>
      </c>
      <c r="AN97" s="188">
        <f t="shared" si="61"/>
        <v>0.51839999999999997</v>
      </c>
      <c r="AO97" s="74">
        <f t="shared" si="72"/>
        <v>3.0817344000000002</v>
      </c>
      <c r="AP97" s="73">
        <f t="shared" si="62"/>
        <v>0.33821999999999997</v>
      </c>
      <c r="AQ97" s="206">
        <f t="shared" si="63"/>
        <v>0.31116239999999995</v>
      </c>
      <c r="AR97" s="206">
        <f t="shared" si="64"/>
        <v>0.7544881202841347</v>
      </c>
      <c r="AS97" s="71">
        <f t="shared" si="65"/>
        <v>0.19999999999999998</v>
      </c>
      <c r="AT97" s="74">
        <f t="shared" si="66"/>
        <v>3.96E-5</v>
      </c>
      <c r="AU97" s="73">
        <f t="shared" si="73"/>
        <v>11.406438549269643</v>
      </c>
      <c r="AV97" s="71">
        <f t="shared" si="74"/>
        <v>180</v>
      </c>
      <c r="AW97" s="74">
        <f t="shared" si="75"/>
        <v>94.040723689483656</v>
      </c>
    </row>
    <row r="98" spans="17:49" x14ac:dyDescent="0.25">
      <c r="Q98">
        <v>91</v>
      </c>
      <c r="R98" s="73">
        <f t="shared" si="49"/>
        <v>20</v>
      </c>
      <c r="S98" s="71">
        <f t="shared" si="50"/>
        <v>9.1</v>
      </c>
      <c r="T98" s="71">
        <f t="shared" si="51"/>
        <v>12</v>
      </c>
      <c r="U98" s="74">
        <f t="shared" si="52"/>
        <v>15.166666666666666</v>
      </c>
      <c r="V98" s="73">
        <f>IF(Variable_Management!$B$20=3,2,IF((S98*R98/T98)&lt;((T98*(1-(T98/R98)))/(2*Lm*Fsw)),1,2))</f>
        <v>2</v>
      </c>
      <c r="W98" s="71">
        <f t="shared" si="53"/>
        <v>0.4</v>
      </c>
      <c r="X98" s="74">
        <f t="shared" si="54"/>
        <v>0.6</v>
      </c>
      <c r="Y98" s="73">
        <f t="shared" si="55"/>
        <v>2.4000000000000004</v>
      </c>
      <c r="Z98" s="71">
        <f t="shared" si="77"/>
        <v>16.366666666666667</v>
      </c>
      <c r="AA98" s="71">
        <f t="shared" si="78"/>
        <v>15.182482595997854</v>
      </c>
      <c r="AB98" s="71">
        <v>0</v>
      </c>
      <c r="AC98" s="71">
        <f t="shared" si="56"/>
        <v>0.31810073333333327</v>
      </c>
      <c r="AD98" s="74">
        <f t="shared" si="67"/>
        <v>0.31810073333333327</v>
      </c>
      <c r="AE98" s="73">
        <f t="shared" si="76"/>
        <v>6.0666666666666664</v>
      </c>
      <c r="AF98" s="71">
        <f t="shared" si="68"/>
        <v>9.6022451078438493</v>
      </c>
      <c r="AG98" s="71">
        <f t="shared" si="57"/>
        <v>0.81138737777777814</v>
      </c>
      <c r="AH98" s="71">
        <f t="shared" si="58"/>
        <v>5.6783413848631241</v>
      </c>
      <c r="AI98" s="74">
        <f t="shared" si="69"/>
        <v>6.4897287626409019</v>
      </c>
      <c r="AJ98" s="73">
        <f t="shared" si="70"/>
        <v>9.1</v>
      </c>
      <c r="AK98" s="71">
        <f t="shared" si="59"/>
        <v>11.76030044967673</v>
      </c>
      <c r="AL98" s="71">
        <f t="shared" si="60"/>
        <v>1.2170810666666672</v>
      </c>
      <c r="AM98" s="71">
        <f t="shared" si="71"/>
        <v>1.3728000000000002</v>
      </c>
      <c r="AN98" s="188">
        <f t="shared" si="61"/>
        <v>0.52373333333333338</v>
      </c>
      <c r="AO98" s="74">
        <f t="shared" si="72"/>
        <v>3.1136144000000008</v>
      </c>
      <c r="AP98" s="73">
        <f t="shared" si="62"/>
        <v>0.34576166666666663</v>
      </c>
      <c r="AQ98" s="206">
        <f t="shared" si="63"/>
        <v>0.31810073333333327</v>
      </c>
      <c r="AR98" s="206">
        <f t="shared" si="64"/>
        <v>0.7544881202841347</v>
      </c>
      <c r="AS98" s="71">
        <f t="shared" si="65"/>
        <v>0.19999999999999998</v>
      </c>
      <c r="AT98" s="74">
        <f t="shared" si="66"/>
        <v>3.96E-5</v>
      </c>
      <c r="AU98" s="73">
        <f t="shared" si="73"/>
        <v>11.539834016258368</v>
      </c>
      <c r="AV98" s="71">
        <f t="shared" si="74"/>
        <v>182</v>
      </c>
      <c r="AW98" s="74">
        <f t="shared" si="75"/>
        <v>94.037488936107621</v>
      </c>
    </row>
    <row r="99" spans="17:49" x14ac:dyDescent="0.25">
      <c r="Q99">
        <v>92</v>
      </c>
      <c r="R99" s="73">
        <f t="shared" si="49"/>
        <v>20</v>
      </c>
      <c r="S99" s="71">
        <f t="shared" si="50"/>
        <v>9.2000000000000011</v>
      </c>
      <c r="T99" s="71">
        <f t="shared" si="51"/>
        <v>12</v>
      </c>
      <c r="U99" s="74">
        <f t="shared" si="52"/>
        <v>15.333333333333336</v>
      </c>
      <c r="V99" s="73">
        <f>IF(Variable_Management!$B$20=3,2,IF((S99*R99/T99)&lt;((T99*(1-(T99/R99)))/(2*Lm*Fsw)),1,2))</f>
        <v>2</v>
      </c>
      <c r="W99" s="71">
        <f t="shared" si="53"/>
        <v>0.4</v>
      </c>
      <c r="X99" s="74">
        <f t="shared" si="54"/>
        <v>0.6</v>
      </c>
      <c r="Y99" s="73">
        <f t="shared" si="55"/>
        <v>2.4000000000000004</v>
      </c>
      <c r="Z99" s="71">
        <f t="shared" si="77"/>
        <v>16.533333333333335</v>
      </c>
      <c r="AA99" s="71">
        <f t="shared" si="78"/>
        <v>15.348977526568705</v>
      </c>
      <c r="AB99" s="71">
        <v>0</v>
      </c>
      <c r="AC99" s="71">
        <f t="shared" si="56"/>
        <v>0.32511573333333338</v>
      </c>
      <c r="AD99" s="74">
        <f t="shared" si="67"/>
        <v>0.32511573333333338</v>
      </c>
      <c r="AE99" s="73">
        <f t="shared" si="76"/>
        <v>6.1333333333333346</v>
      </c>
      <c r="AF99" s="71">
        <f t="shared" si="68"/>
        <v>9.7075457477389442</v>
      </c>
      <c r="AG99" s="71">
        <f t="shared" si="57"/>
        <v>0.82928071111111124</v>
      </c>
      <c r="AH99" s="71">
        <f t="shared" si="58"/>
        <v>5.7407407407407423</v>
      </c>
      <c r="AI99" s="74">
        <f t="shared" si="69"/>
        <v>6.5700214518518534</v>
      </c>
      <c r="AJ99" s="73">
        <f t="shared" si="70"/>
        <v>9.2000000000000011</v>
      </c>
      <c r="AK99" s="71">
        <f t="shared" si="59"/>
        <v>11.889266868342501</v>
      </c>
      <c r="AL99" s="71">
        <f t="shared" si="60"/>
        <v>1.2439210666666671</v>
      </c>
      <c r="AM99" s="71">
        <f t="shared" si="71"/>
        <v>1.3728000000000002</v>
      </c>
      <c r="AN99" s="188">
        <f t="shared" si="61"/>
        <v>0.52906666666666669</v>
      </c>
      <c r="AO99" s="74">
        <f t="shared" si="72"/>
        <v>3.1457877333333339</v>
      </c>
      <c r="AP99" s="73">
        <f t="shared" si="62"/>
        <v>0.35338666666666674</v>
      </c>
      <c r="AQ99" s="206">
        <f t="shared" si="63"/>
        <v>0.32511573333333338</v>
      </c>
      <c r="AR99" s="206">
        <f t="shared" si="64"/>
        <v>0.7544881202841347</v>
      </c>
      <c r="AS99" s="71">
        <f t="shared" si="65"/>
        <v>0.19999999999999998</v>
      </c>
      <c r="AT99" s="74">
        <f t="shared" si="66"/>
        <v>3.96E-5</v>
      </c>
      <c r="AU99" s="73">
        <f t="shared" si="73"/>
        <v>11.673955038802655</v>
      </c>
      <c r="AV99" s="71">
        <f t="shared" si="74"/>
        <v>184.00000000000003</v>
      </c>
      <c r="AW99" s="74">
        <f t="shared" si="75"/>
        <v>94.033976041171314</v>
      </c>
    </row>
    <row r="100" spans="17:49" x14ac:dyDescent="0.25">
      <c r="Q100">
        <v>93</v>
      </c>
      <c r="R100" s="73">
        <f t="shared" si="49"/>
        <v>20</v>
      </c>
      <c r="S100" s="71">
        <f t="shared" si="50"/>
        <v>9.3000000000000007</v>
      </c>
      <c r="T100" s="71">
        <f t="shared" si="51"/>
        <v>12</v>
      </c>
      <c r="U100" s="74">
        <f t="shared" si="52"/>
        <v>15.5</v>
      </c>
      <c r="V100" s="73">
        <f>IF(Variable_Management!$B$20=3,2,IF((S100*R100/T100)&lt;((T100*(1-(T100/R100)))/(2*Lm*Fsw)),1,2))</f>
        <v>2</v>
      </c>
      <c r="W100" s="71">
        <f t="shared" si="53"/>
        <v>0.4</v>
      </c>
      <c r="X100" s="74">
        <f t="shared" si="54"/>
        <v>0.6</v>
      </c>
      <c r="Y100" s="73">
        <f t="shared" si="55"/>
        <v>2.4000000000000004</v>
      </c>
      <c r="Z100" s="71">
        <f t="shared" si="77"/>
        <v>16.7</v>
      </c>
      <c r="AA100" s="71">
        <f t="shared" si="78"/>
        <v>15.51547614480458</v>
      </c>
      <c r="AB100" s="71">
        <v>0</v>
      </c>
      <c r="AC100" s="71">
        <f t="shared" si="56"/>
        <v>0.33220739999999999</v>
      </c>
      <c r="AD100" s="74">
        <f t="shared" si="67"/>
        <v>0.33220739999999999</v>
      </c>
      <c r="AE100" s="73">
        <f t="shared" si="76"/>
        <v>6.2</v>
      </c>
      <c r="AF100" s="71">
        <f t="shared" si="68"/>
        <v>9.8128487199181862</v>
      </c>
      <c r="AG100" s="71">
        <f t="shared" si="57"/>
        <v>0.84736959999999995</v>
      </c>
      <c r="AH100" s="71">
        <f t="shared" si="58"/>
        <v>5.8031400966183577</v>
      </c>
      <c r="AI100" s="74">
        <f t="shared" si="69"/>
        <v>6.6505096966183572</v>
      </c>
      <c r="AJ100" s="73">
        <f t="shared" si="70"/>
        <v>9.2999999999999989</v>
      </c>
      <c r="AK100" s="71">
        <f t="shared" si="59"/>
        <v>12.018236143461319</v>
      </c>
      <c r="AL100" s="71">
        <f t="shared" si="60"/>
        <v>1.2710543999999999</v>
      </c>
      <c r="AM100" s="71">
        <f t="shared" si="71"/>
        <v>1.3728000000000002</v>
      </c>
      <c r="AN100" s="188">
        <f t="shared" si="61"/>
        <v>0.53439999999999999</v>
      </c>
      <c r="AO100" s="74">
        <f t="shared" si="72"/>
        <v>3.1782544000000001</v>
      </c>
      <c r="AP100" s="73">
        <f t="shared" si="62"/>
        <v>0.361095</v>
      </c>
      <c r="AQ100" s="206">
        <f t="shared" si="63"/>
        <v>0.33220739999999999</v>
      </c>
      <c r="AR100" s="206">
        <f t="shared" si="64"/>
        <v>0.7544881202841347</v>
      </c>
      <c r="AS100" s="71">
        <f t="shared" si="65"/>
        <v>0.19999999999999998</v>
      </c>
      <c r="AT100" s="74">
        <f t="shared" si="66"/>
        <v>3.96E-5</v>
      </c>
      <c r="AU100" s="73">
        <f t="shared" si="73"/>
        <v>11.808801616902491</v>
      </c>
      <c r="AV100" s="71">
        <f t="shared" si="74"/>
        <v>186</v>
      </c>
      <c r="AW100" s="74">
        <f t="shared" si="75"/>
        <v>94.030194045777264</v>
      </c>
    </row>
    <row r="101" spans="17:49" x14ac:dyDescent="0.25">
      <c r="Q101">
        <v>94</v>
      </c>
      <c r="R101" s="73">
        <f t="shared" si="49"/>
        <v>20</v>
      </c>
      <c r="S101" s="71">
        <f t="shared" si="50"/>
        <v>9.4</v>
      </c>
      <c r="T101" s="71">
        <f t="shared" si="51"/>
        <v>12</v>
      </c>
      <c r="U101" s="74">
        <f t="shared" si="52"/>
        <v>15.666666666666666</v>
      </c>
      <c r="V101" s="73">
        <f>IF(Variable_Management!$B$20=3,2,IF((S101*R101/T101)&lt;((T101*(1-(T101/R101)))/(2*Lm*Fsw)),1,2))</f>
        <v>2</v>
      </c>
      <c r="W101" s="71">
        <f t="shared" si="53"/>
        <v>0.4</v>
      </c>
      <c r="X101" s="74">
        <f t="shared" si="54"/>
        <v>0.6</v>
      </c>
      <c r="Y101" s="73">
        <f t="shared" si="55"/>
        <v>2.4000000000000004</v>
      </c>
      <c r="Z101" s="71">
        <f t="shared" si="77"/>
        <v>16.866666666666667</v>
      </c>
      <c r="AA101" s="71">
        <f t="shared" si="78"/>
        <v>15.681978333247512</v>
      </c>
      <c r="AB101" s="71">
        <v>0</v>
      </c>
      <c r="AC101" s="71">
        <f t="shared" si="56"/>
        <v>0.33937573333333326</v>
      </c>
      <c r="AD101" s="74">
        <f t="shared" si="67"/>
        <v>0.33937573333333326</v>
      </c>
      <c r="AE101" s="73">
        <f t="shared" si="76"/>
        <v>6.2666666666666666</v>
      </c>
      <c r="AF101" s="71">
        <f t="shared" si="68"/>
        <v>9.9181539500946343</v>
      </c>
      <c r="AG101" s="71">
        <f t="shared" si="57"/>
        <v>0.86565404444444471</v>
      </c>
      <c r="AH101" s="71">
        <f t="shared" si="58"/>
        <v>5.8655394524959741</v>
      </c>
      <c r="AI101" s="74">
        <f t="shared" si="69"/>
        <v>6.7311934969404188</v>
      </c>
      <c r="AJ101" s="73">
        <f t="shared" si="70"/>
        <v>9.3999999999999986</v>
      </c>
      <c r="AK101" s="71">
        <f t="shared" si="59"/>
        <v>12.147208184050633</v>
      </c>
      <c r="AL101" s="71">
        <f t="shared" si="60"/>
        <v>1.2984810666666668</v>
      </c>
      <c r="AM101" s="71">
        <f t="shared" si="71"/>
        <v>1.3728000000000002</v>
      </c>
      <c r="AN101" s="188">
        <f t="shared" si="61"/>
        <v>0.5397333333333334</v>
      </c>
      <c r="AO101" s="74">
        <f t="shared" si="72"/>
        <v>3.2110144000000007</v>
      </c>
      <c r="AP101" s="73">
        <f t="shared" si="62"/>
        <v>0.36888666666666664</v>
      </c>
      <c r="AQ101" s="206">
        <f t="shared" si="63"/>
        <v>0.33937573333333326</v>
      </c>
      <c r="AR101" s="206">
        <f t="shared" si="64"/>
        <v>0.7544881202841347</v>
      </c>
      <c r="AS101" s="71">
        <f t="shared" si="65"/>
        <v>0.19999999999999998</v>
      </c>
      <c r="AT101" s="74">
        <f t="shared" si="66"/>
        <v>3.96E-5</v>
      </c>
      <c r="AU101" s="73">
        <f t="shared" si="73"/>
        <v>11.944373750557887</v>
      </c>
      <c r="AV101" s="71">
        <f t="shared" si="74"/>
        <v>188</v>
      </c>
      <c r="AW101" s="74">
        <f t="shared" si="75"/>
        <v>94.026151610817934</v>
      </c>
    </row>
    <row r="102" spans="17:49" x14ac:dyDescent="0.25">
      <c r="Q102">
        <v>95</v>
      </c>
      <c r="R102" s="73">
        <f t="shared" si="49"/>
        <v>20</v>
      </c>
      <c r="S102" s="71">
        <f t="shared" si="50"/>
        <v>9.5</v>
      </c>
      <c r="T102" s="71">
        <f t="shared" si="51"/>
        <v>12</v>
      </c>
      <c r="U102" s="74">
        <f t="shared" si="52"/>
        <v>15.833333333333334</v>
      </c>
      <c r="V102" s="73">
        <f>IF(Variable_Management!$B$20=3,2,IF((S102*R102/T102)&lt;((T102*(1-(T102/R102)))/(2*Lm*Fsw)),1,2))</f>
        <v>2</v>
      </c>
      <c r="W102" s="71">
        <f t="shared" si="53"/>
        <v>0.4</v>
      </c>
      <c r="X102" s="74">
        <f t="shared" si="54"/>
        <v>0.6</v>
      </c>
      <c r="Y102" s="73">
        <f t="shared" si="55"/>
        <v>2.4000000000000004</v>
      </c>
      <c r="Z102" s="71">
        <f t="shared" si="77"/>
        <v>17.033333333333335</v>
      </c>
      <c r="AA102" s="71">
        <f t="shared" si="78"/>
        <v>15.848483979373057</v>
      </c>
      <c r="AB102" s="71">
        <v>0</v>
      </c>
      <c r="AC102" s="71">
        <f t="shared" si="56"/>
        <v>0.34662073333333332</v>
      </c>
      <c r="AD102" s="74">
        <f t="shared" si="67"/>
        <v>0.34662073333333332</v>
      </c>
      <c r="AE102" s="73">
        <f t="shared" si="76"/>
        <v>6.3333333333333339</v>
      </c>
      <c r="AF102" s="71">
        <f t="shared" si="68"/>
        <v>10.023461367101577</v>
      </c>
      <c r="AG102" s="71">
        <f t="shared" si="57"/>
        <v>0.88413404444444477</v>
      </c>
      <c r="AH102" s="71">
        <f t="shared" si="58"/>
        <v>5.9279388083735922</v>
      </c>
      <c r="AI102" s="74">
        <f t="shared" si="69"/>
        <v>6.8120728528180372</v>
      </c>
      <c r="AJ102" s="73">
        <f t="shared" si="70"/>
        <v>9.5</v>
      </c>
      <c r="AK102" s="71">
        <f t="shared" si="59"/>
        <v>12.276182902949383</v>
      </c>
      <c r="AL102" s="71">
        <f t="shared" si="60"/>
        <v>1.3262010666666675</v>
      </c>
      <c r="AM102" s="71">
        <f t="shared" si="71"/>
        <v>1.3728000000000002</v>
      </c>
      <c r="AN102" s="188">
        <f t="shared" si="61"/>
        <v>0.5450666666666667</v>
      </c>
      <c r="AO102" s="74">
        <f t="shared" si="72"/>
        <v>3.2440677333333343</v>
      </c>
      <c r="AP102" s="73">
        <f t="shared" si="62"/>
        <v>0.37676166666666666</v>
      </c>
      <c r="AQ102" s="206">
        <f t="shared" si="63"/>
        <v>0.34662073333333332</v>
      </c>
      <c r="AR102" s="206">
        <f t="shared" si="64"/>
        <v>0.7544881202841347</v>
      </c>
      <c r="AS102" s="71">
        <f t="shared" si="65"/>
        <v>0.19999999999999998</v>
      </c>
      <c r="AT102" s="74">
        <f t="shared" si="66"/>
        <v>3.96E-5</v>
      </c>
      <c r="AU102" s="73">
        <f t="shared" si="73"/>
        <v>12.080671439768839</v>
      </c>
      <c r="AV102" s="71">
        <f t="shared" si="74"/>
        <v>190</v>
      </c>
      <c r="AW102" s="74">
        <f t="shared" si="75"/>
        <v>94.021857036748045</v>
      </c>
    </row>
    <row r="103" spans="17:49" x14ac:dyDescent="0.25">
      <c r="Q103">
        <v>96</v>
      </c>
      <c r="R103" s="73">
        <f t="shared" si="49"/>
        <v>20</v>
      </c>
      <c r="S103" s="71">
        <f t="shared" ref="S103:S134" si="79">Q103*$O$12</f>
        <v>9.6000000000000014</v>
      </c>
      <c r="T103" s="71">
        <f t="shared" si="51"/>
        <v>12</v>
      </c>
      <c r="U103" s="74">
        <f t="shared" ref="U103:U134" si="80">(R103*S103)/(T103*EFF_est)</f>
        <v>16.000000000000004</v>
      </c>
      <c r="V103" s="73">
        <f>IF(Variable_Management!$B$20=3,2,IF((S103*R103/T103)&lt;((T103*(1-(T103/R103)))/(2*Lm*Fsw)),1,2))</f>
        <v>2</v>
      </c>
      <c r="W103" s="71">
        <f t="shared" ref="W103:W134" si="81">CHOOSE(V103,SQRT((2*S103*Lm*Fsw*(R103-T103))/((T103)^2)),1-(T103/R103))</f>
        <v>0.4</v>
      </c>
      <c r="X103" s="74">
        <f t="shared" ref="X103:X134" si="82">CHOOSE(V103,(Lm*Z103*Fsw)/(R103-T103),1-W103)</f>
        <v>0.6</v>
      </c>
      <c r="Y103" s="73">
        <f t="shared" ref="Y103:Y134" si="83">(T103*W103)/(Lm*Fsw)</f>
        <v>2.4000000000000004</v>
      </c>
      <c r="Z103" s="71">
        <f t="shared" si="77"/>
        <v>17.200000000000003</v>
      </c>
      <c r="AA103" s="71">
        <f t="shared" si="78"/>
        <v>16.014992975334085</v>
      </c>
      <c r="AB103" s="71">
        <v>0</v>
      </c>
      <c r="AC103" s="71">
        <f t="shared" ref="AC103:AC134" si="84">(AA103^2)*Rdcr</f>
        <v>0.3539424000000001</v>
      </c>
      <c r="AD103" s="74">
        <f t="shared" si="67"/>
        <v>0.3539424000000001</v>
      </c>
      <c r="AE103" s="73">
        <f t="shared" si="76"/>
        <v>6.4000000000000021</v>
      </c>
      <c r="AF103" s="71">
        <f t="shared" si="68"/>
        <v>10.128770902730501</v>
      </c>
      <c r="AG103" s="71">
        <f t="shared" ref="AG103:AG134" si="85">(AF103^2)*RDS_on</f>
        <v>0.90280960000000054</v>
      </c>
      <c r="AH103" s="71">
        <f t="shared" ref="AH103:AH134" si="86">((R103*U103)/2)*Fsw*(tr_sw+tf_sw)</f>
        <v>5.9903381642512095</v>
      </c>
      <c r="AI103" s="74">
        <f t="shared" si="69"/>
        <v>6.8931477642512098</v>
      </c>
      <c r="AJ103" s="73">
        <f t="shared" si="70"/>
        <v>9.6000000000000014</v>
      </c>
      <c r="AK103" s="71">
        <f t="shared" ref="AK103:AK134" si="87">CHOOSE(V103,Z103*SQRT(X103/3),SQRT(X103*((Z103^2)+((Y103^2)/3)-(Y103*Z103))))</f>
        <v>12.405160216619535</v>
      </c>
      <c r="AL103" s="71">
        <f t="shared" ref="AL103:AL134" si="88">(AK103^2)*RDS_on_HS</f>
        <v>1.3542144000000005</v>
      </c>
      <c r="AM103" s="71">
        <f t="shared" si="71"/>
        <v>1.3728000000000002</v>
      </c>
      <c r="AN103" s="188">
        <f t="shared" ref="AN103:AN134" si="89">Vd_rect*t_dead*Fsw*Z103</f>
        <v>0.55040000000000011</v>
      </c>
      <c r="AO103" s="74">
        <f t="shared" si="72"/>
        <v>3.2774144000000009</v>
      </c>
      <c r="AP103" s="73">
        <f t="shared" ref="AP103:AP134" si="90">(AA103^2)*R_cs</f>
        <v>0.38472000000000012</v>
      </c>
      <c r="AQ103" s="206">
        <f t="shared" ref="AQ103:AQ134" si="91">Rdcr*AA103^2</f>
        <v>0.3539424000000001</v>
      </c>
      <c r="AR103" s="206">
        <f t="shared" ref="AR103:AR134" si="92">ABS(7.759*10^-3*Fsw^0.9458*(0.00787*Y103)^2.304)</f>
        <v>0.7544881202841347</v>
      </c>
      <c r="AS103" s="71">
        <f t="shared" ref="AS103:AS134" si="93">(Qg_tot+Qg_tot_HS)*Vcc*Fsw</f>
        <v>0.19999999999999998</v>
      </c>
      <c r="AT103" s="74">
        <f t="shared" ref="AT103:AT134" si="94">IQ*T103</f>
        <v>3.96E-5</v>
      </c>
      <c r="AU103" s="73">
        <f t="shared" si="73"/>
        <v>12.217694684535342</v>
      </c>
      <c r="AV103" s="71">
        <f t="shared" si="74"/>
        <v>192.00000000000003</v>
      </c>
      <c r="AW103" s="74">
        <f t="shared" si="75"/>
        <v>94.017318282135847</v>
      </c>
    </row>
    <row r="104" spans="17:49" x14ac:dyDescent="0.25">
      <c r="Q104">
        <v>97</v>
      </c>
      <c r="R104" s="73">
        <f t="shared" si="49"/>
        <v>20</v>
      </c>
      <c r="S104" s="71">
        <f t="shared" si="79"/>
        <v>9.7000000000000011</v>
      </c>
      <c r="T104" s="71">
        <f t="shared" si="51"/>
        <v>12</v>
      </c>
      <c r="U104" s="74">
        <f t="shared" si="80"/>
        <v>16.166666666666668</v>
      </c>
      <c r="V104" s="73">
        <f>IF(Variable_Management!$B$20=3,2,IF((S104*R104/T104)&lt;((T104*(1-(T104/R104)))/(2*Lm*Fsw)),1,2))</f>
        <v>2</v>
      </c>
      <c r="W104" s="71">
        <f t="shared" si="81"/>
        <v>0.4</v>
      </c>
      <c r="X104" s="74">
        <f t="shared" si="82"/>
        <v>0.6</v>
      </c>
      <c r="Y104" s="73">
        <f t="shared" si="83"/>
        <v>2.4000000000000004</v>
      </c>
      <c r="Z104" s="71">
        <f t="shared" si="77"/>
        <v>17.366666666666667</v>
      </c>
      <c r="AA104" s="71">
        <f t="shared" si="78"/>
        <v>16.181505217720357</v>
      </c>
      <c r="AB104" s="71">
        <v>0</v>
      </c>
      <c r="AC104" s="71">
        <f t="shared" si="84"/>
        <v>0.36134073333333339</v>
      </c>
      <c r="AD104" s="74">
        <f t="shared" si="67"/>
        <v>0.36134073333333339</v>
      </c>
      <c r="AE104" s="73">
        <f t="shared" si="76"/>
        <v>6.4666666666666677</v>
      </c>
      <c r="AF104" s="71">
        <f t="shared" si="68"/>
        <v>10.234082491579031</v>
      </c>
      <c r="AG104" s="71">
        <f t="shared" si="85"/>
        <v>0.92168071111111127</v>
      </c>
      <c r="AH104" s="71">
        <f t="shared" si="86"/>
        <v>6.0527375201288258</v>
      </c>
      <c r="AI104" s="74">
        <f t="shared" si="69"/>
        <v>6.9744182312399374</v>
      </c>
      <c r="AJ104" s="73">
        <f t="shared" si="70"/>
        <v>9.7000000000000011</v>
      </c>
      <c r="AK104" s="71">
        <f t="shared" si="87"/>
        <v>12.534140044959873</v>
      </c>
      <c r="AL104" s="71">
        <f t="shared" si="88"/>
        <v>1.3825210666666667</v>
      </c>
      <c r="AM104" s="71">
        <f t="shared" ref="AM104:AM135" si="95">CHOOSE(V104,(R104+Vd_rect)*Qrr*Fsw,(R104+Vd_rect)*Qrr*Fsw)</f>
        <v>1.3728000000000002</v>
      </c>
      <c r="AN104" s="188">
        <f t="shared" si="89"/>
        <v>0.55573333333333341</v>
      </c>
      <c r="AO104" s="74">
        <f t="shared" si="72"/>
        <v>3.3110544000000006</v>
      </c>
      <c r="AP104" s="73">
        <f t="shared" si="90"/>
        <v>0.39276166666666673</v>
      </c>
      <c r="AQ104" s="206">
        <f t="shared" si="91"/>
        <v>0.36134073333333339</v>
      </c>
      <c r="AR104" s="206">
        <f t="shared" si="92"/>
        <v>0.7544881202841347</v>
      </c>
      <c r="AS104" s="71">
        <f t="shared" si="93"/>
        <v>0.19999999999999998</v>
      </c>
      <c r="AT104" s="74">
        <f t="shared" si="94"/>
        <v>3.96E-5</v>
      </c>
      <c r="AU104" s="73">
        <f t="shared" si="73"/>
        <v>12.355443484857407</v>
      </c>
      <c r="AV104" s="71">
        <f t="shared" si="74"/>
        <v>194.00000000000003</v>
      </c>
      <c r="AW104" s="74">
        <f t="shared" si="75"/>
        <v>94.012542981080088</v>
      </c>
    </row>
    <row r="105" spans="17:49" x14ac:dyDescent="0.25">
      <c r="Q105">
        <v>98</v>
      </c>
      <c r="R105" s="73">
        <f t="shared" si="49"/>
        <v>20</v>
      </c>
      <c r="S105" s="71">
        <f t="shared" si="79"/>
        <v>9.8000000000000007</v>
      </c>
      <c r="T105" s="71">
        <f t="shared" si="51"/>
        <v>12</v>
      </c>
      <c r="U105" s="74">
        <f t="shared" si="80"/>
        <v>16.333333333333332</v>
      </c>
      <c r="V105" s="73">
        <f>IF(Variable_Management!$B$20=3,2,IF((S105*R105/T105)&lt;((T105*(1-(T105/R105)))/(2*Lm*Fsw)),1,2))</f>
        <v>2</v>
      </c>
      <c r="W105" s="71">
        <f t="shared" si="81"/>
        <v>0.4</v>
      </c>
      <c r="X105" s="74">
        <f t="shared" si="82"/>
        <v>0.6</v>
      </c>
      <c r="Y105" s="73">
        <f t="shared" si="83"/>
        <v>2.4000000000000004</v>
      </c>
      <c r="Z105" s="71">
        <f t="shared" si="77"/>
        <v>17.533333333333331</v>
      </c>
      <c r="AA105" s="71">
        <f t="shared" si="78"/>
        <v>16.348020607332796</v>
      </c>
      <c r="AB105" s="71">
        <v>0</v>
      </c>
      <c r="AC105" s="71">
        <f t="shared" si="84"/>
        <v>0.36881573333333323</v>
      </c>
      <c r="AD105" s="74">
        <f t="shared" si="67"/>
        <v>0.36881573333333323</v>
      </c>
      <c r="AE105" s="73">
        <f t="shared" si="76"/>
        <v>6.5333333333333332</v>
      </c>
      <c r="AF105" s="71">
        <f t="shared" si="68"/>
        <v>10.33939607090816</v>
      </c>
      <c r="AG105" s="71">
        <f t="shared" si="85"/>
        <v>0.94074737777777773</v>
      </c>
      <c r="AH105" s="71">
        <f t="shared" si="86"/>
        <v>6.1151368760064413</v>
      </c>
      <c r="AI105" s="74">
        <f t="shared" si="69"/>
        <v>7.0558842537842192</v>
      </c>
      <c r="AJ105" s="73">
        <f t="shared" si="70"/>
        <v>9.7999999999999989</v>
      </c>
      <c r="AK105" s="71">
        <f t="shared" si="87"/>
        <v>12.663122311131115</v>
      </c>
      <c r="AL105" s="71">
        <f t="shared" si="88"/>
        <v>1.4111210666666665</v>
      </c>
      <c r="AM105" s="71">
        <f t="shared" si="95"/>
        <v>1.3728000000000002</v>
      </c>
      <c r="AN105" s="188">
        <f t="shared" si="89"/>
        <v>0.5610666666666666</v>
      </c>
      <c r="AO105" s="74">
        <f t="shared" si="72"/>
        <v>3.3449877333333333</v>
      </c>
      <c r="AP105" s="73">
        <f t="shared" si="90"/>
        <v>0.40088666666666661</v>
      </c>
      <c r="AQ105" s="206">
        <f t="shared" si="91"/>
        <v>0.36881573333333323</v>
      </c>
      <c r="AR105" s="206">
        <f t="shared" si="92"/>
        <v>0.7544881202841347</v>
      </c>
      <c r="AS105" s="71">
        <f t="shared" si="93"/>
        <v>0.19999999999999998</v>
      </c>
      <c r="AT105" s="74">
        <f t="shared" si="94"/>
        <v>3.96E-5</v>
      </c>
      <c r="AU105" s="73">
        <f t="shared" si="73"/>
        <v>12.493917840735019</v>
      </c>
      <c r="AV105" s="71">
        <f t="shared" si="74"/>
        <v>196</v>
      </c>
      <c r="AW105" s="74">
        <f t="shared" si="75"/>
        <v>94.00753845957324</v>
      </c>
    </row>
    <row r="106" spans="17:49" x14ac:dyDescent="0.25">
      <c r="Q106">
        <v>99</v>
      </c>
      <c r="R106" s="73">
        <f t="shared" si="49"/>
        <v>20</v>
      </c>
      <c r="S106" s="71">
        <f t="shared" si="79"/>
        <v>9.9</v>
      </c>
      <c r="T106" s="71">
        <f t="shared" si="51"/>
        <v>12</v>
      </c>
      <c r="U106" s="74">
        <f t="shared" si="80"/>
        <v>16.5</v>
      </c>
      <c r="V106" s="73">
        <f>IF(Variable_Management!$B$20=3,2,IF((S106*R106/T106)&lt;((T106*(1-(T106/R106)))/(2*Lm*Fsw)),1,2))</f>
        <v>2</v>
      </c>
      <c r="W106" s="71">
        <f t="shared" si="81"/>
        <v>0.4</v>
      </c>
      <c r="X106" s="74">
        <f t="shared" si="82"/>
        <v>0.6</v>
      </c>
      <c r="Y106" s="73">
        <f t="shared" si="83"/>
        <v>2.4000000000000004</v>
      </c>
      <c r="Z106" s="71">
        <f t="shared" si="77"/>
        <v>17.7</v>
      </c>
      <c r="AA106" s="71">
        <f t="shared" si="78"/>
        <v>16.514539048971365</v>
      </c>
      <c r="AB106" s="71">
        <v>0</v>
      </c>
      <c r="AC106" s="71">
        <f t="shared" si="84"/>
        <v>0.37636740000000002</v>
      </c>
      <c r="AD106" s="74">
        <f t="shared" si="67"/>
        <v>0.37636740000000002</v>
      </c>
      <c r="AE106" s="73">
        <f t="shared" si="76"/>
        <v>6.6000000000000005</v>
      </c>
      <c r="AF106" s="71">
        <f t="shared" si="68"/>
        <v>10.444711580508098</v>
      </c>
      <c r="AG106" s="71">
        <f t="shared" si="85"/>
        <v>0.96000959999999991</v>
      </c>
      <c r="AH106" s="71">
        <f t="shared" si="86"/>
        <v>6.1775362318840585</v>
      </c>
      <c r="AI106" s="74">
        <f t="shared" si="69"/>
        <v>7.1375458318840588</v>
      </c>
      <c r="AJ106" s="73">
        <f t="shared" si="70"/>
        <v>9.9</v>
      </c>
      <c r="AK106" s="71">
        <f t="shared" si="87"/>
        <v>12.792106941391632</v>
      </c>
      <c r="AL106" s="71">
        <f t="shared" si="88"/>
        <v>1.4400143999999999</v>
      </c>
      <c r="AM106" s="71">
        <f t="shared" si="95"/>
        <v>1.3728000000000002</v>
      </c>
      <c r="AN106" s="188">
        <f t="shared" si="89"/>
        <v>0.56640000000000001</v>
      </c>
      <c r="AO106" s="74">
        <f t="shared" si="72"/>
        <v>3.3792144000000004</v>
      </c>
      <c r="AP106" s="73">
        <f t="shared" si="90"/>
        <v>0.40909500000000004</v>
      </c>
      <c r="AQ106" s="206">
        <f t="shared" si="91"/>
        <v>0.37636740000000002</v>
      </c>
      <c r="AR106" s="206">
        <f t="shared" si="92"/>
        <v>0.7544881202841347</v>
      </c>
      <c r="AS106" s="71">
        <f t="shared" si="93"/>
        <v>0.19999999999999998</v>
      </c>
      <c r="AT106" s="74">
        <f t="shared" si="94"/>
        <v>3.96E-5</v>
      </c>
      <c r="AU106" s="73">
        <f t="shared" si="73"/>
        <v>12.633117752168191</v>
      </c>
      <c r="AV106" s="71">
        <f t="shared" si="74"/>
        <v>198</v>
      </c>
      <c r="AW106" s="74">
        <f t="shared" si="75"/>
        <v>94.002311750884132</v>
      </c>
    </row>
    <row r="107" spans="17:49" x14ac:dyDescent="0.25">
      <c r="Q107">
        <v>100</v>
      </c>
      <c r="R107" s="73">
        <f t="shared" si="49"/>
        <v>20</v>
      </c>
      <c r="S107" s="71">
        <f t="shared" si="79"/>
        <v>10</v>
      </c>
      <c r="T107" s="71">
        <f t="shared" si="51"/>
        <v>12</v>
      </c>
      <c r="U107" s="74">
        <f t="shared" si="80"/>
        <v>16.666666666666668</v>
      </c>
      <c r="V107" s="73">
        <f>IF(Variable_Management!$B$20=3,2,IF((S107*R107/T107)&lt;((T107*(1-(T107/R107)))/(2*Lm*Fsw)),1,2))</f>
        <v>2</v>
      </c>
      <c r="W107" s="71">
        <f t="shared" si="81"/>
        <v>0.4</v>
      </c>
      <c r="X107" s="74">
        <f t="shared" si="82"/>
        <v>0.6</v>
      </c>
      <c r="Y107" s="73">
        <f t="shared" si="83"/>
        <v>2.4000000000000004</v>
      </c>
      <c r="Z107" s="71">
        <f t="shared" si="77"/>
        <v>17.866666666666667</v>
      </c>
      <c r="AA107" s="71">
        <f t="shared" si="78"/>
        <v>16.681060451235641</v>
      </c>
      <c r="AB107" s="71">
        <v>0</v>
      </c>
      <c r="AC107" s="71">
        <f t="shared" si="84"/>
        <v>0.38399573333333331</v>
      </c>
      <c r="AD107" s="74">
        <f t="shared" si="67"/>
        <v>0.38399573333333331</v>
      </c>
      <c r="AE107" s="73">
        <f t="shared" si="76"/>
        <v>6.6666666666666679</v>
      </c>
      <c r="AF107" s="71">
        <f t="shared" si="68"/>
        <v>10.550028962572146</v>
      </c>
      <c r="AG107" s="71">
        <f t="shared" si="85"/>
        <v>0.97946737777777781</v>
      </c>
      <c r="AH107" s="71">
        <f t="shared" si="86"/>
        <v>6.2399355877616758</v>
      </c>
      <c r="AI107" s="74">
        <f t="shared" si="69"/>
        <v>7.2194029655394534</v>
      </c>
      <c r="AJ107" s="73">
        <f t="shared" si="70"/>
        <v>10</v>
      </c>
      <c r="AK107" s="71">
        <f t="shared" si="87"/>
        <v>12.921093864942963</v>
      </c>
      <c r="AL107" s="71">
        <f t="shared" si="88"/>
        <v>1.4692010666666668</v>
      </c>
      <c r="AM107" s="71">
        <f t="shared" si="95"/>
        <v>1.3728000000000002</v>
      </c>
      <c r="AN107" s="188">
        <f t="shared" si="89"/>
        <v>0.57173333333333332</v>
      </c>
      <c r="AO107" s="74">
        <f t="shared" si="72"/>
        <v>3.4137344000000005</v>
      </c>
      <c r="AP107" s="73">
        <f t="shared" si="90"/>
        <v>0.41738666666666668</v>
      </c>
      <c r="AQ107" s="206">
        <f t="shared" si="91"/>
        <v>0.38399573333333331</v>
      </c>
      <c r="AR107" s="206">
        <f t="shared" si="92"/>
        <v>0.7544881202841347</v>
      </c>
      <c r="AS107" s="71">
        <f t="shared" si="93"/>
        <v>0.19999999999999998</v>
      </c>
      <c r="AT107" s="74">
        <f t="shared" si="94"/>
        <v>3.96E-5</v>
      </c>
      <c r="AU107" s="73">
        <f t="shared" si="73"/>
        <v>12.773043219156921</v>
      </c>
      <c r="AV107" s="71">
        <f t="shared" si="74"/>
        <v>200</v>
      </c>
      <c r="AW107" s="74">
        <f t="shared" si="75"/>
        <v>93.996869610028256</v>
      </c>
    </row>
    <row r="108" spans="17:49" x14ac:dyDescent="0.25">
      <c r="Q108">
        <v>101</v>
      </c>
      <c r="R108" s="73">
        <f t="shared" si="49"/>
        <v>20</v>
      </c>
      <c r="S108" s="71">
        <f t="shared" si="79"/>
        <v>10.100000000000001</v>
      </c>
      <c r="T108" s="71">
        <f t="shared" si="51"/>
        <v>12</v>
      </c>
      <c r="U108" s="74">
        <f t="shared" si="80"/>
        <v>16.833333333333336</v>
      </c>
      <c r="V108" s="73">
        <f>IF(Variable_Management!$B$20=3,2,IF((S108*R108/T108)&lt;((T108*(1-(T108/R108)))/(2*Lm*Fsw)),1,2))</f>
        <v>2</v>
      </c>
      <c r="W108" s="71">
        <f t="shared" si="81"/>
        <v>0.4</v>
      </c>
      <c r="X108" s="74">
        <f t="shared" si="82"/>
        <v>0.6</v>
      </c>
      <c r="Y108" s="73">
        <f t="shared" si="83"/>
        <v>2.4000000000000004</v>
      </c>
      <c r="Z108" s="71">
        <f t="shared" si="77"/>
        <v>18.033333333333335</v>
      </c>
      <c r="AA108" s="71">
        <f t="shared" si="78"/>
        <v>16.847584726337221</v>
      </c>
      <c r="AB108" s="71">
        <v>0</v>
      </c>
      <c r="AC108" s="71">
        <f t="shared" si="84"/>
        <v>0.39170073333333344</v>
      </c>
      <c r="AD108" s="74">
        <f t="shared" si="67"/>
        <v>0.39170073333333344</v>
      </c>
      <c r="AE108" s="73">
        <f t="shared" si="76"/>
        <v>6.7333333333333343</v>
      </c>
      <c r="AF108" s="71">
        <f t="shared" si="68"/>
        <v>10.655348161578038</v>
      </c>
      <c r="AG108" s="71">
        <f t="shared" si="85"/>
        <v>0.99912071111111145</v>
      </c>
      <c r="AH108" s="71">
        <f t="shared" si="86"/>
        <v>6.302334943639293</v>
      </c>
      <c r="AI108" s="74">
        <f t="shared" si="69"/>
        <v>7.3014556547504048</v>
      </c>
      <c r="AJ108" s="73">
        <f t="shared" si="70"/>
        <v>10.100000000000001</v>
      </c>
      <c r="AK108" s="71">
        <f t="shared" si="87"/>
        <v>13.050083013784498</v>
      </c>
      <c r="AL108" s="71">
        <f t="shared" si="88"/>
        <v>1.498681066666667</v>
      </c>
      <c r="AM108" s="71">
        <f t="shared" si="95"/>
        <v>1.3728000000000002</v>
      </c>
      <c r="AN108" s="188">
        <f t="shared" si="89"/>
        <v>0.57706666666666673</v>
      </c>
      <c r="AO108" s="74">
        <f t="shared" si="72"/>
        <v>3.4485477333333336</v>
      </c>
      <c r="AP108" s="73">
        <f t="shared" si="90"/>
        <v>0.42576166666666682</v>
      </c>
      <c r="AQ108" s="206">
        <f t="shared" si="91"/>
        <v>0.39170073333333344</v>
      </c>
      <c r="AR108" s="206">
        <f t="shared" si="92"/>
        <v>0.7544881202841347</v>
      </c>
      <c r="AS108" s="71">
        <f t="shared" si="93"/>
        <v>0.19999999999999998</v>
      </c>
      <c r="AT108" s="74">
        <f t="shared" si="94"/>
        <v>3.96E-5</v>
      </c>
      <c r="AU108" s="73">
        <f t="shared" si="73"/>
        <v>12.913694241701206</v>
      </c>
      <c r="AV108" s="71">
        <f t="shared" si="74"/>
        <v>202.00000000000003</v>
      </c>
      <c r="AW108" s="74">
        <f t="shared" si="75"/>
        <v>93.991218527388071</v>
      </c>
    </row>
    <row r="109" spans="17:49" x14ac:dyDescent="0.25">
      <c r="Q109">
        <v>102</v>
      </c>
      <c r="R109" s="73">
        <f t="shared" si="49"/>
        <v>20</v>
      </c>
      <c r="S109" s="71">
        <f t="shared" si="79"/>
        <v>10.200000000000001</v>
      </c>
      <c r="T109" s="71">
        <f t="shared" si="51"/>
        <v>12</v>
      </c>
      <c r="U109" s="74">
        <f t="shared" si="80"/>
        <v>17.000000000000004</v>
      </c>
      <c r="V109" s="73">
        <f>IF(Variable_Management!$B$20=3,2,IF((S109*R109/T109)&lt;((T109*(1-(T109/R109)))/(2*Lm*Fsw)),1,2))</f>
        <v>2</v>
      </c>
      <c r="W109" s="71">
        <f t="shared" si="81"/>
        <v>0.4</v>
      </c>
      <c r="X109" s="74">
        <f t="shared" si="82"/>
        <v>0.6</v>
      </c>
      <c r="Y109" s="73">
        <f t="shared" si="83"/>
        <v>2.4000000000000004</v>
      </c>
      <c r="Z109" s="71">
        <f t="shared" si="77"/>
        <v>18.200000000000003</v>
      </c>
      <c r="AA109" s="71">
        <f t="shared" si="78"/>
        <v>17.014111789923096</v>
      </c>
      <c r="AB109" s="71">
        <v>0</v>
      </c>
      <c r="AC109" s="71">
        <f t="shared" si="84"/>
        <v>0.39948240000000007</v>
      </c>
      <c r="AD109" s="74">
        <f t="shared" si="67"/>
        <v>0.39948240000000007</v>
      </c>
      <c r="AE109" s="73">
        <f t="shared" si="76"/>
        <v>6.8000000000000016</v>
      </c>
      <c r="AF109" s="71">
        <f t="shared" si="68"/>
        <v>10.76066912417625</v>
      </c>
      <c r="AG109" s="71">
        <f t="shared" si="85"/>
        <v>1.0189696000000006</v>
      </c>
      <c r="AH109" s="71">
        <f t="shared" si="86"/>
        <v>6.3647342995169094</v>
      </c>
      <c r="AI109" s="74">
        <f t="shared" si="69"/>
        <v>7.3837038995169095</v>
      </c>
      <c r="AJ109" s="73">
        <f t="shared" si="70"/>
        <v>10.200000000000001</v>
      </c>
      <c r="AK109" s="71">
        <f t="shared" si="87"/>
        <v>13.179074322576684</v>
      </c>
      <c r="AL109" s="71">
        <f t="shared" si="88"/>
        <v>1.5284544000000007</v>
      </c>
      <c r="AM109" s="71">
        <f t="shared" si="95"/>
        <v>1.3728000000000002</v>
      </c>
      <c r="AN109" s="188">
        <f t="shared" si="89"/>
        <v>0.58240000000000014</v>
      </c>
      <c r="AO109" s="74">
        <f t="shared" si="72"/>
        <v>3.4836544000000012</v>
      </c>
      <c r="AP109" s="73">
        <f t="shared" si="90"/>
        <v>0.43422000000000011</v>
      </c>
      <c r="AQ109" s="206">
        <f t="shared" si="91"/>
        <v>0.39948240000000007</v>
      </c>
      <c r="AR109" s="206">
        <f t="shared" si="92"/>
        <v>0.7544881202841347</v>
      </c>
      <c r="AS109" s="71">
        <f t="shared" si="93"/>
        <v>0.19999999999999998</v>
      </c>
      <c r="AT109" s="74">
        <f t="shared" si="94"/>
        <v>3.96E-5</v>
      </c>
      <c r="AU109" s="73">
        <f t="shared" si="73"/>
        <v>13.055070819801045</v>
      </c>
      <c r="AV109" s="71">
        <f t="shared" si="74"/>
        <v>204.00000000000003</v>
      </c>
      <c r="AW109" s="74">
        <f t="shared" si="75"/>
        <v>93.985364741540934</v>
      </c>
    </row>
    <row r="110" spans="17:49" x14ac:dyDescent="0.25">
      <c r="Q110">
        <v>103</v>
      </c>
      <c r="R110" s="73">
        <f t="shared" si="49"/>
        <v>20</v>
      </c>
      <c r="S110" s="71">
        <f t="shared" si="79"/>
        <v>10.3</v>
      </c>
      <c r="T110" s="71">
        <f t="shared" si="51"/>
        <v>12</v>
      </c>
      <c r="U110" s="74">
        <f t="shared" si="80"/>
        <v>17.166666666666668</v>
      </c>
      <c r="V110" s="73">
        <f>IF(Variable_Management!$B$20=3,2,IF((S110*R110/T110)&lt;((T110*(1-(T110/R110)))/(2*Lm*Fsw)),1,2))</f>
        <v>2</v>
      </c>
      <c r="W110" s="71">
        <f t="shared" si="81"/>
        <v>0.4</v>
      </c>
      <c r="X110" s="74">
        <f t="shared" si="82"/>
        <v>0.6</v>
      </c>
      <c r="Y110" s="73">
        <f t="shared" si="83"/>
        <v>2.4000000000000004</v>
      </c>
      <c r="Z110" s="71">
        <f t="shared" si="77"/>
        <v>18.366666666666667</v>
      </c>
      <c r="AA110" s="71">
        <f t="shared" si="78"/>
        <v>17.180641560909315</v>
      </c>
      <c r="AB110" s="71">
        <v>0</v>
      </c>
      <c r="AC110" s="71">
        <f t="shared" si="84"/>
        <v>0.40734073333333337</v>
      </c>
      <c r="AD110" s="74">
        <f t="shared" si="67"/>
        <v>0.40734073333333337</v>
      </c>
      <c r="AE110" s="73">
        <f t="shared" si="76"/>
        <v>6.8666666666666671</v>
      </c>
      <c r="AF110" s="71">
        <f t="shared" si="68"/>
        <v>10.865991799084785</v>
      </c>
      <c r="AG110" s="71">
        <f t="shared" si="85"/>
        <v>1.0390140444444447</v>
      </c>
      <c r="AH110" s="71">
        <f t="shared" si="86"/>
        <v>6.4271336553945257</v>
      </c>
      <c r="AI110" s="74">
        <f t="shared" si="69"/>
        <v>7.4661476998389702</v>
      </c>
      <c r="AJ110" s="73">
        <f t="shared" si="70"/>
        <v>10.3</v>
      </c>
      <c r="AK110" s="71">
        <f t="shared" si="87"/>
        <v>13.308067728512155</v>
      </c>
      <c r="AL110" s="71">
        <f t="shared" si="88"/>
        <v>1.5585210666666669</v>
      </c>
      <c r="AM110" s="71">
        <f t="shared" si="95"/>
        <v>1.3728000000000002</v>
      </c>
      <c r="AN110" s="188">
        <f t="shared" si="89"/>
        <v>0.58773333333333333</v>
      </c>
      <c r="AO110" s="74">
        <f t="shared" si="72"/>
        <v>3.5190544000000008</v>
      </c>
      <c r="AP110" s="73">
        <f t="shared" si="90"/>
        <v>0.44276166666666672</v>
      </c>
      <c r="AQ110" s="206">
        <f t="shared" si="91"/>
        <v>0.40734073333333337</v>
      </c>
      <c r="AR110" s="206">
        <f t="shared" si="92"/>
        <v>0.7544881202841347</v>
      </c>
      <c r="AS110" s="71">
        <f t="shared" si="93"/>
        <v>0.19999999999999998</v>
      </c>
      <c r="AT110" s="74">
        <f t="shared" si="94"/>
        <v>3.96E-5</v>
      </c>
      <c r="AU110" s="73">
        <f t="shared" si="73"/>
        <v>13.197172953456437</v>
      </c>
      <c r="AV110" s="71">
        <f t="shared" si="74"/>
        <v>206</v>
      </c>
      <c r="AW110" s="74">
        <f t="shared" si="75"/>
        <v>93.979314251348171</v>
      </c>
    </row>
    <row r="111" spans="17:49" x14ac:dyDescent="0.25">
      <c r="Q111">
        <v>104</v>
      </c>
      <c r="R111" s="73">
        <f t="shared" si="49"/>
        <v>20</v>
      </c>
      <c r="S111" s="71">
        <f t="shared" si="79"/>
        <v>10.4</v>
      </c>
      <c r="T111" s="71">
        <f t="shared" si="51"/>
        <v>12</v>
      </c>
      <c r="U111" s="74">
        <f t="shared" si="80"/>
        <v>17.333333333333332</v>
      </c>
      <c r="V111" s="73">
        <f>IF(Variable_Management!$B$20=3,2,IF((S111*R111/T111)&lt;((T111*(1-(T111/R111)))/(2*Lm*Fsw)),1,2))</f>
        <v>2</v>
      </c>
      <c r="W111" s="71">
        <f t="shared" si="81"/>
        <v>0.4</v>
      </c>
      <c r="X111" s="74">
        <f t="shared" si="82"/>
        <v>0.6</v>
      </c>
      <c r="Y111" s="73">
        <f t="shared" si="83"/>
        <v>2.4000000000000004</v>
      </c>
      <c r="Z111" s="71">
        <f t="shared" si="77"/>
        <v>18.533333333333331</v>
      </c>
      <c r="AA111" s="71">
        <f t="shared" si="78"/>
        <v>17.347173961324202</v>
      </c>
      <c r="AB111" s="71">
        <v>0</v>
      </c>
      <c r="AC111" s="71">
        <f t="shared" si="84"/>
        <v>0.41527573333333329</v>
      </c>
      <c r="AD111" s="74">
        <f t="shared" si="67"/>
        <v>0.41527573333333329</v>
      </c>
      <c r="AE111" s="73">
        <f t="shared" si="76"/>
        <v>6.9333333333333336</v>
      </c>
      <c r="AF111" s="71">
        <f t="shared" si="68"/>
        <v>10.971316136990026</v>
      </c>
      <c r="AG111" s="71">
        <f t="shared" si="85"/>
        <v>1.0592540444444443</v>
      </c>
      <c r="AH111" s="71">
        <f t="shared" si="86"/>
        <v>6.4895330112721412</v>
      </c>
      <c r="AI111" s="74">
        <f t="shared" si="69"/>
        <v>7.5487870557165859</v>
      </c>
      <c r="AJ111" s="73">
        <f t="shared" si="70"/>
        <v>10.399999999999999</v>
      </c>
      <c r="AK111" s="71">
        <f t="shared" si="87"/>
        <v>13.437063171194314</v>
      </c>
      <c r="AL111" s="71">
        <f t="shared" si="88"/>
        <v>1.5888810666666662</v>
      </c>
      <c r="AM111" s="71">
        <f t="shared" si="95"/>
        <v>1.3728000000000002</v>
      </c>
      <c r="AN111" s="188">
        <f t="shared" si="89"/>
        <v>0.59306666666666663</v>
      </c>
      <c r="AO111" s="74">
        <f t="shared" si="72"/>
        <v>3.554747733333333</v>
      </c>
      <c r="AP111" s="73">
        <f t="shared" si="90"/>
        <v>0.45138666666666666</v>
      </c>
      <c r="AQ111" s="206">
        <f t="shared" si="91"/>
        <v>0.41527573333333329</v>
      </c>
      <c r="AR111" s="206">
        <f t="shared" si="92"/>
        <v>0.7544881202841347</v>
      </c>
      <c r="AS111" s="71">
        <f t="shared" si="93"/>
        <v>0.19999999999999998</v>
      </c>
      <c r="AT111" s="74">
        <f t="shared" si="94"/>
        <v>3.96E-5</v>
      </c>
      <c r="AU111" s="73">
        <f t="shared" si="73"/>
        <v>13.340000642667384</v>
      </c>
      <c r="AV111" s="71">
        <f t="shared" si="74"/>
        <v>208</v>
      </c>
      <c r="AW111" s="74">
        <f t="shared" si="75"/>
        <v>93.973072827354159</v>
      </c>
    </row>
    <row r="112" spans="17:49" x14ac:dyDescent="0.25">
      <c r="Q112">
        <v>105</v>
      </c>
      <c r="R112" s="73">
        <f t="shared" si="49"/>
        <v>20</v>
      </c>
      <c r="S112" s="71">
        <f t="shared" si="79"/>
        <v>10.5</v>
      </c>
      <c r="T112" s="71">
        <f t="shared" si="51"/>
        <v>12</v>
      </c>
      <c r="U112" s="74">
        <f t="shared" si="80"/>
        <v>17.5</v>
      </c>
      <c r="V112" s="73">
        <f>IF(Variable_Management!$B$20=3,2,IF((S112*R112/T112)&lt;((T112*(1-(T112/R112)))/(2*Lm*Fsw)),1,2))</f>
        <v>2</v>
      </c>
      <c r="W112" s="71">
        <f t="shared" si="81"/>
        <v>0.4</v>
      </c>
      <c r="X112" s="74">
        <f t="shared" si="82"/>
        <v>0.6</v>
      </c>
      <c r="Y112" s="73">
        <f t="shared" si="83"/>
        <v>2.4000000000000004</v>
      </c>
      <c r="Z112" s="71">
        <f t="shared" si="77"/>
        <v>18.7</v>
      </c>
      <c r="AA112" s="71">
        <f t="shared" si="78"/>
        <v>17.513708916160507</v>
      </c>
      <c r="AB112" s="71">
        <v>0</v>
      </c>
      <c r="AC112" s="71">
        <f t="shared" si="84"/>
        <v>0.42328739999999998</v>
      </c>
      <c r="AD112" s="74">
        <f t="shared" si="67"/>
        <v>0.42328739999999998</v>
      </c>
      <c r="AE112" s="73">
        <f t="shared" si="76"/>
        <v>7</v>
      </c>
      <c r="AF112" s="71">
        <f t="shared" si="68"/>
        <v>11.076642090453225</v>
      </c>
      <c r="AG112" s="71">
        <f t="shared" si="85"/>
        <v>1.0796896</v>
      </c>
      <c r="AH112" s="71">
        <f t="shared" si="86"/>
        <v>6.5519323671497594</v>
      </c>
      <c r="AI112" s="74">
        <f t="shared" si="69"/>
        <v>7.6316219671497594</v>
      </c>
      <c r="AJ112" s="73">
        <f t="shared" si="70"/>
        <v>10.5</v>
      </c>
      <c r="AK112" s="71">
        <f t="shared" si="87"/>
        <v>13.566060592522797</v>
      </c>
      <c r="AL112" s="71">
        <f t="shared" si="88"/>
        <v>1.6195344</v>
      </c>
      <c r="AM112" s="71">
        <f t="shared" si="95"/>
        <v>1.3728000000000002</v>
      </c>
      <c r="AN112" s="188">
        <f t="shared" si="89"/>
        <v>0.59840000000000004</v>
      </c>
      <c r="AO112" s="74">
        <f t="shared" si="72"/>
        <v>3.5907344000000005</v>
      </c>
      <c r="AP112" s="73">
        <f t="shared" si="90"/>
        <v>0.46009500000000003</v>
      </c>
      <c r="AQ112" s="206">
        <f t="shared" si="91"/>
        <v>0.42328739999999998</v>
      </c>
      <c r="AR112" s="206">
        <f t="shared" si="92"/>
        <v>0.7544881202841347</v>
      </c>
      <c r="AS112" s="71">
        <f t="shared" si="93"/>
        <v>0.19999999999999998</v>
      </c>
      <c r="AT112" s="74">
        <f t="shared" si="94"/>
        <v>3.96E-5</v>
      </c>
      <c r="AU112" s="73">
        <f t="shared" si="73"/>
        <v>13.483553887433892</v>
      </c>
      <c r="AV112" s="71">
        <f t="shared" si="74"/>
        <v>210</v>
      </c>
      <c r="AW112" s="74">
        <f t="shared" si="75"/>
        <v>93.966646022541141</v>
      </c>
    </row>
    <row r="113" spans="17:49" x14ac:dyDescent="0.25">
      <c r="Q113">
        <v>106</v>
      </c>
      <c r="R113" s="73">
        <f t="shared" si="49"/>
        <v>20</v>
      </c>
      <c r="S113" s="71">
        <f t="shared" si="79"/>
        <v>10.600000000000001</v>
      </c>
      <c r="T113" s="71">
        <f t="shared" si="51"/>
        <v>12</v>
      </c>
      <c r="U113" s="74">
        <f t="shared" si="80"/>
        <v>17.666666666666668</v>
      </c>
      <c r="V113" s="73">
        <f>IF(Variable_Management!$B$20=3,2,IF((S113*R113/T113)&lt;((T113*(1-(T113/R113)))/(2*Lm*Fsw)),1,2))</f>
        <v>2</v>
      </c>
      <c r="W113" s="71">
        <f t="shared" si="81"/>
        <v>0.4</v>
      </c>
      <c r="X113" s="74">
        <f t="shared" si="82"/>
        <v>0.6</v>
      </c>
      <c r="Y113" s="73">
        <f t="shared" si="83"/>
        <v>2.4000000000000004</v>
      </c>
      <c r="Z113" s="71">
        <f t="shared" si="77"/>
        <v>18.866666666666667</v>
      </c>
      <c r="AA113" s="71">
        <f t="shared" si="78"/>
        <v>17.680246353235894</v>
      </c>
      <c r="AB113" s="71">
        <v>0</v>
      </c>
      <c r="AC113" s="71">
        <f t="shared" si="84"/>
        <v>0.4313757333333334</v>
      </c>
      <c r="AD113" s="74">
        <f t="shared" si="67"/>
        <v>0.4313757333333334</v>
      </c>
      <c r="AE113" s="73">
        <f t="shared" si="76"/>
        <v>7.0666666666666673</v>
      </c>
      <c r="AF113" s="71">
        <f t="shared" si="68"/>
        <v>11.181969613822265</v>
      </c>
      <c r="AG113" s="71">
        <f t="shared" si="85"/>
        <v>1.1003207111111111</v>
      </c>
      <c r="AH113" s="71">
        <f t="shared" si="86"/>
        <v>6.6143317230273766</v>
      </c>
      <c r="AI113" s="74">
        <f t="shared" si="69"/>
        <v>7.7146524341384879</v>
      </c>
      <c r="AJ113" s="73">
        <f t="shared" si="70"/>
        <v>10.6</v>
      </c>
      <c r="AK113" s="71">
        <f t="shared" si="87"/>
        <v>13.695059936585405</v>
      </c>
      <c r="AL113" s="71">
        <f t="shared" si="88"/>
        <v>1.6504810666666665</v>
      </c>
      <c r="AM113" s="71">
        <f t="shared" si="95"/>
        <v>1.3728000000000002</v>
      </c>
      <c r="AN113" s="188">
        <f t="shared" si="89"/>
        <v>0.60373333333333334</v>
      </c>
      <c r="AO113" s="74">
        <f t="shared" si="72"/>
        <v>3.6270144000000002</v>
      </c>
      <c r="AP113" s="73">
        <f t="shared" si="90"/>
        <v>0.46888666666666673</v>
      </c>
      <c r="AQ113" s="206">
        <f t="shared" si="91"/>
        <v>0.4313757333333334</v>
      </c>
      <c r="AR113" s="206">
        <f t="shared" si="92"/>
        <v>0.7544881202841347</v>
      </c>
      <c r="AS113" s="71">
        <f t="shared" si="93"/>
        <v>0.19999999999999998</v>
      </c>
      <c r="AT113" s="74">
        <f t="shared" si="94"/>
        <v>3.96E-5</v>
      </c>
      <c r="AU113" s="73">
        <f t="shared" si="73"/>
        <v>13.627832687755955</v>
      </c>
      <c r="AV113" s="71">
        <f t="shared" si="74"/>
        <v>212.00000000000003</v>
      </c>
      <c r="AW113" s="74">
        <f t="shared" si="75"/>
        <v>93.960039182481808</v>
      </c>
    </row>
    <row r="114" spans="17:49" x14ac:dyDescent="0.25">
      <c r="Q114">
        <v>107</v>
      </c>
      <c r="R114" s="73">
        <f t="shared" si="49"/>
        <v>20</v>
      </c>
      <c r="S114" s="71">
        <f t="shared" si="79"/>
        <v>10.700000000000001</v>
      </c>
      <c r="T114" s="71">
        <f t="shared" si="51"/>
        <v>12</v>
      </c>
      <c r="U114" s="74">
        <f t="shared" si="80"/>
        <v>17.833333333333336</v>
      </c>
      <c r="V114" s="73">
        <f>IF(Variable_Management!$B$20=3,2,IF((S114*R114/T114)&lt;((T114*(1-(T114/R114)))/(2*Lm*Fsw)),1,2))</f>
        <v>2</v>
      </c>
      <c r="W114" s="71">
        <f t="shared" si="81"/>
        <v>0.4</v>
      </c>
      <c r="X114" s="74">
        <f t="shared" si="82"/>
        <v>0.6</v>
      </c>
      <c r="Y114" s="73">
        <f t="shared" si="83"/>
        <v>2.4000000000000004</v>
      </c>
      <c r="Z114" s="71">
        <f t="shared" si="77"/>
        <v>19.033333333333335</v>
      </c>
      <c r="AA114" s="71">
        <f t="shared" si="78"/>
        <v>17.846786203061264</v>
      </c>
      <c r="AB114" s="71">
        <v>0</v>
      </c>
      <c r="AC114" s="71">
        <f t="shared" si="84"/>
        <v>0.43954073333333343</v>
      </c>
      <c r="AD114" s="74">
        <f t="shared" si="67"/>
        <v>0.43954073333333343</v>
      </c>
      <c r="AE114" s="73">
        <f t="shared" si="76"/>
        <v>7.1333333333333346</v>
      </c>
      <c r="AF114" s="71">
        <f t="shared" si="68"/>
        <v>11.287298663148377</v>
      </c>
      <c r="AG114" s="71">
        <f t="shared" si="85"/>
        <v>1.1211473777777781</v>
      </c>
      <c r="AH114" s="71">
        <f t="shared" si="86"/>
        <v>6.6767310789049938</v>
      </c>
      <c r="AI114" s="74">
        <f t="shared" si="69"/>
        <v>7.7978784566827724</v>
      </c>
      <c r="AJ114" s="73">
        <f t="shared" si="70"/>
        <v>10.700000000000001</v>
      </c>
      <c r="AK114" s="71">
        <f t="shared" si="87"/>
        <v>13.824061149556114</v>
      </c>
      <c r="AL114" s="71">
        <f t="shared" si="88"/>
        <v>1.6817210666666671</v>
      </c>
      <c r="AM114" s="71">
        <f t="shared" si="95"/>
        <v>1.3728000000000002</v>
      </c>
      <c r="AN114" s="188">
        <f t="shared" si="89"/>
        <v>0.60906666666666676</v>
      </c>
      <c r="AO114" s="74">
        <f t="shared" si="72"/>
        <v>3.6635877333333338</v>
      </c>
      <c r="AP114" s="73">
        <f t="shared" si="90"/>
        <v>0.47776166666666681</v>
      </c>
      <c r="AQ114" s="206">
        <f t="shared" si="91"/>
        <v>0.43954073333333343</v>
      </c>
      <c r="AR114" s="206">
        <f t="shared" si="92"/>
        <v>0.7544881202841347</v>
      </c>
      <c r="AS114" s="71">
        <f t="shared" si="93"/>
        <v>0.19999999999999998</v>
      </c>
      <c r="AT114" s="74">
        <f t="shared" si="94"/>
        <v>3.96E-5</v>
      </c>
      <c r="AU114" s="73">
        <f t="shared" si="73"/>
        <v>13.772837043633572</v>
      </c>
      <c r="AV114" s="71">
        <f t="shared" si="74"/>
        <v>214.00000000000003</v>
      </c>
      <c r="AW114" s="74">
        <f t="shared" si="75"/>
        <v>93.95325745492859</v>
      </c>
    </row>
    <row r="115" spans="17:49" x14ac:dyDescent="0.25">
      <c r="Q115">
        <v>108</v>
      </c>
      <c r="R115" s="73">
        <f t="shared" si="49"/>
        <v>20</v>
      </c>
      <c r="S115" s="71">
        <f t="shared" si="79"/>
        <v>10.8</v>
      </c>
      <c r="T115" s="71">
        <f t="shared" si="51"/>
        <v>12</v>
      </c>
      <c r="U115" s="74">
        <f t="shared" si="80"/>
        <v>18</v>
      </c>
      <c r="V115" s="73">
        <f>IF(Variable_Management!$B$20=3,2,IF((S115*R115/T115)&lt;((T115*(1-(T115/R115)))/(2*Lm*Fsw)),1,2))</f>
        <v>2</v>
      </c>
      <c r="W115" s="71">
        <f t="shared" si="81"/>
        <v>0.4</v>
      </c>
      <c r="X115" s="74">
        <f t="shared" si="82"/>
        <v>0.6</v>
      </c>
      <c r="Y115" s="73">
        <f t="shared" si="83"/>
        <v>2.4000000000000004</v>
      </c>
      <c r="Z115" s="71">
        <f t="shared" si="77"/>
        <v>19.2</v>
      </c>
      <c r="AA115" s="71">
        <f t="shared" si="78"/>
        <v>18.013328398716325</v>
      </c>
      <c r="AB115" s="71">
        <v>0</v>
      </c>
      <c r="AC115" s="71">
        <f t="shared" si="84"/>
        <v>0.44778240000000008</v>
      </c>
      <c r="AD115" s="74">
        <f t="shared" si="67"/>
        <v>0.44778240000000008</v>
      </c>
      <c r="AE115" s="73">
        <f t="shared" si="76"/>
        <v>7.2</v>
      </c>
      <c r="AF115" s="71">
        <f t="shared" si="68"/>
        <v>11.392629196107455</v>
      </c>
      <c r="AG115" s="71">
        <f t="shared" si="85"/>
        <v>1.1421696000000001</v>
      </c>
      <c r="AH115" s="71">
        <f t="shared" si="86"/>
        <v>6.7391304347826093</v>
      </c>
      <c r="AI115" s="74">
        <f t="shared" si="69"/>
        <v>7.8813000347826092</v>
      </c>
      <c r="AJ115" s="73">
        <f t="shared" si="70"/>
        <v>10.799999999999999</v>
      </c>
      <c r="AK115" s="71">
        <f t="shared" si="87"/>
        <v>13.953064179598689</v>
      </c>
      <c r="AL115" s="71">
        <f t="shared" si="88"/>
        <v>1.7132544000000005</v>
      </c>
      <c r="AM115" s="71">
        <f t="shared" si="95"/>
        <v>1.3728000000000002</v>
      </c>
      <c r="AN115" s="188">
        <f t="shared" si="89"/>
        <v>0.61439999999999995</v>
      </c>
      <c r="AO115" s="74">
        <f t="shared" si="72"/>
        <v>3.7004544000000008</v>
      </c>
      <c r="AP115" s="73">
        <f t="shared" si="90"/>
        <v>0.4867200000000001</v>
      </c>
      <c r="AQ115" s="206">
        <f t="shared" si="91"/>
        <v>0.44778240000000008</v>
      </c>
      <c r="AR115" s="206">
        <f t="shared" si="92"/>
        <v>0.7544881202841347</v>
      </c>
      <c r="AS115" s="71">
        <f t="shared" si="93"/>
        <v>0.19999999999999998</v>
      </c>
      <c r="AT115" s="74">
        <f t="shared" si="94"/>
        <v>3.96E-5</v>
      </c>
      <c r="AU115" s="73">
        <f t="shared" si="73"/>
        <v>13.918566955066742</v>
      </c>
      <c r="AV115" s="71">
        <f t="shared" si="74"/>
        <v>216</v>
      </c>
      <c r="AW115" s="74">
        <f t="shared" si="75"/>
        <v>93.946305798875798</v>
      </c>
    </row>
    <row r="116" spans="17:49" x14ac:dyDescent="0.25">
      <c r="Q116">
        <v>109</v>
      </c>
      <c r="R116" s="73">
        <f t="shared" si="49"/>
        <v>20</v>
      </c>
      <c r="S116" s="71">
        <f t="shared" si="79"/>
        <v>10.9</v>
      </c>
      <c r="T116" s="71">
        <f t="shared" si="51"/>
        <v>12</v>
      </c>
      <c r="U116" s="74">
        <f t="shared" si="80"/>
        <v>18.166666666666668</v>
      </c>
      <c r="V116" s="73">
        <f>IF(Variable_Management!$B$20=3,2,IF((S116*R116/T116)&lt;((T116*(1-(T116/R116)))/(2*Lm*Fsw)),1,2))</f>
        <v>2</v>
      </c>
      <c r="W116" s="71">
        <f t="shared" si="81"/>
        <v>0.4</v>
      </c>
      <c r="X116" s="74">
        <f t="shared" si="82"/>
        <v>0.6</v>
      </c>
      <c r="Y116" s="73">
        <f t="shared" si="83"/>
        <v>2.4000000000000004</v>
      </c>
      <c r="Z116" s="71">
        <f t="shared" si="77"/>
        <v>19.366666666666667</v>
      </c>
      <c r="AA116" s="71">
        <f t="shared" si="78"/>
        <v>18.179872875732048</v>
      </c>
      <c r="AB116" s="71">
        <v>0</v>
      </c>
      <c r="AC116" s="71">
        <f t="shared" si="84"/>
        <v>0.4561007333333334</v>
      </c>
      <c r="AD116" s="74">
        <f t="shared" si="67"/>
        <v>0.4561007333333334</v>
      </c>
      <c r="AE116" s="73">
        <f t="shared" si="76"/>
        <v>7.2666666666666675</v>
      </c>
      <c r="AF116" s="71">
        <f t="shared" si="68"/>
        <v>11.497961171925704</v>
      </c>
      <c r="AG116" s="71">
        <f t="shared" si="85"/>
        <v>1.1633873777777777</v>
      </c>
      <c r="AH116" s="71">
        <f t="shared" si="86"/>
        <v>6.8015297906602266</v>
      </c>
      <c r="AI116" s="74">
        <f t="shared" si="69"/>
        <v>7.9649171684380047</v>
      </c>
      <c r="AJ116" s="73">
        <f t="shared" si="70"/>
        <v>10.9</v>
      </c>
      <c r="AK116" s="71">
        <f t="shared" si="87"/>
        <v>14.082068976775631</v>
      </c>
      <c r="AL116" s="71">
        <f t="shared" si="88"/>
        <v>1.7450810666666667</v>
      </c>
      <c r="AM116" s="71">
        <f t="shared" si="95"/>
        <v>1.3728000000000002</v>
      </c>
      <c r="AN116" s="188">
        <f t="shared" si="89"/>
        <v>0.61973333333333336</v>
      </c>
      <c r="AO116" s="74">
        <f t="shared" si="72"/>
        <v>3.7376144000000004</v>
      </c>
      <c r="AP116" s="73">
        <f t="shared" si="90"/>
        <v>0.49576166666666677</v>
      </c>
      <c r="AQ116" s="206">
        <f t="shared" si="91"/>
        <v>0.4561007333333334</v>
      </c>
      <c r="AR116" s="206">
        <f t="shared" si="92"/>
        <v>0.7544881202841347</v>
      </c>
      <c r="AS116" s="71">
        <f t="shared" si="93"/>
        <v>0.19999999999999998</v>
      </c>
      <c r="AT116" s="74">
        <f t="shared" si="94"/>
        <v>3.96E-5</v>
      </c>
      <c r="AU116" s="73">
        <f t="shared" si="73"/>
        <v>14.06502242205547</v>
      </c>
      <c r="AV116" s="71">
        <f t="shared" si="74"/>
        <v>218</v>
      </c>
      <c r="AW116" s="74">
        <f t="shared" si="75"/>
        <v>93.939188993128184</v>
      </c>
    </row>
    <row r="117" spans="17:49" x14ac:dyDescent="0.25">
      <c r="Q117">
        <v>110</v>
      </c>
      <c r="R117" s="73">
        <f t="shared" si="49"/>
        <v>20</v>
      </c>
      <c r="S117" s="71">
        <f t="shared" si="79"/>
        <v>11</v>
      </c>
      <c r="T117" s="71">
        <f t="shared" si="51"/>
        <v>12</v>
      </c>
      <c r="U117" s="74">
        <f t="shared" si="80"/>
        <v>18.333333333333332</v>
      </c>
      <c r="V117" s="73">
        <f>IF(Variable_Management!$B$20=3,2,IF((S117*R117/T117)&lt;((T117*(1-(T117/R117)))/(2*Lm*Fsw)),1,2))</f>
        <v>2</v>
      </c>
      <c r="W117" s="71">
        <f t="shared" si="81"/>
        <v>0.4</v>
      </c>
      <c r="X117" s="74">
        <f t="shared" si="82"/>
        <v>0.6</v>
      </c>
      <c r="Y117" s="73">
        <f t="shared" si="83"/>
        <v>2.4000000000000004</v>
      </c>
      <c r="Z117" s="71">
        <f t="shared" si="77"/>
        <v>19.533333333333331</v>
      </c>
      <c r="AA117" s="71">
        <f t="shared" si="78"/>
        <v>18.346419571979464</v>
      </c>
      <c r="AB117" s="71">
        <v>0</v>
      </c>
      <c r="AC117" s="71">
        <f t="shared" si="84"/>
        <v>0.46449573333333338</v>
      </c>
      <c r="AD117" s="74">
        <f t="shared" si="67"/>
        <v>0.46449573333333338</v>
      </c>
      <c r="AE117" s="73">
        <f t="shared" si="76"/>
        <v>7.333333333333333</v>
      </c>
      <c r="AF117" s="71">
        <f t="shared" si="68"/>
        <v>11.603294551309315</v>
      </c>
      <c r="AG117" s="71">
        <f t="shared" si="85"/>
        <v>1.1848007111111112</v>
      </c>
      <c r="AH117" s="71">
        <f t="shared" si="86"/>
        <v>6.863929146537842</v>
      </c>
      <c r="AI117" s="74">
        <f t="shared" si="69"/>
        <v>8.0487298576489525</v>
      </c>
      <c r="AJ117" s="73">
        <f t="shared" si="70"/>
        <v>10.999999999999998</v>
      </c>
      <c r="AK117" s="71">
        <f t="shared" si="87"/>
        <v>14.211075492962051</v>
      </c>
      <c r="AL117" s="71">
        <f t="shared" si="88"/>
        <v>1.777201066666666</v>
      </c>
      <c r="AM117" s="71">
        <f t="shared" si="95"/>
        <v>1.3728000000000002</v>
      </c>
      <c r="AN117" s="188">
        <f t="shared" si="89"/>
        <v>0.62506666666666666</v>
      </c>
      <c r="AO117" s="74">
        <f t="shared" si="72"/>
        <v>3.7750677333333331</v>
      </c>
      <c r="AP117" s="73">
        <f t="shared" si="90"/>
        <v>0.50488666666666671</v>
      </c>
      <c r="AQ117" s="206">
        <f t="shared" si="91"/>
        <v>0.46449573333333338</v>
      </c>
      <c r="AR117" s="206">
        <f t="shared" si="92"/>
        <v>0.7544881202841347</v>
      </c>
      <c r="AS117" s="71">
        <f t="shared" si="93"/>
        <v>0.19999999999999998</v>
      </c>
      <c r="AT117" s="74">
        <f t="shared" si="94"/>
        <v>3.96E-5</v>
      </c>
      <c r="AU117" s="73">
        <f t="shared" si="73"/>
        <v>14.212203444599751</v>
      </c>
      <c r="AV117" s="71">
        <f t="shared" si="74"/>
        <v>220</v>
      </c>
      <c r="AW117" s="74">
        <f t="shared" si="75"/>
        <v>93.93191164440691</v>
      </c>
    </row>
    <row r="118" spans="17:49" x14ac:dyDescent="0.25">
      <c r="Q118">
        <v>111</v>
      </c>
      <c r="R118" s="73">
        <f t="shared" si="49"/>
        <v>20</v>
      </c>
      <c r="S118" s="71">
        <f t="shared" si="79"/>
        <v>11.100000000000001</v>
      </c>
      <c r="T118" s="71">
        <f t="shared" si="51"/>
        <v>12</v>
      </c>
      <c r="U118" s="74">
        <f t="shared" si="80"/>
        <v>18.500000000000004</v>
      </c>
      <c r="V118" s="73">
        <f>IF(Variable_Management!$B$20=3,2,IF((S118*R118/T118)&lt;((T118*(1-(T118/R118)))/(2*Lm*Fsw)),1,2))</f>
        <v>2</v>
      </c>
      <c r="W118" s="71">
        <f t="shared" si="81"/>
        <v>0.4</v>
      </c>
      <c r="X118" s="74">
        <f t="shared" si="82"/>
        <v>0.6</v>
      </c>
      <c r="Y118" s="73">
        <f t="shared" si="83"/>
        <v>2.4000000000000004</v>
      </c>
      <c r="Z118" s="71">
        <f t="shared" si="77"/>
        <v>19.700000000000003</v>
      </c>
      <c r="AA118" s="71">
        <f t="shared" si="78"/>
        <v>18.512968427564505</v>
      </c>
      <c r="AB118" s="71">
        <v>0</v>
      </c>
      <c r="AC118" s="71">
        <f t="shared" si="84"/>
        <v>0.47296740000000026</v>
      </c>
      <c r="AD118" s="74">
        <f t="shared" si="67"/>
        <v>0.47296740000000026</v>
      </c>
      <c r="AE118" s="73">
        <f t="shared" si="76"/>
        <v>7.4000000000000021</v>
      </c>
      <c r="AF118" s="71">
        <f t="shared" si="68"/>
        <v>11.708629296377952</v>
      </c>
      <c r="AG118" s="71">
        <f t="shared" si="85"/>
        <v>1.2064096000000004</v>
      </c>
      <c r="AH118" s="71">
        <f t="shared" si="86"/>
        <v>6.9263285024154602</v>
      </c>
      <c r="AI118" s="74">
        <f t="shared" si="69"/>
        <v>8.1327381024154608</v>
      </c>
      <c r="AJ118" s="73">
        <f t="shared" si="70"/>
        <v>11.100000000000001</v>
      </c>
      <c r="AK118" s="71">
        <f t="shared" si="87"/>
        <v>14.340083681764204</v>
      </c>
      <c r="AL118" s="71">
        <f t="shared" si="88"/>
        <v>1.8096144000000001</v>
      </c>
      <c r="AM118" s="71">
        <f t="shared" si="95"/>
        <v>1.3728000000000002</v>
      </c>
      <c r="AN118" s="188">
        <f t="shared" si="89"/>
        <v>0.63040000000000007</v>
      </c>
      <c r="AO118" s="74">
        <f t="shared" si="72"/>
        <v>3.8128144000000006</v>
      </c>
      <c r="AP118" s="73">
        <f t="shared" si="90"/>
        <v>0.5140950000000003</v>
      </c>
      <c r="AQ118" s="206">
        <f t="shared" si="91"/>
        <v>0.47296740000000026</v>
      </c>
      <c r="AR118" s="206">
        <f t="shared" si="92"/>
        <v>0.7544881202841347</v>
      </c>
      <c r="AS118" s="71">
        <f t="shared" si="93"/>
        <v>0.19999999999999998</v>
      </c>
      <c r="AT118" s="74">
        <f t="shared" si="94"/>
        <v>3.96E-5</v>
      </c>
      <c r="AU118" s="73">
        <f t="shared" si="73"/>
        <v>14.360110022699594</v>
      </c>
      <c r="AV118" s="71">
        <f t="shared" si="74"/>
        <v>222.00000000000003</v>
      </c>
      <c r="AW118" s="74">
        <f t="shared" si="75"/>
        <v>93.924478195021806</v>
      </c>
    </row>
    <row r="119" spans="17:49" x14ac:dyDescent="0.25">
      <c r="Q119">
        <v>112</v>
      </c>
      <c r="R119" s="73">
        <f t="shared" si="49"/>
        <v>20</v>
      </c>
      <c r="S119" s="71">
        <f t="shared" si="79"/>
        <v>11.200000000000001</v>
      </c>
      <c r="T119" s="71">
        <f t="shared" si="51"/>
        <v>12</v>
      </c>
      <c r="U119" s="74">
        <f t="shared" si="80"/>
        <v>18.666666666666668</v>
      </c>
      <c r="V119" s="73">
        <f>IF(Variable_Management!$B$20=3,2,IF((S119*R119/T119)&lt;((T119*(1-(T119/R119)))/(2*Lm*Fsw)),1,2))</f>
        <v>2</v>
      </c>
      <c r="W119" s="71">
        <f t="shared" si="81"/>
        <v>0.4</v>
      </c>
      <c r="X119" s="74">
        <f t="shared" si="82"/>
        <v>0.6</v>
      </c>
      <c r="Y119" s="73">
        <f t="shared" si="83"/>
        <v>2.4000000000000004</v>
      </c>
      <c r="Z119" s="71">
        <f t="shared" si="77"/>
        <v>19.866666666666667</v>
      </c>
      <c r="AA119" s="71">
        <f t="shared" si="78"/>
        <v>18.679519384728412</v>
      </c>
      <c r="AB119" s="71">
        <v>0</v>
      </c>
      <c r="AC119" s="71">
        <f t="shared" si="84"/>
        <v>0.48151573333333336</v>
      </c>
      <c r="AD119" s="74">
        <f t="shared" si="67"/>
        <v>0.48151573333333336</v>
      </c>
      <c r="AE119" s="73">
        <f t="shared" si="76"/>
        <v>7.4666666666666677</v>
      </c>
      <c r="AF119" s="71">
        <f t="shared" si="68"/>
        <v>11.813965370601769</v>
      </c>
      <c r="AG119" s="71">
        <f t="shared" si="85"/>
        <v>1.2282140444444447</v>
      </c>
      <c r="AH119" s="71">
        <f t="shared" si="86"/>
        <v>6.9887278582930765</v>
      </c>
      <c r="AI119" s="74">
        <f t="shared" si="69"/>
        <v>8.2169419027375206</v>
      </c>
      <c r="AJ119" s="73">
        <f t="shared" si="70"/>
        <v>11.200000000000001</v>
      </c>
      <c r="AK119" s="71">
        <f t="shared" si="87"/>
        <v>14.46909349844235</v>
      </c>
      <c r="AL119" s="71">
        <f t="shared" si="88"/>
        <v>1.842321066666667</v>
      </c>
      <c r="AM119" s="71">
        <f t="shared" si="95"/>
        <v>1.3728000000000002</v>
      </c>
      <c r="AN119" s="188">
        <f t="shared" si="89"/>
        <v>0.63573333333333337</v>
      </c>
      <c r="AO119" s="74">
        <f t="shared" si="72"/>
        <v>3.8508544000000007</v>
      </c>
      <c r="AP119" s="73">
        <f t="shared" si="90"/>
        <v>0.52338666666666678</v>
      </c>
      <c r="AQ119" s="206">
        <f t="shared" si="91"/>
        <v>0.48151573333333336</v>
      </c>
      <c r="AR119" s="206">
        <f t="shared" si="92"/>
        <v>0.7544881202841347</v>
      </c>
      <c r="AS119" s="71">
        <f t="shared" si="93"/>
        <v>0.19999999999999998</v>
      </c>
      <c r="AT119" s="74">
        <f t="shared" si="94"/>
        <v>3.96E-5</v>
      </c>
      <c r="AU119" s="73">
        <f t="shared" si="73"/>
        <v>14.508742156354987</v>
      </c>
      <c r="AV119" s="71">
        <f t="shared" si="74"/>
        <v>224.00000000000003</v>
      </c>
      <c r="AW119" s="74">
        <f t="shared" si="75"/>
        <v>93.916892930136811</v>
      </c>
    </row>
    <row r="120" spans="17:49" x14ac:dyDescent="0.25">
      <c r="Q120">
        <v>113</v>
      </c>
      <c r="R120" s="73">
        <f t="shared" si="49"/>
        <v>20</v>
      </c>
      <c r="S120" s="71">
        <f t="shared" si="79"/>
        <v>11.3</v>
      </c>
      <c r="T120" s="71">
        <f t="shared" si="51"/>
        <v>12</v>
      </c>
      <c r="U120" s="74">
        <f t="shared" si="80"/>
        <v>18.833333333333332</v>
      </c>
      <c r="V120" s="73">
        <f>IF(Variable_Management!$B$20=3,2,IF((S120*R120/T120)&lt;((T120*(1-(T120/R120)))/(2*Lm*Fsw)),1,2))</f>
        <v>2</v>
      </c>
      <c r="W120" s="71">
        <f t="shared" si="81"/>
        <v>0.4</v>
      </c>
      <c r="X120" s="74">
        <f t="shared" si="82"/>
        <v>0.6</v>
      </c>
      <c r="Y120" s="73">
        <f t="shared" si="83"/>
        <v>2.4000000000000004</v>
      </c>
      <c r="Z120" s="71">
        <f t="shared" si="77"/>
        <v>20.033333333333331</v>
      </c>
      <c r="AA120" s="71">
        <f t="shared" si="78"/>
        <v>18.846072387753487</v>
      </c>
      <c r="AB120" s="71">
        <v>0</v>
      </c>
      <c r="AC120" s="71">
        <f t="shared" si="84"/>
        <v>0.4901407333333333</v>
      </c>
      <c r="AD120" s="74">
        <f t="shared" si="67"/>
        <v>0.4901407333333333</v>
      </c>
      <c r="AE120" s="73">
        <f t="shared" si="76"/>
        <v>7.5333333333333332</v>
      </c>
      <c r="AF120" s="71">
        <f t="shared" si="68"/>
        <v>11.9193027387418</v>
      </c>
      <c r="AG120" s="71">
        <f t="shared" si="85"/>
        <v>1.2502140444444445</v>
      </c>
      <c r="AH120" s="71">
        <f t="shared" si="86"/>
        <v>7.051127214170692</v>
      </c>
      <c r="AI120" s="74">
        <f t="shared" si="69"/>
        <v>8.3013412586151372</v>
      </c>
      <c r="AJ120" s="73">
        <f t="shared" si="70"/>
        <v>11.299999999999999</v>
      </c>
      <c r="AK120" s="71">
        <f t="shared" si="87"/>
        <v>14.59810489983774</v>
      </c>
      <c r="AL120" s="71">
        <f t="shared" si="88"/>
        <v>1.8753210666666664</v>
      </c>
      <c r="AM120" s="71">
        <f t="shared" si="95"/>
        <v>1.3728000000000002</v>
      </c>
      <c r="AN120" s="188">
        <f t="shared" si="89"/>
        <v>0.64106666666666667</v>
      </c>
      <c r="AO120" s="74">
        <f t="shared" si="72"/>
        <v>3.8891877333333333</v>
      </c>
      <c r="AP120" s="73">
        <f t="shared" si="90"/>
        <v>0.53276166666666669</v>
      </c>
      <c r="AQ120" s="206">
        <f t="shared" si="91"/>
        <v>0.4901407333333333</v>
      </c>
      <c r="AR120" s="206">
        <f t="shared" si="92"/>
        <v>0.7544881202841347</v>
      </c>
      <c r="AS120" s="71">
        <f t="shared" si="93"/>
        <v>0.19999999999999998</v>
      </c>
      <c r="AT120" s="74">
        <f t="shared" si="94"/>
        <v>3.96E-5</v>
      </c>
      <c r="AU120" s="73">
        <f t="shared" si="73"/>
        <v>14.658099845565939</v>
      </c>
      <c r="AV120" s="71">
        <f t="shared" si="74"/>
        <v>226</v>
      </c>
      <c r="AW120" s="74">
        <f t="shared" si="75"/>
        <v>93.909159984653627</v>
      </c>
    </row>
    <row r="121" spans="17:49" x14ac:dyDescent="0.25">
      <c r="Q121">
        <v>114</v>
      </c>
      <c r="R121" s="73">
        <f t="shared" si="49"/>
        <v>20</v>
      </c>
      <c r="S121" s="71">
        <f t="shared" si="79"/>
        <v>11.4</v>
      </c>
      <c r="T121" s="71">
        <f t="shared" si="51"/>
        <v>12</v>
      </c>
      <c r="U121" s="74">
        <f t="shared" si="80"/>
        <v>19</v>
      </c>
      <c r="V121" s="73">
        <f>IF(Variable_Management!$B$20=3,2,IF((S121*R121/T121)&lt;((T121*(1-(T121/R121)))/(2*Lm*Fsw)),1,2))</f>
        <v>2</v>
      </c>
      <c r="W121" s="71">
        <f t="shared" si="81"/>
        <v>0.4</v>
      </c>
      <c r="X121" s="74">
        <f t="shared" si="82"/>
        <v>0.6</v>
      </c>
      <c r="Y121" s="73">
        <f t="shared" si="83"/>
        <v>2.4000000000000004</v>
      </c>
      <c r="Z121" s="71">
        <f t="shared" si="77"/>
        <v>20.2</v>
      </c>
      <c r="AA121" s="71">
        <f t="shared" si="78"/>
        <v>19.012627382873731</v>
      </c>
      <c r="AB121" s="71">
        <v>0</v>
      </c>
      <c r="AC121" s="71">
        <f t="shared" si="84"/>
        <v>0.49884240000000002</v>
      </c>
      <c r="AD121" s="74">
        <f t="shared" si="67"/>
        <v>0.49884240000000002</v>
      </c>
      <c r="AE121" s="73">
        <f t="shared" si="76"/>
        <v>7.6000000000000005</v>
      </c>
      <c r="AF121" s="71">
        <f t="shared" si="68"/>
        <v>12.024641366793439</v>
      </c>
      <c r="AG121" s="71">
        <f t="shared" si="85"/>
        <v>1.2724096</v>
      </c>
      <c r="AH121" s="71">
        <f t="shared" si="86"/>
        <v>7.1135265700483101</v>
      </c>
      <c r="AI121" s="74">
        <f t="shared" si="69"/>
        <v>8.3859361700483106</v>
      </c>
      <c r="AJ121" s="73">
        <f t="shared" si="70"/>
        <v>11.4</v>
      </c>
      <c r="AK121" s="71">
        <f t="shared" si="87"/>
        <v>14.727117844303413</v>
      </c>
      <c r="AL121" s="71">
        <f t="shared" si="88"/>
        <v>1.9086144000000003</v>
      </c>
      <c r="AM121" s="71">
        <f t="shared" si="95"/>
        <v>1.3728000000000002</v>
      </c>
      <c r="AN121" s="188">
        <f t="shared" si="89"/>
        <v>0.64639999999999997</v>
      </c>
      <c r="AO121" s="74">
        <f t="shared" si="72"/>
        <v>3.9278144000000004</v>
      </c>
      <c r="AP121" s="73">
        <f t="shared" si="90"/>
        <v>0.54222000000000004</v>
      </c>
      <c r="AQ121" s="206">
        <f t="shared" si="91"/>
        <v>0.49884240000000002</v>
      </c>
      <c r="AR121" s="206">
        <f t="shared" si="92"/>
        <v>0.7544881202841347</v>
      </c>
      <c r="AS121" s="71">
        <f t="shared" si="93"/>
        <v>0.19999999999999998</v>
      </c>
      <c r="AT121" s="74">
        <f t="shared" si="94"/>
        <v>3.96E-5</v>
      </c>
      <c r="AU121" s="73">
        <f t="shared" si="73"/>
        <v>14.808183090332443</v>
      </c>
      <c r="AV121" s="71">
        <f t="shared" si="74"/>
        <v>228</v>
      </c>
      <c r="AW121" s="74">
        <f t="shared" si="75"/>
        <v>93.901283349736474</v>
      </c>
    </row>
    <row r="122" spans="17:49" x14ac:dyDescent="0.25">
      <c r="Q122">
        <v>115</v>
      </c>
      <c r="R122" s="73">
        <f t="shared" si="49"/>
        <v>20</v>
      </c>
      <c r="S122" s="71">
        <f t="shared" si="79"/>
        <v>11.5</v>
      </c>
      <c r="T122" s="71">
        <f t="shared" si="51"/>
        <v>12</v>
      </c>
      <c r="U122" s="74">
        <f t="shared" si="80"/>
        <v>19.166666666666668</v>
      </c>
      <c r="V122" s="73">
        <f>IF(Variable_Management!$B$20=3,2,IF((S122*R122/T122)&lt;((T122*(1-(T122/R122)))/(2*Lm*Fsw)),1,2))</f>
        <v>2</v>
      </c>
      <c r="W122" s="71">
        <f t="shared" si="81"/>
        <v>0.4</v>
      </c>
      <c r="X122" s="74">
        <f t="shared" si="82"/>
        <v>0.6</v>
      </c>
      <c r="Y122" s="73">
        <f t="shared" si="83"/>
        <v>2.4000000000000004</v>
      </c>
      <c r="Z122" s="71">
        <f t="shared" si="77"/>
        <v>20.366666666666667</v>
      </c>
      <c r="AA122" s="71">
        <f t="shared" si="78"/>
        <v>19.179184318190156</v>
      </c>
      <c r="AB122" s="71">
        <v>0</v>
      </c>
      <c r="AC122" s="71">
        <f t="shared" si="84"/>
        <v>0.50762073333333346</v>
      </c>
      <c r="AD122" s="74">
        <f t="shared" si="67"/>
        <v>0.50762073333333346</v>
      </c>
      <c r="AE122" s="73">
        <f t="shared" si="76"/>
        <v>7.6666666666666679</v>
      </c>
      <c r="AF122" s="71">
        <f t="shared" si="68"/>
        <v>12.129981221932887</v>
      </c>
      <c r="AG122" s="71">
        <f t="shared" si="85"/>
        <v>1.2948007111111113</v>
      </c>
      <c r="AH122" s="71">
        <f t="shared" si="86"/>
        <v>7.1759259259259274</v>
      </c>
      <c r="AI122" s="74">
        <f t="shared" si="69"/>
        <v>8.4707266370370391</v>
      </c>
      <c r="AJ122" s="73">
        <f t="shared" si="70"/>
        <v>11.5</v>
      </c>
      <c r="AK122" s="71">
        <f t="shared" si="87"/>
        <v>14.856132291638584</v>
      </c>
      <c r="AL122" s="71">
        <f t="shared" si="88"/>
        <v>1.9422010666666671</v>
      </c>
      <c r="AM122" s="71">
        <f t="shared" si="95"/>
        <v>1.3728000000000002</v>
      </c>
      <c r="AN122" s="188">
        <f t="shared" si="89"/>
        <v>0.65173333333333339</v>
      </c>
      <c r="AO122" s="74">
        <f t="shared" si="72"/>
        <v>3.9667344000000009</v>
      </c>
      <c r="AP122" s="73">
        <f t="shared" si="90"/>
        <v>0.55176166666666682</v>
      </c>
      <c r="AQ122" s="206">
        <f t="shared" si="91"/>
        <v>0.50762073333333346</v>
      </c>
      <c r="AR122" s="206">
        <f t="shared" si="92"/>
        <v>0.7544881202841347</v>
      </c>
      <c r="AS122" s="71">
        <f t="shared" si="93"/>
        <v>0.19999999999999998</v>
      </c>
      <c r="AT122" s="74">
        <f t="shared" si="94"/>
        <v>3.96E-5</v>
      </c>
      <c r="AU122" s="73">
        <f t="shared" si="73"/>
        <v>14.958991890654506</v>
      </c>
      <c r="AV122" s="71">
        <f t="shared" si="74"/>
        <v>230</v>
      </c>
      <c r="AW122" s="74">
        <f t="shared" si="75"/>
        <v>93.89326687899991</v>
      </c>
    </row>
    <row r="123" spans="17:49" x14ac:dyDescent="0.25">
      <c r="Q123">
        <v>116</v>
      </c>
      <c r="R123" s="73">
        <f t="shared" si="49"/>
        <v>20</v>
      </c>
      <c r="S123" s="71">
        <f t="shared" si="79"/>
        <v>11.600000000000001</v>
      </c>
      <c r="T123" s="71">
        <f t="shared" si="51"/>
        <v>12</v>
      </c>
      <c r="U123" s="74">
        <f t="shared" si="80"/>
        <v>19.333333333333336</v>
      </c>
      <c r="V123" s="73">
        <f>IF(Variable_Management!$B$20=3,2,IF((S123*R123/T123)&lt;((T123*(1-(T123/R123)))/(2*Lm*Fsw)),1,2))</f>
        <v>2</v>
      </c>
      <c r="W123" s="71">
        <f t="shared" si="81"/>
        <v>0.4</v>
      </c>
      <c r="X123" s="74">
        <f t="shared" si="82"/>
        <v>0.6</v>
      </c>
      <c r="Y123" s="73">
        <f t="shared" si="83"/>
        <v>2.4000000000000004</v>
      </c>
      <c r="Z123" s="71">
        <f t="shared" si="77"/>
        <v>20.533333333333335</v>
      </c>
      <c r="AA123" s="71">
        <f t="shared" si="78"/>
        <v>19.345743143590475</v>
      </c>
      <c r="AB123" s="71">
        <v>0</v>
      </c>
      <c r="AC123" s="71">
        <f t="shared" si="84"/>
        <v>0.51647573333333352</v>
      </c>
      <c r="AD123" s="74">
        <f t="shared" si="67"/>
        <v>0.51647573333333352</v>
      </c>
      <c r="AE123" s="73">
        <f t="shared" si="76"/>
        <v>7.7333333333333343</v>
      </c>
      <c r="AF123" s="71">
        <f t="shared" si="68"/>
        <v>12.235322272466352</v>
      </c>
      <c r="AG123" s="71">
        <f t="shared" si="85"/>
        <v>1.3173873777777783</v>
      </c>
      <c r="AH123" s="71">
        <f t="shared" si="86"/>
        <v>7.2383252818035446</v>
      </c>
      <c r="AI123" s="74">
        <f t="shared" si="69"/>
        <v>8.5557126595813227</v>
      </c>
      <c r="AJ123" s="73">
        <f t="shared" si="70"/>
        <v>11.600000000000001</v>
      </c>
      <c r="AK123" s="71">
        <f t="shared" si="87"/>
        <v>14.985148203026444</v>
      </c>
      <c r="AL123" s="71">
        <f t="shared" si="88"/>
        <v>1.9760810666666668</v>
      </c>
      <c r="AM123" s="71">
        <f t="shared" si="95"/>
        <v>1.3728000000000002</v>
      </c>
      <c r="AN123" s="188">
        <f t="shared" si="89"/>
        <v>0.65706666666666669</v>
      </c>
      <c r="AO123" s="74">
        <f t="shared" si="72"/>
        <v>4.0059477333333344</v>
      </c>
      <c r="AP123" s="73">
        <f t="shared" si="90"/>
        <v>0.56138666666666681</v>
      </c>
      <c r="AQ123" s="206">
        <f t="shared" si="91"/>
        <v>0.51647573333333352</v>
      </c>
      <c r="AR123" s="206">
        <f t="shared" si="92"/>
        <v>0.7544881202841347</v>
      </c>
      <c r="AS123" s="71">
        <f t="shared" si="93"/>
        <v>0.19999999999999998</v>
      </c>
      <c r="AT123" s="74">
        <f t="shared" si="94"/>
        <v>3.96E-5</v>
      </c>
      <c r="AU123" s="73">
        <f t="shared" si="73"/>
        <v>15.110526246532125</v>
      </c>
      <c r="AV123" s="71">
        <f t="shared" si="74"/>
        <v>232.00000000000003</v>
      </c>
      <c r="AW123" s="74">
        <f t="shared" si="75"/>
        <v>93.885114294379761</v>
      </c>
    </row>
    <row r="124" spans="17:49" x14ac:dyDescent="0.25">
      <c r="Q124">
        <v>117</v>
      </c>
      <c r="R124" s="73">
        <f t="shared" si="49"/>
        <v>20</v>
      </c>
      <c r="S124" s="71">
        <f t="shared" si="79"/>
        <v>11.700000000000001</v>
      </c>
      <c r="T124" s="71">
        <f t="shared" si="51"/>
        <v>12</v>
      </c>
      <c r="U124" s="74">
        <f t="shared" si="80"/>
        <v>19.500000000000004</v>
      </c>
      <c r="V124" s="73">
        <f>IF(Variable_Management!$B$20=3,2,IF((S124*R124/T124)&lt;((T124*(1-(T124/R124)))/(2*Lm*Fsw)),1,2))</f>
        <v>2</v>
      </c>
      <c r="W124" s="71">
        <f t="shared" si="81"/>
        <v>0.4</v>
      </c>
      <c r="X124" s="74">
        <f t="shared" si="82"/>
        <v>0.6</v>
      </c>
      <c r="Y124" s="73">
        <f t="shared" si="83"/>
        <v>2.4000000000000004</v>
      </c>
      <c r="Z124" s="71">
        <f t="shared" si="77"/>
        <v>20.700000000000003</v>
      </c>
      <c r="AA124" s="71">
        <f t="shared" si="78"/>
        <v>19.512303810672901</v>
      </c>
      <c r="AB124" s="71">
        <v>0</v>
      </c>
      <c r="AC124" s="71">
        <f t="shared" si="84"/>
        <v>0.52540740000000019</v>
      </c>
      <c r="AD124" s="74">
        <f t="shared" si="67"/>
        <v>0.52540740000000019</v>
      </c>
      <c r="AE124" s="73">
        <f t="shared" si="76"/>
        <v>7.8000000000000016</v>
      </c>
      <c r="AF124" s="71">
        <f t="shared" si="68"/>
        <v>12.340664487781849</v>
      </c>
      <c r="AG124" s="71">
        <f t="shared" si="85"/>
        <v>1.3401696000000005</v>
      </c>
      <c r="AH124" s="71">
        <f t="shared" si="86"/>
        <v>7.300724637681161</v>
      </c>
      <c r="AI124" s="74">
        <f t="shared" si="69"/>
        <v>8.6408942376811613</v>
      </c>
      <c r="AJ124" s="73">
        <f t="shared" si="70"/>
        <v>11.700000000000001</v>
      </c>
      <c r="AK124" s="71">
        <f t="shared" si="87"/>
        <v>15.114165540975131</v>
      </c>
      <c r="AL124" s="71">
        <f t="shared" si="88"/>
        <v>2.0102544000000009</v>
      </c>
      <c r="AM124" s="71">
        <f t="shared" si="95"/>
        <v>1.3728000000000002</v>
      </c>
      <c r="AN124" s="188">
        <f t="shared" si="89"/>
        <v>0.6624000000000001</v>
      </c>
      <c r="AO124" s="74">
        <f t="shared" si="72"/>
        <v>4.0454544000000014</v>
      </c>
      <c r="AP124" s="73">
        <f t="shared" si="90"/>
        <v>0.57109500000000024</v>
      </c>
      <c r="AQ124" s="206">
        <f t="shared" si="91"/>
        <v>0.52540740000000019</v>
      </c>
      <c r="AR124" s="206">
        <f t="shared" si="92"/>
        <v>0.7544881202841347</v>
      </c>
      <c r="AS124" s="71">
        <f t="shared" si="93"/>
        <v>0.19999999999999998</v>
      </c>
      <c r="AT124" s="74">
        <f t="shared" si="94"/>
        <v>3.96E-5</v>
      </c>
      <c r="AU124" s="73">
        <f t="shared" si="73"/>
        <v>15.262786157965298</v>
      </c>
      <c r="AV124" s="71">
        <f t="shared" si="74"/>
        <v>234.00000000000003</v>
      </c>
      <c r="AW124" s="74">
        <f t="shared" si="75"/>
        <v>93.876829191705809</v>
      </c>
    </row>
    <row r="125" spans="17:49" x14ac:dyDescent="0.25">
      <c r="Q125">
        <v>118</v>
      </c>
      <c r="R125" s="73">
        <f t="shared" si="49"/>
        <v>20</v>
      </c>
      <c r="S125" s="71">
        <f t="shared" si="79"/>
        <v>11.8</v>
      </c>
      <c r="T125" s="71">
        <f t="shared" si="51"/>
        <v>12</v>
      </c>
      <c r="U125" s="74">
        <f t="shared" si="80"/>
        <v>19.666666666666668</v>
      </c>
      <c r="V125" s="73">
        <f>IF(Variable_Management!$B$20=3,2,IF((S125*R125/T125)&lt;((T125*(1-(T125/R125)))/(2*Lm*Fsw)),1,2))</f>
        <v>2</v>
      </c>
      <c r="W125" s="71">
        <f t="shared" si="81"/>
        <v>0.4</v>
      </c>
      <c r="X125" s="74">
        <f t="shared" si="82"/>
        <v>0.6</v>
      </c>
      <c r="Y125" s="73">
        <f t="shared" si="83"/>
        <v>2.4000000000000004</v>
      </c>
      <c r="Z125" s="71">
        <f t="shared" si="77"/>
        <v>20.866666666666667</v>
      </c>
      <c r="AA125" s="71">
        <f t="shared" si="78"/>
        <v>19.678866272673787</v>
      </c>
      <c r="AB125" s="71">
        <v>0</v>
      </c>
      <c r="AC125" s="71">
        <f t="shared" si="84"/>
        <v>0.53441573333333348</v>
      </c>
      <c r="AD125" s="74">
        <f t="shared" si="67"/>
        <v>0.53441573333333348</v>
      </c>
      <c r="AE125" s="73">
        <f t="shared" si="76"/>
        <v>7.8666666666666671</v>
      </c>
      <c r="AF125" s="71">
        <f t="shared" si="68"/>
        <v>12.446007838303458</v>
      </c>
      <c r="AG125" s="71">
        <f t="shared" si="85"/>
        <v>1.3631473777777778</v>
      </c>
      <c r="AH125" s="71">
        <f t="shared" si="86"/>
        <v>7.3631239935587773</v>
      </c>
      <c r="AI125" s="74">
        <f t="shared" si="69"/>
        <v>8.7262713713365549</v>
      </c>
      <c r="AJ125" s="73">
        <f t="shared" si="70"/>
        <v>11.8</v>
      </c>
      <c r="AK125" s="71">
        <f t="shared" si="87"/>
        <v>15.243184269261679</v>
      </c>
      <c r="AL125" s="71">
        <f t="shared" si="88"/>
        <v>2.0447210666666673</v>
      </c>
      <c r="AM125" s="71">
        <f t="shared" si="95"/>
        <v>1.3728000000000002</v>
      </c>
      <c r="AN125" s="188">
        <f t="shared" si="89"/>
        <v>0.6677333333333334</v>
      </c>
      <c r="AO125" s="74">
        <f t="shared" si="72"/>
        <v>4.0852544000000011</v>
      </c>
      <c r="AP125" s="73">
        <f t="shared" si="90"/>
        <v>0.58088666666666688</v>
      </c>
      <c r="AQ125" s="206">
        <f t="shared" si="91"/>
        <v>0.53441573333333348</v>
      </c>
      <c r="AR125" s="206">
        <f t="shared" si="92"/>
        <v>0.7544881202841347</v>
      </c>
      <c r="AS125" s="71">
        <f t="shared" si="93"/>
        <v>0.19999999999999998</v>
      </c>
      <c r="AT125" s="74">
        <f t="shared" si="94"/>
        <v>3.96E-5</v>
      </c>
      <c r="AU125" s="73">
        <f t="shared" si="73"/>
        <v>15.415771624954022</v>
      </c>
      <c r="AV125" s="71">
        <f t="shared" si="74"/>
        <v>236</v>
      </c>
      <c r="AW125" s="74">
        <f t="shared" si="75"/>
        <v>93.868415045993885</v>
      </c>
    </row>
    <row r="126" spans="17:49" x14ac:dyDescent="0.25">
      <c r="Q126">
        <v>119</v>
      </c>
      <c r="R126" s="73">
        <f t="shared" si="49"/>
        <v>20</v>
      </c>
      <c r="S126" s="71">
        <f t="shared" si="79"/>
        <v>11.9</v>
      </c>
      <c r="T126" s="71">
        <f t="shared" si="51"/>
        <v>12</v>
      </c>
      <c r="U126" s="74">
        <f t="shared" si="80"/>
        <v>19.833333333333332</v>
      </c>
      <c r="V126" s="73">
        <f>IF(Variable_Management!$B$20=3,2,IF((S126*R126/T126)&lt;((T126*(1-(T126/R126)))/(2*Lm*Fsw)),1,2))</f>
        <v>2</v>
      </c>
      <c r="W126" s="71">
        <f t="shared" si="81"/>
        <v>0.4</v>
      </c>
      <c r="X126" s="74">
        <f t="shared" si="82"/>
        <v>0.6</v>
      </c>
      <c r="Y126" s="73">
        <f t="shared" si="83"/>
        <v>2.4000000000000004</v>
      </c>
      <c r="Z126" s="71">
        <f t="shared" si="77"/>
        <v>21.033333333333331</v>
      </c>
      <c r="AA126" s="71">
        <f t="shared" si="78"/>
        <v>19.84543048439895</v>
      </c>
      <c r="AB126" s="71">
        <v>0</v>
      </c>
      <c r="AC126" s="71">
        <f t="shared" si="84"/>
        <v>0.54350073333333337</v>
      </c>
      <c r="AD126" s="74">
        <f t="shared" si="67"/>
        <v>0.54350073333333337</v>
      </c>
      <c r="AE126" s="73">
        <f t="shared" si="76"/>
        <v>7.9333333333333336</v>
      </c>
      <c r="AF126" s="71">
        <f t="shared" si="68"/>
        <v>12.551352295447867</v>
      </c>
      <c r="AG126" s="71">
        <f t="shared" si="85"/>
        <v>1.3863207111111111</v>
      </c>
      <c r="AH126" s="71">
        <f t="shared" si="86"/>
        <v>7.4255233494363928</v>
      </c>
      <c r="AI126" s="74">
        <f t="shared" si="69"/>
        <v>8.8118440605475037</v>
      </c>
      <c r="AJ126" s="73">
        <f t="shared" si="70"/>
        <v>11.899999999999999</v>
      </c>
      <c r="AK126" s="71">
        <f t="shared" si="87"/>
        <v>15.372204352878821</v>
      </c>
      <c r="AL126" s="71">
        <f t="shared" si="88"/>
        <v>2.0794810666666659</v>
      </c>
      <c r="AM126" s="71">
        <f t="shared" si="95"/>
        <v>1.3728000000000002</v>
      </c>
      <c r="AN126" s="188">
        <f t="shared" si="89"/>
        <v>0.67306666666666659</v>
      </c>
      <c r="AO126" s="74">
        <f t="shared" si="72"/>
        <v>4.1253477333333324</v>
      </c>
      <c r="AP126" s="73">
        <f t="shared" si="90"/>
        <v>0.59076166666666674</v>
      </c>
      <c r="AQ126" s="206">
        <f t="shared" si="91"/>
        <v>0.54350073333333337</v>
      </c>
      <c r="AR126" s="206">
        <f t="shared" si="92"/>
        <v>0.7544881202841347</v>
      </c>
      <c r="AS126" s="71">
        <f t="shared" si="93"/>
        <v>0.19999999999999998</v>
      </c>
      <c r="AT126" s="74">
        <f t="shared" si="94"/>
        <v>3.96E-5</v>
      </c>
      <c r="AU126" s="73">
        <f t="shared" si="73"/>
        <v>15.569482647498303</v>
      </c>
      <c r="AV126" s="71">
        <f t="shared" si="74"/>
        <v>238</v>
      </c>
      <c r="AW126" s="74">
        <f t="shared" si="75"/>
        <v>93.859875216473768</v>
      </c>
    </row>
    <row r="127" spans="17:49" x14ac:dyDescent="0.25">
      <c r="Q127">
        <v>120</v>
      </c>
      <c r="R127" s="73">
        <f t="shared" si="49"/>
        <v>20</v>
      </c>
      <c r="S127" s="71">
        <f t="shared" si="79"/>
        <v>12</v>
      </c>
      <c r="T127" s="71">
        <f t="shared" si="51"/>
        <v>12</v>
      </c>
      <c r="U127" s="74">
        <f t="shared" si="80"/>
        <v>20</v>
      </c>
      <c r="V127" s="73">
        <f>IF(Variable_Management!$B$20=3,2,IF((S127*R127/T127)&lt;((T127*(1-(T127/R127)))/(2*Lm*Fsw)),1,2))</f>
        <v>2</v>
      </c>
      <c r="W127" s="71">
        <f t="shared" si="81"/>
        <v>0.4</v>
      </c>
      <c r="X127" s="74">
        <f t="shared" si="82"/>
        <v>0.6</v>
      </c>
      <c r="Y127" s="73">
        <f t="shared" si="83"/>
        <v>2.4000000000000004</v>
      </c>
      <c r="Z127" s="71">
        <f t="shared" si="77"/>
        <v>21.2</v>
      </c>
      <c r="AA127" s="71">
        <f t="shared" si="78"/>
        <v>20.011996402158381</v>
      </c>
      <c r="AB127" s="71">
        <v>0</v>
      </c>
      <c r="AC127" s="71">
        <f t="shared" si="84"/>
        <v>0.5526624</v>
      </c>
      <c r="AD127" s="74">
        <f t="shared" si="67"/>
        <v>0.5526624</v>
      </c>
      <c r="AE127" s="73">
        <f t="shared" si="76"/>
        <v>8</v>
      </c>
      <c r="AF127" s="71">
        <f t="shared" si="68"/>
        <v>12.656697831583086</v>
      </c>
      <c r="AG127" s="71">
        <f t="shared" si="85"/>
        <v>1.4096896000000001</v>
      </c>
      <c r="AH127" s="71">
        <f t="shared" si="86"/>
        <v>7.4879227053140101</v>
      </c>
      <c r="AI127" s="74">
        <f t="shared" si="69"/>
        <v>8.8976123053140093</v>
      </c>
      <c r="AJ127" s="73">
        <f t="shared" si="70"/>
        <v>12</v>
      </c>
      <c r="AK127" s="71">
        <f t="shared" si="87"/>
        <v>15.501225757984431</v>
      </c>
      <c r="AL127" s="71">
        <f t="shared" si="88"/>
        <v>2.1145344000000001</v>
      </c>
      <c r="AM127" s="71">
        <f t="shared" si="95"/>
        <v>1.3728000000000002</v>
      </c>
      <c r="AN127" s="188">
        <f t="shared" si="89"/>
        <v>0.6784</v>
      </c>
      <c r="AO127" s="74">
        <f t="shared" si="72"/>
        <v>4.1657344000000007</v>
      </c>
      <c r="AP127" s="73">
        <f t="shared" si="90"/>
        <v>0.60072000000000003</v>
      </c>
      <c r="AQ127" s="206">
        <f t="shared" si="91"/>
        <v>0.5526624</v>
      </c>
      <c r="AR127" s="206">
        <f t="shared" si="92"/>
        <v>0.7544881202841347</v>
      </c>
      <c r="AS127" s="71">
        <f t="shared" si="93"/>
        <v>0.19999999999999998</v>
      </c>
      <c r="AT127" s="74">
        <f t="shared" si="94"/>
        <v>3.96E-5</v>
      </c>
      <c r="AU127" s="73">
        <f t="shared" si="73"/>
        <v>15.723919225598143</v>
      </c>
      <c r="AV127" s="71">
        <f t="shared" si="74"/>
        <v>240</v>
      </c>
      <c r="AW127" s="74">
        <f t="shared" si="75"/>
        <v>93.851212951367842</v>
      </c>
    </row>
    <row r="128" spans="17:49" x14ac:dyDescent="0.25">
      <c r="Q128">
        <v>121</v>
      </c>
      <c r="R128" s="73">
        <f t="shared" si="49"/>
        <v>20</v>
      </c>
      <c r="S128" s="71">
        <f t="shared" si="79"/>
        <v>12.100000000000001</v>
      </c>
      <c r="T128" s="71">
        <f t="shared" si="51"/>
        <v>12</v>
      </c>
      <c r="U128" s="74">
        <f t="shared" si="80"/>
        <v>20.166666666666668</v>
      </c>
      <c r="V128" s="73">
        <f>IF(Variable_Management!$B$20=3,2,IF((S128*R128/T128)&lt;((T128*(1-(T128/R128)))/(2*Lm*Fsw)),1,2))</f>
        <v>2</v>
      </c>
      <c r="W128" s="71">
        <f t="shared" si="81"/>
        <v>0.4</v>
      </c>
      <c r="X128" s="74">
        <f t="shared" si="82"/>
        <v>0.6</v>
      </c>
      <c r="Y128" s="73">
        <f t="shared" si="83"/>
        <v>2.4000000000000004</v>
      </c>
      <c r="Z128" s="71">
        <f t="shared" si="77"/>
        <v>21.366666666666667</v>
      </c>
      <c r="AA128" s="71">
        <f t="shared" si="78"/>
        <v>20.178563983704205</v>
      </c>
      <c r="AB128" s="71">
        <v>0</v>
      </c>
      <c r="AC128" s="71">
        <f t="shared" si="84"/>
        <v>0.56190073333333346</v>
      </c>
      <c r="AD128" s="74">
        <f t="shared" si="67"/>
        <v>0.56190073333333346</v>
      </c>
      <c r="AE128" s="73">
        <f t="shared" si="76"/>
        <v>8.0666666666666682</v>
      </c>
      <c r="AF128" s="71">
        <f t="shared" si="68"/>
        <v>12.762044419989213</v>
      </c>
      <c r="AG128" s="71">
        <f t="shared" si="85"/>
        <v>1.4332540444444448</v>
      </c>
      <c r="AH128" s="71">
        <f t="shared" si="86"/>
        <v>7.5503220611916273</v>
      </c>
      <c r="AI128" s="74">
        <f t="shared" si="69"/>
        <v>8.9835761056360717</v>
      </c>
      <c r="AJ128" s="73">
        <f t="shared" si="70"/>
        <v>12.1</v>
      </c>
      <c r="AK128" s="71">
        <f t="shared" si="87"/>
        <v>15.630248451853435</v>
      </c>
      <c r="AL128" s="71">
        <f t="shared" si="88"/>
        <v>2.149881066666667</v>
      </c>
      <c r="AM128" s="71">
        <f t="shared" si="95"/>
        <v>1.3728000000000002</v>
      </c>
      <c r="AN128" s="188">
        <f t="shared" si="89"/>
        <v>0.68373333333333342</v>
      </c>
      <c r="AO128" s="74">
        <f t="shared" si="72"/>
        <v>4.2064144000000008</v>
      </c>
      <c r="AP128" s="73">
        <f t="shared" si="90"/>
        <v>0.61076166666666676</v>
      </c>
      <c r="AQ128" s="206">
        <f t="shared" si="91"/>
        <v>0.56190073333333346</v>
      </c>
      <c r="AR128" s="206">
        <f t="shared" si="92"/>
        <v>0.7544881202841347</v>
      </c>
      <c r="AS128" s="71">
        <f t="shared" si="93"/>
        <v>0.19999999999999998</v>
      </c>
      <c r="AT128" s="74">
        <f t="shared" si="94"/>
        <v>3.96E-5</v>
      </c>
      <c r="AU128" s="73">
        <f t="shared" si="73"/>
        <v>15.87908135925354</v>
      </c>
      <c r="AV128" s="71">
        <f t="shared" si="74"/>
        <v>242.00000000000003</v>
      </c>
      <c r="AW128" s="74">
        <f t="shared" si="75"/>
        <v>93.84243139243533</v>
      </c>
    </row>
    <row r="129" spans="17:49" x14ac:dyDescent="0.25">
      <c r="Q129">
        <v>122</v>
      </c>
      <c r="R129" s="73">
        <f t="shared" si="49"/>
        <v>20</v>
      </c>
      <c r="S129" s="71">
        <f t="shared" si="79"/>
        <v>12.200000000000001</v>
      </c>
      <c r="T129" s="71">
        <f t="shared" si="51"/>
        <v>12</v>
      </c>
      <c r="U129" s="74">
        <f t="shared" si="80"/>
        <v>20.333333333333336</v>
      </c>
      <c r="V129" s="73">
        <f>IF(Variable_Management!$B$20=3,2,IF((S129*R129/T129)&lt;((T129*(1-(T129/R129)))/(2*Lm*Fsw)),1,2))</f>
        <v>2</v>
      </c>
      <c r="W129" s="71">
        <f t="shared" si="81"/>
        <v>0.4</v>
      </c>
      <c r="X129" s="74">
        <f t="shared" si="82"/>
        <v>0.6</v>
      </c>
      <c r="Y129" s="73">
        <f t="shared" si="83"/>
        <v>2.4000000000000004</v>
      </c>
      <c r="Z129" s="71">
        <f t="shared" si="77"/>
        <v>21.533333333333335</v>
      </c>
      <c r="AA129" s="71">
        <f t="shared" si="78"/>
        <v>20.345133188171676</v>
      </c>
      <c r="AB129" s="71">
        <v>0</v>
      </c>
      <c r="AC129" s="71">
        <f t="shared" si="84"/>
        <v>0.57121573333333353</v>
      </c>
      <c r="AD129" s="74">
        <f t="shared" si="67"/>
        <v>0.57121573333333353</v>
      </c>
      <c r="AE129" s="73">
        <f t="shared" si="76"/>
        <v>8.1333333333333346</v>
      </c>
      <c r="AF129" s="71">
        <f t="shared" si="68"/>
        <v>12.867392034821114</v>
      </c>
      <c r="AG129" s="71">
        <f t="shared" si="85"/>
        <v>1.457014044444445</v>
      </c>
      <c r="AH129" s="71">
        <f t="shared" si="86"/>
        <v>7.6127214170692454</v>
      </c>
      <c r="AI129" s="74">
        <f t="shared" si="69"/>
        <v>9.0697354615136909</v>
      </c>
      <c r="AJ129" s="73">
        <f t="shared" si="70"/>
        <v>12.200000000000001</v>
      </c>
      <c r="AK129" s="71">
        <f t="shared" si="87"/>
        <v>15.75927240283214</v>
      </c>
      <c r="AL129" s="71">
        <f t="shared" si="88"/>
        <v>2.1855210666666669</v>
      </c>
      <c r="AM129" s="71">
        <f t="shared" si="95"/>
        <v>1.3728000000000002</v>
      </c>
      <c r="AN129" s="188">
        <f t="shared" si="89"/>
        <v>0.68906666666666672</v>
      </c>
      <c r="AO129" s="74">
        <f t="shared" si="72"/>
        <v>4.2473877333333334</v>
      </c>
      <c r="AP129" s="73">
        <f t="shared" si="90"/>
        <v>0.62088666666666692</v>
      </c>
      <c r="AQ129" s="206">
        <f t="shared" si="91"/>
        <v>0.57121573333333353</v>
      </c>
      <c r="AR129" s="206">
        <f t="shared" si="92"/>
        <v>0.7544881202841347</v>
      </c>
      <c r="AS129" s="71">
        <f t="shared" si="93"/>
        <v>0.19999999999999998</v>
      </c>
      <c r="AT129" s="74">
        <f t="shared" si="94"/>
        <v>3.96E-5</v>
      </c>
      <c r="AU129" s="73">
        <f t="shared" si="73"/>
        <v>16.034969048464493</v>
      </c>
      <c r="AV129" s="71">
        <f t="shared" si="74"/>
        <v>244.00000000000003</v>
      </c>
      <c r="AW129" s="74">
        <f t="shared" si="75"/>
        <v>93.833533579294894</v>
      </c>
    </row>
    <row r="130" spans="17:49" x14ac:dyDescent="0.25">
      <c r="Q130">
        <v>123</v>
      </c>
      <c r="R130" s="73">
        <f t="shared" si="49"/>
        <v>20</v>
      </c>
      <c r="S130" s="71">
        <f t="shared" si="79"/>
        <v>12.3</v>
      </c>
      <c r="T130" s="71">
        <f t="shared" si="51"/>
        <v>12</v>
      </c>
      <c r="U130" s="74">
        <f t="shared" si="80"/>
        <v>20.5</v>
      </c>
      <c r="V130" s="73">
        <f>IF(Variable_Management!$B$20=3,2,IF((S130*R130/T130)&lt;((T130*(1-(T130/R130)))/(2*Lm*Fsw)),1,2))</f>
        <v>2</v>
      </c>
      <c r="W130" s="71">
        <f t="shared" si="81"/>
        <v>0.4</v>
      </c>
      <c r="X130" s="74">
        <f t="shared" si="82"/>
        <v>0.6</v>
      </c>
      <c r="Y130" s="73">
        <f t="shared" si="83"/>
        <v>2.4000000000000004</v>
      </c>
      <c r="Z130" s="71">
        <f t="shared" si="77"/>
        <v>21.7</v>
      </c>
      <c r="AA130" s="71">
        <f t="shared" si="78"/>
        <v>20.511703976023057</v>
      </c>
      <c r="AB130" s="71">
        <v>0</v>
      </c>
      <c r="AC130" s="71">
        <f t="shared" si="84"/>
        <v>0.58060740000000011</v>
      </c>
      <c r="AD130" s="74">
        <f t="shared" si="67"/>
        <v>0.58060740000000011</v>
      </c>
      <c r="AE130" s="73">
        <f t="shared" si="76"/>
        <v>8.2000000000000011</v>
      </c>
      <c r="AF130" s="71">
        <f t="shared" si="68"/>
        <v>12.972740651072927</v>
      </c>
      <c r="AG130" s="71">
        <f t="shared" si="85"/>
        <v>1.4809696000000003</v>
      </c>
      <c r="AH130" s="71">
        <f t="shared" si="86"/>
        <v>7.6751207729468609</v>
      </c>
      <c r="AI130" s="74">
        <f t="shared" si="69"/>
        <v>9.1560903729468617</v>
      </c>
      <c r="AJ130" s="73">
        <f t="shared" si="70"/>
        <v>12.299999999999999</v>
      </c>
      <c r="AK130" s="71">
        <f t="shared" si="87"/>
        <v>15.888297580294749</v>
      </c>
      <c r="AL130" s="71">
        <f t="shared" si="88"/>
        <v>2.2214543999999998</v>
      </c>
      <c r="AM130" s="71">
        <f t="shared" si="95"/>
        <v>1.3728000000000002</v>
      </c>
      <c r="AN130" s="188">
        <f t="shared" si="89"/>
        <v>0.69440000000000002</v>
      </c>
      <c r="AO130" s="74">
        <f t="shared" si="72"/>
        <v>4.2886544000000004</v>
      </c>
      <c r="AP130" s="73">
        <f t="shared" si="90"/>
        <v>0.63109500000000007</v>
      </c>
      <c r="AQ130" s="206">
        <f t="shared" si="91"/>
        <v>0.58060740000000011</v>
      </c>
      <c r="AR130" s="206">
        <f t="shared" si="92"/>
        <v>0.7544881202841347</v>
      </c>
      <c r="AS130" s="71">
        <f t="shared" si="93"/>
        <v>0.19999999999999998</v>
      </c>
      <c r="AT130" s="74">
        <f t="shared" si="94"/>
        <v>3.96E-5</v>
      </c>
      <c r="AU130" s="73">
        <f t="shared" si="73"/>
        <v>16.191582293230994</v>
      </c>
      <c r="AV130" s="71">
        <f t="shared" si="74"/>
        <v>246</v>
      </c>
      <c r="AW130" s="74">
        <f t="shared" si="75"/>
        <v>93.824522453538336</v>
      </c>
    </row>
    <row r="131" spans="17:49" x14ac:dyDescent="0.25">
      <c r="Q131">
        <v>124</v>
      </c>
      <c r="R131" s="73">
        <f t="shared" si="49"/>
        <v>20</v>
      </c>
      <c r="S131" s="71">
        <f t="shared" si="79"/>
        <v>12.4</v>
      </c>
      <c r="T131" s="71">
        <f t="shared" si="51"/>
        <v>12</v>
      </c>
      <c r="U131" s="74">
        <f t="shared" si="80"/>
        <v>20.666666666666668</v>
      </c>
      <c r="V131" s="73">
        <f>IF(Variable_Management!$B$20=3,2,IF((S131*R131/T131)&lt;((T131*(1-(T131/R131)))/(2*Lm*Fsw)),1,2))</f>
        <v>2</v>
      </c>
      <c r="W131" s="71">
        <f t="shared" si="81"/>
        <v>0.4</v>
      </c>
      <c r="X131" s="74">
        <f t="shared" si="82"/>
        <v>0.6</v>
      </c>
      <c r="Y131" s="73">
        <f t="shared" si="83"/>
        <v>2.4000000000000004</v>
      </c>
      <c r="Z131" s="71">
        <f t="shared" si="77"/>
        <v>21.866666666666667</v>
      </c>
      <c r="AA131" s="71">
        <f t="shared" si="78"/>
        <v>20.67827630899421</v>
      </c>
      <c r="AB131" s="71">
        <v>0</v>
      </c>
      <c r="AC131" s="71">
        <f t="shared" si="84"/>
        <v>0.59007573333333341</v>
      </c>
      <c r="AD131" s="74">
        <f t="shared" si="67"/>
        <v>0.59007573333333341</v>
      </c>
      <c r="AE131" s="73">
        <f t="shared" si="76"/>
        <v>8.2666666666666675</v>
      </c>
      <c r="AF131" s="71">
        <f t="shared" si="68"/>
        <v>13.078090244544287</v>
      </c>
      <c r="AG131" s="71">
        <f t="shared" si="85"/>
        <v>1.5051207111111111</v>
      </c>
      <c r="AH131" s="71">
        <f t="shared" si="86"/>
        <v>7.7375201288244781</v>
      </c>
      <c r="AI131" s="74">
        <f t="shared" si="69"/>
        <v>9.2426408399355893</v>
      </c>
      <c r="AJ131" s="73">
        <f t="shared" si="70"/>
        <v>12.4</v>
      </c>
      <c r="AK131" s="71">
        <f t="shared" si="87"/>
        <v>16.017323954601988</v>
      </c>
      <c r="AL131" s="71">
        <f t="shared" si="88"/>
        <v>2.2576810666666667</v>
      </c>
      <c r="AM131" s="71">
        <f t="shared" si="95"/>
        <v>1.3728000000000002</v>
      </c>
      <c r="AN131" s="188">
        <f t="shared" si="89"/>
        <v>0.69973333333333332</v>
      </c>
      <c r="AO131" s="74">
        <f t="shared" si="72"/>
        <v>4.3302144</v>
      </c>
      <c r="AP131" s="73">
        <f t="shared" si="90"/>
        <v>0.64138666666666688</v>
      </c>
      <c r="AQ131" s="206">
        <f t="shared" si="91"/>
        <v>0.59007573333333341</v>
      </c>
      <c r="AR131" s="206">
        <f t="shared" si="92"/>
        <v>0.7544881202841347</v>
      </c>
      <c r="AS131" s="71">
        <f t="shared" si="93"/>
        <v>0.19999999999999998</v>
      </c>
      <c r="AT131" s="74">
        <f t="shared" si="94"/>
        <v>3.96E-5</v>
      </c>
      <c r="AU131" s="73">
        <f t="shared" si="73"/>
        <v>16.348921093553056</v>
      </c>
      <c r="AV131" s="71">
        <f t="shared" si="74"/>
        <v>248</v>
      </c>
      <c r="AW131" s="74">
        <f t="shared" si="75"/>
        <v>93.815400862647309</v>
      </c>
    </row>
    <row r="132" spans="17:49" x14ac:dyDescent="0.25">
      <c r="Q132">
        <v>125</v>
      </c>
      <c r="R132" s="73">
        <f t="shared" si="49"/>
        <v>20</v>
      </c>
      <c r="S132" s="71">
        <f t="shared" si="79"/>
        <v>12.5</v>
      </c>
      <c r="T132" s="71">
        <f t="shared" si="51"/>
        <v>12</v>
      </c>
      <c r="U132" s="74">
        <f t="shared" si="80"/>
        <v>20.833333333333332</v>
      </c>
      <c r="V132" s="73">
        <f>IF(Variable_Management!$B$20=3,2,IF((S132*R132/T132)&lt;((T132*(1-(T132/R132)))/(2*Lm*Fsw)),1,2))</f>
        <v>2</v>
      </c>
      <c r="W132" s="71">
        <f t="shared" si="81"/>
        <v>0.4</v>
      </c>
      <c r="X132" s="74">
        <f t="shared" si="82"/>
        <v>0.6</v>
      </c>
      <c r="Y132" s="73">
        <f t="shared" si="83"/>
        <v>2.4000000000000004</v>
      </c>
      <c r="Z132" s="71">
        <f t="shared" si="77"/>
        <v>22.033333333333331</v>
      </c>
      <c r="AA132" s="71">
        <f t="shared" si="78"/>
        <v>20.844850150043722</v>
      </c>
      <c r="AB132" s="71">
        <v>0</v>
      </c>
      <c r="AC132" s="71">
        <f t="shared" si="84"/>
        <v>0.59962073333333332</v>
      </c>
      <c r="AD132" s="74">
        <f t="shared" si="67"/>
        <v>0.59962073333333332</v>
      </c>
      <c r="AE132" s="73">
        <f t="shared" si="76"/>
        <v>8.3333333333333339</v>
      </c>
      <c r="AF132" s="71">
        <f t="shared" si="68"/>
        <v>13.183440791808149</v>
      </c>
      <c r="AG132" s="71">
        <f t="shared" si="85"/>
        <v>1.5294673777777774</v>
      </c>
      <c r="AH132" s="71">
        <f t="shared" si="86"/>
        <v>7.7999194847020936</v>
      </c>
      <c r="AI132" s="74">
        <f t="shared" si="69"/>
        <v>9.3293868624798719</v>
      </c>
      <c r="AJ132" s="73">
        <f t="shared" si="70"/>
        <v>12.499999999999998</v>
      </c>
      <c r="AK132" s="71">
        <f t="shared" si="87"/>
        <v>16.146351497061701</v>
      </c>
      <c r="AL132" s="71">
        <f t="shared" si="88"/>
        <v>2.2942010666666666</v>
      </c>
      <c r="AM132" s="71">
        <f t="shared" si="95"/>
        <v>1.3728000000000002</v>
      </c>
      <c r="AN132" s="188">
        <f t="shared" si="89"/>
        <v>0.70506666666666662</v>
      </c>
      <c r="AO132" s="74">
        <f t="shared" si="72"/>
        <v>4.3720677333333331</v>
      </c>
      <c r="AP132" s="73">
        <f t="shared" si="90"/>
        <v>0.65176166666666668</v>
      </c>
      <c r="AQ132" s="206">
        <f t="shared" si="91"/>
        <v>0.59962073333333332</v>
      </c>
      <c r="AR132" s="206">
        <f t="shared" si="92"/>
        <v>0.7544881202841347</v>
      </c>
      <c r="AS132" s="71">
        <f t="shared" si="93"/>
        <v>0.19999999999999998</v>
      </c>
      <c r="AT132" s="74">
        <f t="shared" si="94"/>
        <v>3.96E-5</v>
      </c>
      <c r="AU132" s="73">
        <f t="shared" si="73"/>
        <v>16.506985449430672</v>
      </c>
      <c r="AV132" s="71">
        <f t="shared" si="74"/>
        <v>250</v>
      </c>
      <c r="AW132" s="74">
        <f t="shared" si="75"/>
        <v>93.806171563723296</v>
      </c>
    </row>
    <row r="133" spans="17:49" x14ac:dyDescent="0.25">
      <c r="Q133">
        <v>126</v>
      </c>
      <c r="R133" s="73">
        <f t="shared" si="49"/>
        <v>20</v>
      </c>
      <c r="S133" s="71">
        <f t="shared" si="79"/>
        <v>12.600000000000001</v>
      </c>
      <c r="T133" s="71">
        <f t="shared" si="51"/>
        <v>12</v>
      </c>
      <c r="U133" s="74">
        <f t="shared" si="80"/>
        <v>21.000000000000004</v>
      </c>
      <c r="V133" s="73">
        <f>IF(Variable_Management!$B$20=3,2,IF((S133*R133/T133)&lt;((T133*(1-(T133/R133)))/(2*Lm*Fsw)),1,2))</f>
        <v>2</v>
      </c>
      <c r="W133" s="71">
        <f t="shared" si="81"/>
        <v>0.4</v>
      </c>
      <c r="X133" s="74">
        <f t="shared" si="82"/>
        <v>0.6</v>
      </c>
      <c r="Y133" s="73">
        <f t="shared" si="83"/>
        <v>2.4000000000000004</v>
      </c>
      <c r="Z133" s="71">
        <f t="shared" si="77"/>
        <v>22.200000000000003</v>
      </c>
      <c r="AA133" s="71">
        <f t="shared" si="78"/>
        <v>21.011425463304487</v>
      </c>
      <c r="AB133" s="71">
        <v>0</v>
      </c>
      <c r="AC133" s="71">
        <f t="shared" si="84"/>
        <v>0.60924240000000018</v>
      </c>
      <c r="AD133" s="74">
        <f t="shared" si="67"/>
        <v>0.60924240000000018</v>
      </c>
      <c r="AE133" s="73">
        <f t="shared" si="76"/>
        <v>8.4000000000000021</v>
      </c>
      <c r="AF133" s="71">
        <f t="shared" si="68"/>
        <v>13.288792270180164</v>
      </c>
      <c r="AG133" s="71">
        <f t="shared" si="85"/>
        <v>1.5540096000000008</v>
      </c>
      <c r="AH133" s="71">
        <f t="shared" si="86"/>
        <v>7.8623188405797118</v>
      </c>
      <c r="AI133" s="74">
        <f t="shared" si="69"/>
        <v>9.4163284405797132</v>
      </c>
      <c r="AJ133" s="73">
        <f t="shared" si="70"/>
        <v>12.600000000000001</v>
      </c>
      <c r="AK133" s="71">
        <f t="shared" si="87"/>
        <v>16.275380179891346</v>
      </c>
      <c r="AL133" s="71">
        <f t="shared" si="88"/>
        <v>2.3310144000000008</v>
      </c>
      <c r="AM133" s="71">
        <f t="shared" si="95"/>
        <v>1.3728000000000002</v>
      </c>
      <c r="AN133" s="188">
        <f t="shared" si="89"/>
        <v>0.71040000000000014</v>
      </c>
      <c r="AO133" s="74">
        <f t="shared" si="72"/>
        <v>4.4142144000000014</v>
      </c>
      <c r="AP133" s="73">
        <f t="shared" si="90"/>
        <v>0.66222000000000025</v>
      </c>
      <c r="AQ133" s="206">
        <f t="shared" si="91"/>
        <v>0.60924240000000018</v>
      </c>
      <c r="AR133" s="206">
        <f t="shared" si="92"/>
        <v>0.7544881202841347</v>
      </c>
      <c r="AS133" s="71">
        <f t="shared" si="93"/>
        <v>0.19999999999999998</v>
      </c>
      <c r="AT133" s="74">
        <f t="shared" si="94"/>
        <v>3.96E-5</v>
      </c>
      <c r="AU133" s="73">
        <f t="shared" si="73"/>
        <v>16.665775360863847</v>
      </c>
      <c r="AV133" s="71">
        <f t="shared" si="74"/>
        <v>252.00000000000003</v>
      </c>
      <c r="AW133" s="74">
        <f t="shared" si="75"/>
        <v>93.796837227042076</v>
      </c>
    </row>
    <row r="134" spans="17:49" x14ac:dyDescent="0.25">
      <c r="Q134">
        <v>127</v>
      </c>
      <c r="R134" s="73">
        <f t="shared" si="49"/>
        <v>20</v>
      </c>
      <c r="S134" s="71">
        <f t="shared" si="79"/>
        <v>12.700000000000001</v>
      </c>
      <c r="T134" s="71">
        <f t="shared" si="51"/>
        <v>12</v>
      </c>
      <c r="U134" s="74">
        <f t="shared" si="80"/>
        <v>21.166666666666668</v>
      </c>
      <c r="V134" s="73">
        <f>IF(Variable_Management!$B$20=3,2,IF((S134*R134/T134)&lt;((T134*(1-(T134/R134)))/(2*Lm*Fsw)),1,2))</f>
        <v>2</v>
      </c>
      <c r="W134" s="71">
        <f t="shared" si="81"/>
        <v>0.4</v>
      </c>
      <c r="X134" s="74">
        <f t="shared" si="82"/>
        <v>0.6</v>
      </c>
      <c r="Y134" s="73">
        <f t="shared" si="83"/>
        <v>2.4000000000000004</v>
      </c>
      <c r="Z134" s="71">
        <f t="shared" si="77"/>
        <v>22.366666666666667</v>
      </c>
      <c r="AA134" s="71">
        <f t="shared" si="78"/>
        <v>21.178002214037512</v>
      </c>
      <c r="AB134" s="71">
        <v>0</v>
      </c>
      <c r="AC134" s="71">
        <f t="shared" si="84"/>
        <v>0.61894073333333333</v>
      </c>
      <c r="AD134" s="74">
        <f t="shared" si="67"/>
        <v>0.61894073333333333</v>
      </c>
      <c r="AE134" s="73">
        <f t="shared" si="76"/>
        <v>8.4666666666666668</v>
      </c>
      <c r="AF134" s="71">
        <f t="shared" si="68"/>
        <v>13.394144657689461</v>
      </c>
      <c r="AG134" s="71">
        <f t="shared" si="85"/>
        <v>1.5787473777777778</v>
      </c>
      <c r="AH134" s="71">
        <f t="shared" si="86"/>
        <v>7.9247181964573281</v>
      </c>
      <c r="AI134" s="74">
        <f t="shared" si="69"/>
        <v>9.503465574235106</v>
      </c>
      <c r="AJ134" s="73">
        <f t="shared" si="70"/>
        <v>12.700000000000001</v>
      </c>
      <c r="AK134" s="71">
        <f t="shared" si="87"/>
        <v>16.404409976182219</v>
      </c>
      <c r="AL134" s="71">
        <f t="shared" si="88"/>
        <v>2.3681210666666672</v>
      </c>
      <c r="AM134" s="71">
        <f t="shared" si="95"/>
        <v>1.3728000000000002</v>
      </c>
      <c r="AN134" s="188">
        <f t="shared" si="89"/>
        <v>0.71573333333333333</v>
      </c>
      <c r="AO134" s="74">
        <f t="shared" si="72"/>
        <v>4.4566544000000006</v>
      </c>
      <c r="AP134" s="73">
        <f t="shared" si="90"/>
        <v>0.6727616666666667</v>
      </c>
      <c r="AQ134" s="206">
        <f t="shared" si="91"/>
        <v>0.61894073333333333</v>
      </c>
      <c r="AR134" s="206">
        <f t="shared" si="92"/>
        <v>0.7544881202841347</v>
      </c>
      <c r="AS134" s="71">
        <f t="shared" si="93"/>
        <v>0.19999999999999998</v>
      </c>
      <c r="AT134" s="74">
        <f t="shared" si="94"/>
        <v>3.96E-5</v>
      </c>
      <c r="AU134" s="73">
        <f t="shared" si="73"/>
        <v>16.825290827852573</v>
      </c>
      <c r="AV134" s="71">
        <f t="shared" si="74"/>
        <v>254.00000000000003</v>
      </c>
      <c r="AW134" s="74">
        <f t="shared" si="75"/>
        <v>93.787400439441456</v>
      </c>
    </row>
    <row r="135" spans="17:49" x14ac:dyDescent="0.25">
      <c r="Q135">
        <v>128</v>
      </c>
      <c r="R135" s="73">
        <f t="shared" ref="R135:R157" si="96">VOUT</f>
        <v>20</v>
      </c>
      <c r="S135" s="71">
        <f t="shared" ref="S135:S157" si="97">Q135*$O$12</f>
        <v>12.8</v>
      </c>
      <c r="T135" s="71">
        <f t="shared" ref="T135:T157" si="98">VIN_var</f>
        <v>12</v>
      </c>
      <c r="U135" s="74">
        <f t="shared" ref="U135:U157" si="99">(R135*S135)/(T135*EFF_est)</f>
        <v>21.333333333333332</v>
      </c>
      <c r="V135" s="73">
        <f>IF(Variable_Management!$B$20=3,2,IF((S135*R135/T135)&lt;((T135*(1-(T135/R135)))/(2*Lm*Fsw)),1,2))</f>
        <v>2</v>
      </c>
      <c r="W135" s="71">
        <f t="shared" ref="W135:W157" si="100">CHOOSE(V135,SQRT((2*S135*Lm*Fsw*(R135-T135))/((T135)^2)),1-(T135/R135))</f>
        <v>0.4</v>
      </c>
      <c r="X135" s="74">
        <f t="shared" ref="X135:X157" si="101">CHOOSE(V135,(Lm*Z135*Fsw)/(R135-T135),1-W135)</f>
        <v>0.6</v>
      </c>
      <c r="Y135" s="73">
        <f t="shared" ref="Y135:Y157" si="102">(T135*W135)/(Lm*Fsw)</f>
        <v>2.4000000000000004</v>
      </c>
      <c r="Z135" s="71">
        <f t="shared" si="77"/>
        <v>22.533333333333331</v>
      </c>
      <c r="AA135" s="71">
        <f t="shared" si="78"/>
        <v>21.344580368587973</v>
      </c>
      <c r="AB135" s="71">
        <v>0</v>
      </c>
      <c r="AC135" s="71">
        <f t="shared" ref="AC135:AC157" si="103">(AA135^2)*Rdcr</f>
        <v>0.6287157333333333</v>
      </c>
      <c r="AD135" s="74">
        <f t="shared" si="67"/>
        <v>0.6287157333333333</v>
      </c>
      <c r="AE135" s="73">
        <f t="shared" si="76"/>
        <v>8.5333333333333332</v>
      </c>
      <c r="AF135" s="71">
        <f t="shared" si="68"/>
        <v>13.49949793305086</v>
      </c>
      <c r="AG135" s="71">
        <f t="shared" ref="AG135:AG157" si="104">(AF135^2)*RDS_on</f>
        <v>1.6036807111111111</v>
      </c>
      <c r="AH135" s="71">
        <f t="shared" ref="AH135:AH157" si="105">((R135*U135)/2)*Fsw*(tr_sw+tf_sw)</f>
        <v>7.9871175523349436</v>
      </c>
      <c r="AI135" s="74">
        <f t="shared" si="69"/>
        <v>9.5907982634460538</v>
      </c>
      <c r="AJ135" s="73">
        <f t="shared" si="70"/>
        <v>12.799999999999999</v>
      </c>
      <c r="AK135" s="71">
        <f t="shared" ref="AK135:AK157" si="106">CHOOSE(V135,Z135*SQRT(X135/3),SQRT(X135*((Z135^2)+((Y135^2)/3)-(Y135*Z135))))</f>
        <v>16.533440859865397</v>
      </c>
      <c r="AL135" s="71">
        <f t="shared" ref="AL135:AL157" si="107">(AK135^2)*RDS_on_HS</f>
        <v>2.4055210666666671</v>
      </c>
      <c r="AM135" s="71">
        <f t="shared" si="95"/>
        <v>1.3728000000000002</v>
      </c>
      <c r="AN135" s="188">
        <f t="shared" ref="AN135:AN157" si="108">Vd_rect*t_dead*Fsw*Z135</f>
        <v>0.72106666666666663</v>
      </c>
      <c r="AO135" s="74">
        <f t="shared" si="72"/>
        <v>4.4993877333333341</v>
      </c>
      <c r="AP135" s="73">
        <f t="shared" ref="AP135:AP157" si="109">(AA135^2)*R_cs</f>
        <v>0.6833866666666667</v>
      </c>
      <c r="AQ135" s="206">
        <f t="shared" ref="AQ135:AQ157" si="110">Rdcr*AA135^2</f>
        <v>0.6287157333333333</v>
      </c>
      <c r="AR135" s="206">
        <f t="shared" ref="AR135:AR157" si="111">ABS(7.759*10^-3*Fsw^0.9458*(0.00787*Y135)^2.304)</f>
        <v>0.7544881202841347</v>
      </c>
      <c r="AS135" s="71">
        <f t="shared" ref="AS135:AS157" si="112">(Qg_tot+Qg_tot_HS)*Vcc*Fsw</f>
        <v>0.19999999999999998</v>
      </c>
      <c r="AT135" s="74">
        <f t="shared" ref="AT135:AT157" si="113">IQ*T135</f>
        <v>3.96E-5</v>
      </c>
      <c r="AU135" s="73">
        <f t="shared" si="73"/>
        <v>16.98553185039685</v>
      </c>
      <c r="AV135" s="71">
        <f t="shared" si="74"/>
        <v>256</v>
      </c>
      <c r="AW135" s="74">
        <f t="shared" si="75"/>
        <v>93.777863707551589</v>
      </c>
    </row>
    <row r="136" spans="17:49" x14ac:dyDescent="0.25">
      <c r="Q136">
        <v>129</v>
      </c>
      <c r="R136" s="73">
        <f t="shared" si="96"/>
        <v>20</v>
      </c>
      <c r="S136" s="71">
        <f t="shared" si="97"/>
        <v>12.9</v>
      </c>
      <c r="T136" s="71">
        <f t="shared" si="98"/>
        <v>12</v>
      </c>
      <c r="U136" s="74">
        <f t="shared" si="99"/>
        <v>21.5</v>
      </c>
      <c r="V136" s="73">
        <f>IF(Variable_Management!$B$20=3,2,IF((S136*R136/T136)&lt;((T136*(1-(T136/R136)))/(2*Lm*Fsw)),1,2))</f>
        <v>2</v>
      </c>
      <c r="W136" s="71">
        <f t="shared" si="100"/>
        <v>0.4</v>
      </c>
      <c r="X136" s="74">
        <f t="shared" si="101"/>
        <v>0.6</v>
      </c>
      <c r="Y136" s="73">
        <f t="shared" si="102"/>
        <v>2.4000000000000004</v>
      </c>
      <c r="Z136" s="71">
        <f t="shared" si="77"/>
        <v>22.7</v>
      </c>
      <c r="AA136" s="71">
        <f t="shared" si="78"/>
        <v>21.511159894343216</v>
      </c>
      <c r="AB136" s="71">
        <v>0</v>
      </c>
      <c r="AC136" s="71">
        <f t="shared" si="103"/>
        <v>0.63856740000000001</v>
      </c>
      <c r="AD136" s="74">
        <f t="shared" ref="AD136:AD157" si="114">AB136+AC136</f>
        <v>0.63856740000000001</v>
      </c>
      <c r="AE136" s="73">
        <f t="shared" si="76"/>
        <v>8.6</v>
      </c>
      <c r="AF136" s="71">
        <f t="shared" ref="AF136:AF157" si="115">CHOOSE(V136,Z136*SQRT(W136/3),SQRT(W136*((Z136^2)+((Y136^2)/3)-(Z136*Y136))))</f>
        <v>13.604852075638309</v>
      </c>
      <c r="AG136" s="71">
        <f t="shared" si="104"/>
        <v>1.6288096000000003</v>
      </c>
      <c r="AH136" s="71">
        <f t="shared" si="105"/>
        <v>8.0495169082125617</v>
      </c>
      <c r="AI136" s="74">
        <f t="shared" ref="AI136:AI157" si="116">AG136+AH136</f>
        <v>9.678326508212562</v>
      </c>
      <c r="AJ136" s="73">
        <f t="shared" ref="AJ136:AJ156" si="117">X136*U136</f>
        <v>12.9</v>
      </c>
      <c r="AK136" s="71">
        <f t="shared" si="106"/>
        <v>16.662472805679233</v>
      </c>
      <c r="AL136" s="71">
        <f t="shared" si="107"/>
        <v>2.4432144</v>
      </c>
      <c r="AM136" s="71">
        <f t="shared" ref="AM136:AM157" si="118">CHOOSE(V136,(R136+Vd_rect)*Qrr*Fsw,(R136+Vd_rect)*Qrr*Fsw)</f>
        <v>1.3728000000000002</v>
      </c>
      <c r="AN136" s="188">
        <f t="shared" si="108"/>
        <v>0.72640000000000005</v>
      </c>
      <c r="AO136" s="74">
        <f t="shared" ref="AO136:AO157" si="119">AL136+AM136+AN136</f>
        <v>4.5424144000000002</v>
      </c>
      <c r="AP136" s="73">
        <f t="shared" si="109"/>
        <v>0.69409500000000002</v>
      </c>
      <c r="AQ136" s="206">
        <f t="shared" si="110"/>
        <v>0.63856740000000001</v>
      </c>
      <c r="AR136" s="206">
        <f t="shared" si="111"/>
        <v>0.7544881202841347</v>
      </c>
      <c r="AS136" s="71">
        <f t="shared" si="112"/>
        <v>0.19999999999999998</v>
      </c>
      <c r="AT136" s="74">
        <f t="shared" si="113"/>
        <v>3.96E-5</v>
      </c>
      <c r="AU136" s="73">
        <f t="shared" ref="AU136:AU157" si="120">AP136+AO136+AI136+AD136+AS136+AT136+AQ136+AR136</f>
        <v>17.146498428496695</v>
      </c>
      <c r="AV136" s="71">
        <f t="shared" ref="AV136:AV157" si="121">R136*S136</f>
        <v>258</v>
      </c>
      <c r="AW136" s="74">
        <f t="shared" ref="AW136:AW156" si="122">(AV136/(AV136+AU136))*100</f>
        <v>93.768229460876611</v>
      </c>
    </row>
    <row r="137" spans="17:49" x14ac:dyDescent="0.25">
      <c r="Q137">
        <v>130</v>
      </c>
      <c r="R137" s="73">
        <f t="shared" si="96"/>
        <v>20</v>
      </c>
      <c r="S137" s="71">
        <f t="shared" si="97"/>
        <v>13</v>
      </c>
      <c r="T137" s="71">
        <f t="shared" si="98"/>
        <v>12</v>
      </c>
      <c r="U137" s="74">
        <f t="shared" si="99"/>
        <v>21.666666666666668</v>
      </c>
      <c r="V137" s="73">
        <f>IF(Variable_Management!$B$20=3,2,IF((S137*R137/T137)&lt;((T137*(1-(T137/R137)))/(2*Lm*Fsw)),1,2))</f>
        <v>2</v>
      </c>
      <c r="W137" s="71">
        <f t="shared" si="100"/>
        <v>0.4</v>
      </c>
      <c r="X137" s="74">
        <f t="shared" si="101"/>
        <v>0.6</v>
      </c>
      <c r="Y137" s="73">
        <f t="shared" si="102"/>
        <v>2.4000000000000004</v>
      </c>
      <c r="Z137" s="71">
        <f t="shared" si="77"/>
        <v>22.866666666666667</v>
      </c>
      <c r="AA137" s="71">
        <f t="shared" si="78"/>
        <v>21.677740759692753</v>
      </c>
      <c r="AB137" s="71">
        <v>0</v>
      </c>
      <c r="AC137" s="71">
        <f t="shared" si="103"/>
        <v>0.64849573333333344</v>
      </c>
      <c r="AD137" s="74">
        <f t="shared" si="114"/>
        <v>0.64849573333333344</v>
      </c>
      <c r="AE137" s="73">
        <f t="shared" ref="AE137:AE157" si="123">U137*W137</f>
        <v>8.6666666666666679</v>
      </c>
      <c r="AF137" s="71">
        <f t="shared" si="115"/>
        <v>13.710207065459581</v>
      </c>
      <c r="AG137" s="71">
        <f t="shared" si="104"/>
        <v>1.654134044444445</v>
      </c>
      <c r="AH137" s="71">
        <f t="shared" si="105"/>
        <v>8.1119162640901781</v>
      </c>
      <c r="AI137" s="74">
        <f t="shared" si="116"/>
        <v>9.7660503085346235</v>
      </c>
      <c r="AJ137" s="73">
        <f t="shared" si="117"/>
        <v>13</v>
      </c>
      <c r="AK137" s="71">
        <f t="shared" si="106"/>
        <v>16.791505789138348</v>
      </c>
      <c r="AL137" s="71">
        <f t="shared" si="107"/>
        <v>2.4812010666666664</v>
      </c>
      <c r="AM137" s="71">
        <f t="shared" si="118"/>
        <v>1.3728000000000002</v>
      </c>
      <c r="AN137" s="188">
        <f t="shared" si="108"/>
        <v>0.73173333333333335</v>
      </c>
      <c r="AO137" s="74">
        <f t="shared" si="119"/>
        <v>4.5857343999999998</v>
      </c>
      <c r="AP137" s="73">
        <f t="shared" si="109"/>
        <v>0.70488666666666677</v>
      </c>
      <c r="AQ137" s="206">
        <f t="shared" si="110"/>
        <v>0.64849573333333344</v>
      </c>
      <c r="AR137" s="206">
        <f t="shared" si="111"/>
        <v>0.7544881202841347</v>
      </c>
      <c r="AS137" s="71">
        <f t="shared" si="112"/>
        <v>0.19999999999999998</v>
      </c>
      <c r="AT137" s="74">
        <f t="shared" si="113"/>
        <v>3.96E-5</v>
      </c>
      <c r="AU137" s="73">
        <f t="shared" si="120"/>
        <v>17.308190562152088</v>
      </c>
      <c r="AV137" s="71">
        <f t="shared" si="121"/>
        <v>260</v>
      </c>
      <c r="AW137" s="74">
        <f t="shared" si="122"/>
        <v>93.758500054734995</v>
      </c>
    </row>
    <row r="138" spans="17:49" x14ac:dyDescent="0.25">
      <c r="Q138">
        <v>131</v>
      </c>
      <c r="R138" s="73">
        <f t="shared" si="96"/>
        <v>20</v>
      </c>
      <c r="S138" s="71">
        <f t="shared" si="97"/>
        <v>13.100000000000001</v>
      </c>
      <c r="T138" s="71">
        <f t="shared" si="98"/>
        <v>12</v>
      </c>
      <c r="U138" s="74">
        <f t="shared" si="99"/>
        <v>21.833333333333332</v>
      </c>
      <c r="V138" s="73">
        <f>IF(Variable_Management!$B$20=3,2,IF((S138*R138/T138)&lt;((T138*(1-(T138/R138)))/(2*Lm*Fsw)),1,2))</f>
        <v>2</v>
      </c>
      <c r="W138" s="71">
        <f t="shared" si="100"/>
        <v>0.4</v>
      </c>
      <c r="X138" s="74">
        <f t="shared" si="101"/>
        <v>0.6</v>
      </c>
      <c r="Y138" s="73">
        <f t="shared" si="102"/>
        <v>2.4000000000000004</v>
      </c>
      <c r="Z138" s="71">
        <f t="shared" si="77"/>
        <v>23.033333333333331</v>
      </c>
      <c r="AA138" s="71">
        <f t="shared" si="78"/>
        <v>21.844322933990068</v>
      </c>
      <c r="AB138" s="71">
        <v>0</v>
      </c>
      <c r="AC138" s="71">
        <f t="shared" si="103"/>
        <v>0.65850073333333325</v>
      </c>
      <c r="AD138" s="74">
        <f t="shared" si="114"/>
        <v>0.65850073333333325</v>
      </c>
      <c r="AE138" s="73">
        <f t="shared" si="123"/>
        <v>8.7333333333333325</v>
      </c>
      <c r="AF138" s="71">
        <f t="shared" si="115"/>
        <v>13.815562883132115</v>
      </c>
      <c r="AG138" s="71">
        <f t="shared" si="104"/>
        <v>1.6796540444444443</v>
      </c>
      <c r="AH138" s="71">
        <f t="shared" si="105"/>
        <v>8.1743156199677944</v>
      </c>
      <c r="AI138" s="74">
        <f t="shared" si="116"/>
        <v>9.8539696644122383</v>
      </c>
      <c r="AJ138" s="73">
        <f t="shared" si="117"/>
        <v>13.1</v>
      </c>
      <c r="AK138" s="71">
        <f t="shared" si="106"/>
        <v>16.920539786504051</v>
      </c>
      <c r="AL138" s="71">
        <f t="shared" si="107"/>
        <v>2.5194810666666658</v>
      </c>
      <c r="AM138" s="71">
        <f t="shared" si="118"/>
        <v>1.3728000000000002</v>
      </c>
      <c r="AN138" s="188">
        <f t="shared" si="108"/>
        <v>0.73706666666666665</v>
      </c>
      <c r="AO138" s="74">
        <f t="shared" si="119"/>
        <v>4.6293477333333328</v>
      </c>
      <c r="AP138" s="73">
        <f t="shared" si="109"/>
        <v>0.71576166666666663</v>
      </c>
      <c r="AQ138" s="206">
        <f t="shared" si="110"/>
        <v>0.65850073333333325</v>
      </c>
      <c r="AR138" s="206">
        <f t="shared" si="111"/>
        <v>0.7544881202841347</v>
      </c>
      <c r="AS138" s="71">
        <f t="shared" si="112"/>
        <v>0.19999999999999998</v>
      </c>
      <c r="AT138" s="74">
        <f t="shared" si="113"/>
        <v>3.96E-5</v>
      </c>
      <c r="AU138" s="73">
        <f t="shared" si="120"/>
        <v>17.470608251363039</v>
      </c>
      <c r="AV138" s="71">
        <f t="shared" si="121"/>
        <v>262</v>
      </c>
      <c r="AW138" s="74">
        <f t="shared" si="122"/>
        <v>93.748677773066731</v>
      </c>
    </row>
    <row r="139" spans="17:49" x14ac:dyDescent="0.25">
      <c r="Q139">
        <v>132</v>
      </c>
      <c r="R139" s="73">
        <f t="shared" si="96"/>
        <v>20</v>
      </c>
      <c r="S139" s="71">
        <f t="shared" si="97"/>
        <v>13.200000000000001</v>
      </c>
      <c r="T139" s="71">
        <f t="shared" si="98"/>
        <v>12</v>
      </c>
      <c r="U139" s="74">
        <f t="shared" si="99"/>
        <v>22</v>
      </c>
      <c r="V139" s="73">
        <f>IF(Variable_Management!$B$20=3,2,IF((S139*R139/T139)&lt;((T139*(1-(T139/R139)))/(2*Lm*Fsw)),1,2))</f>
        <v>2</v>
      </c>
      <c r="W139" s="71">
        <f t="shared" si="100"/>
        <v>0.4</v>
      </c>
      <c r="X139" s="74">
        <f t="shared" si="101"/>
        <v>0.6</v>
      </c>
      <c r="Y139" s="73">
        <f t="shared" si="102"/>
        <v>2.4000000000000004</v>
      </c>
      <c r="Z139" s="71">
        <f t="shared" si="77"/>
        <v>23.2</v>
      </c>
      <c r="AA139" s="71">
        <f t="shared" si="78"/>
        <v>22.010906387516169</v>
      </c>
      <c r="AB139" s="71">
        <v>0</v>
      </c>
      <c r="AC139" s="71">
        <f t="shared" si="103"/>
        <v>0.66858240000000002</v>
      </c>
      <c r="AD139" s="74">
        <f t="shared" si="114"/>
        <v>0.66858240000000002</v>
      </c>
      <c r="AE139" s="73">
        <f t="shared" si="123"/>
        <v>8.8000000000000007</v>
      </c>
      <c r="AF139" s="71">
        <f t="shared" si="115"/>
        <v>13.920919509859973</v>
      </c>
      <c r="AG139" s="71">
        <f t="shared" si="104"/>
        <v>1.7053696000000003</v>
      </c>
      <c r="AH139" s="71">
        <f t="shared" si="105"/>
        <v>8.2367149758454108</v>
      </c>
      <c r="AI139" s="74">
        <f t="shared" si="116"/>
        <v>9.9420845758454117</v>
      </c>
      <c r="AJ139" s="73">
        <f t="shared" si="117"/>
        <v>13.2</v>
      </c>
      <c r="AK139" s="71">
        <f t="shared" si="106"/>
        <v>17.049574774756113</v>
      </c>
      <c r="AL139" s="71">
        <f t="shared" si="107"/>
        <v>2.5580544000000001</v>
      </c>
      <c r="AM139" s="71">
        <f t="shared" si="118"/>
        <v>1.3728000000000002</v>
      </c>
      <c r="AN139" s="188">
        <f t="shared" si="108"/>
        <v>0.74239999999999995</v>
      </c>
      <c r="AO139" s="74">
        <f t="shared" si="119"/>
        <v>4.6732544000000003</v>
      </c>
      <c r="AP139" s="73">
        <f t="shared" si="109"/>
        <v>0.72672000000000014</v>
      </c>
      <c r="AQ139" s="206">
        <f t="shared" si="110"/>
        <v>0.66858240000000002</v>
      </c>
      <c r="AR139" s="206">
        <f t="shared" si="111"/>
        <v>0.7544881202841347</v>
      </c>
      <c r="AS139" s="71">
        <f t="shared" si="112"/>
        <v>0.19999999999999998</v>
      </c>
      <c r="AT139" s="74">
        <f t="shared" si="113"/>
        <v>3.96E-5</v>
      </c>
      <c r="AU139" s="73">
        <f t="shared" si="120"/>
        <v>17.633751496129545</v>
      </c>
      <c r="AV139" s="71">
        <f t="shared" si="121"/>
        <v>264</v>
      </c>
      <c r="AW139" s="74">
        <f t="shared" si="122"/>
        <v>93.738764831113684</v>
      </c>
    </row>
    <row r="140" spans="17:49" x14ac:dyDescent="0.25">
      <c r="Q140">
        <v>133</v>
      </c>
      <c r="R140" s="73">
        <f t="shared" si="96"/>
        <v>20</v>
      </c>
      <c r="S140" s="71">
        <f t="shared" si="97"/>
        <v>13.3</v>
      </c>
      <c r="T140" s="71">
        <f t="shared" si="98"/>
        <v>12</v>
      </c>
      <c r="U140" s="74">
        <f t="shared" si="99"/>
        <v>22.166666666666668</v>
      </c>
      <c r="V140" s="73">
        <f>IF(Variable_Management!$B$20=3,2,IF((S140*R140/T140)&lt;((T140*(1-(T140/R140)))/(2*Lm*Fsw)),1,2))</f>
        <v>2</v>
      </c>
      <c r="W140" s="71">
        <f t="shared" si="100"/>
        <v>0.4</v>
      </c>
      <c r="X140" s="74">
        <f t="shared" si="101"/>
        <v>0.6</v>
      </c>
      <c r="Y140" s="73">
        <f t="shared" si="102"/>
        <v>2.4000000000000004</v>
      </c>
      <c r="Z140" s="71">
        <f t="shared" si="77"/>
        <v>23.366666666666667</v>
      </c>
      <c r="AA140" s="71">
        <f t="shared" si="78"/>
        <v>22.177491091444747</v>
      </c>
      <c r="AB140" s="71">
        <v>0</v>
      </c>
      <c r="AC140" s="71">
        <f t="shared" si="103"/>
        <v>0.67874073333333329</v>
      </c>
      <c r="AD140" s="74">
        <f t="shared" si="114"/>
        <v>0.67874073333333329</v>
      </c>
      <c r="AE140" s="73">
        <f t="shared" si="123"/>
        <v>8.8666666666666671</v>
      </c>
      <c r="AF140" s="71">
        <f t="shared" si="115"/>
        <v>14.026276927411795</v>
      </c>
      <c r="AG140" s="71">
        <f t="shared" si="104"/>
        <v>1.7312807111111113</v>
      </c>
      <c r="AH140" s="71">
        <f t="shared" si="105"/>
        <v>8.2991143317230289</v>
      </c>
      <c r="AI140" s="74">
        <f t="shared" si="116"/>
        <v>10.03039504283414</v>
      </c>
      <c r="AJ140" s="73">
        <f t="shared" si="117"/>
        <v>13.3</v>
      </c>
      <c r="AK140" s="71">
        <f t="shared" si="106"/>
        <v>17.178610731565772</v>
      </c>
      <c r="AL140" s="71">
        <f t="shared" si="107"/>
        <v>2.5969210666666673</v>
      </c>
      <c r="AM140" s="71">
        <f t="shared" si="118"/>
        <v>1.3728000000000002</v>
      </c>
      <c r="AN140" s="188">
        <f t="shared" si="108"/>
        <v>0.74773333333333336</v>
      </c>
      <c r="AO140" s="74">
        <f t="shared" si="119"/>
        <v>4.7174544000000012</v>
      </c>
      <c r="AP140" s="73">
        <f t="shared" si="109"/>
        <v>0.73776166666666665</v>
      </c>
      <c r="AQ140" s="206">
        <f t="shared" si="110"/>
        <v>0.67874073333333329</v>
      </c>
      <c r="AR140" s="206">
        <f t="shared" si="111"/>
        <v>0.7544881202841347</v>
      </c>
      <c r="AS140" s="71">
        <f t="shared" si="112"/>
        <v>0.19999999999999998</v>
      </c>
      <c r="AT140" s="74">
        <f t="shared" si="113"/>
        <v>3.96E-5</v>
      </c>
      <c r="AU140" s="73">
        <f t="shared" si="120"/>
        <v>17.797620296451612</v>
      </c>
      <c r="AV140" s="71">
        <f t="shared" si="121"/>
        <v>266</v>
      </c>
      <c r="AW140" s="74">
        <f t="shared" si="122"/>
        <v>93.728763377980258</v>
      </c>
    </row>
    <row r="141" spans="17:49" x14ac:dyDescent="0.25">
      <c r="Q141">
        <v>134</v>
      </c>
      <c r="R141" s="73">
        <f t="shared" si="96"/>
        <v>20</v>
      </c>
      <c r="S141" s="71">
        <f t="shared" si="97"/>
        <v>13.4</v>
      </c>
      <c r="T141" s="71">
        <f t="shared" si="98"/>
        <v>12</v>
      </c>
      <c r="U141" s="74">
        <f t="shared" si="99"/>
        <v>22.333333333333332</v>
      </c>
      <c r="V141" s="73">
        <f>IF(Variable_Management!$B$20=3,2,IF((S141*R141/T141)&lt;((T141*(1-(T141/R141)))/(2*Lm*Fsw)),1,2))</f>
        <v>2</v>
      </c>
      <c r="W141" s="71">
        <f t="shared" si="100"/>
        <v>0.4</v>
      </c>
      <c r="X141" s="74">
        <f t="shared" si="101"/>
        <v>0.6</v>
      </c>
      <c r="Y141" s="73">
        <f t="shared" si="102"/>
        <v>2.4000000000000004</v>
      </c>
      <c r="Z141" s="71">
        <f t="shared" si="77"/>
        <v>23.533333333333331</v>
      </c>
      <c r="AA141" s="71">
        <f t="shared" si="78"/>
        <v>22.344077017808942</v>
      </c>
      <c r="AB141" s="71">
        <v>0</v>
      </c>
      <c r="AC141" s="71">
        <f t="shared" si="103"/>
        <v>0.68897573333333328</v>
      </c>
      <c r="AD141" s="74">
        <f t="shared" si="114"/>
        <v>0.68897573333333328</v>
      </c>
      <c r="AE141" s="73">
        <f t="shared" si="123"/>
        <v>8.9333333333333336</v>
      </c>
      <c r="AF141" s="71">
        <f t="shared" si="115"/>
        <v>14.131635118099783</v>
      </c>
      <c r="AG141" s="71">
        <f t="shared" si="104"/>
        <v>1.7573873777777775</v>
      </c>
      <c r="AH141" s="71">
        <f t="shared" si="105"/>
        <v>8.3615136876006435</v>
      </c>
      <c r="AI141" s="74">
        <f t="shared" si="116"/>
        <v>10.11890106537842</v>
      </c>
      <c r="AJ141" s="73">
        <f t="shared" si="117"/>
        <v>13.399999999999999</v>
      </c>
      <c r="AK141" s="71">
        <f t="shared" si="106"/>
        <v>17.30764763526998</v>
      </c>
      <c r="AL141" s="71">
        <f t="shared" si="107"/>
        <v>2.6360810666666659</v>
      </c>
      <c r="AM141" s="71">
        <f t="shared" si="118"/>
        <v>1.3728000000000002</v>
      </c>
      <c r="AN141" s="188">
        <f t="shared" si="108"/>
        <v>0.75306666666666666</v>
      </c>
      <c r="AO141" s="74">
        <f t="shared" si="119"/>
        <v>4.761947733333332</v>
      </c>
      <c r="AP141" s="73">
        <f t="shared" si="109"/>
        <v>0.74888666666666659</v>
      </c>
      <c r="AQ141" s="206">
        <f t="shared" si="110"/>
        <v>0.68897573333333328</v>
      </c>
      <c r="AR141" s="206">
        <f t="shared" si="111"/>
        <v>0.7544881202841347</v>
      </c>
      <c r="AS141" s="71">
        <f t="shared" si="112"/>
        <v>0.19999999999999998</v>
      </c>
      <c r="AT141" s="74">
        <f t="shared" si="113"/>
        <v>3.96E-5</v>
      </c>
      <c r="AU141" s="73">
        <f t="shared" si="120"/>
        <v>17.962214652329219</v>
      </c>
      <c r="AV141" s="71">
        <f t="shared" si="121"/>
        <v>268</v>
      </c>
      <c r="AW141" s="74">
        <f t="shared" si="122"/>
        <v>93.718675499080334</v>
      </c>
    </row>
    <row r="142" spans="17:49" x14ac:dyDescent="0.25">
      <c r="Q142">
        <v>135</v>
      </c>
      <c r="R142" s="73">
        <f t="shared" si="96"/>
        <v>20</v>
      </c>
      <c r="S142" s="71">
        <f t="shared" si="97"/>
        <v>13.5</v>
      </c>
      <c r="T142" s="71">
        <f t="shared" si="98"/>
        <v>12</v>
      </c>
      <c r="U142" s="74">
        <f t="shared" si="99"/>
        <v>22.5</v>
      </c>
      <c r="V142" s="73">
        <f>IF(Variable_Management!$B$20=3,2,IF((S142*R142/T142)&lt;((T142*(1-(T142/R142)))/(2*Lm*Fsw)),1,2))</f>
        <v>2</v>
      </c>
      <c r="W142" s="71">
        <f t="shared" si="100"/>
        <v>0.4</v>
      </c>
      <c r="X142" s="74">
        <f t="shared" si="101"/>
        <v>0.6</v>
      </c>
      <c r="Y142" s="73">
        <f t="shared" si="102"/>
        <v>2.4000000000000004</v>
      </c>
      <c r="Z142" s="71">
        <f t="shared" si="77"/>
        <v>23.7</v>
      </c>
      <c r="AA142" s="71">
        <f t="shared" si="78"/>
        <v>22.510664139469544</v>
      </c>
      <c r="AB142" s="71">
        <v>0</v>
      </c>
      <c r="AC142" s="71">
        <f t="shared" si="103"/>
        <v>0.69928740000000011</v>
      </c>
      <c r="AD142" s="74">
        <f t="shared" si="114"/>
        <v>0.69928740000000011</v>
      </c>
      <c r="AE142" s="73">
        <f t="shared" si="123"/>
        <v>9</v>
      </c>
      <c r="AF142" s="71">
        <f t="shared" si="115"/>
        <v>14.236994064759596</v>
      </c>
      <c r="AG142" s="71">
        <f t="shared" si="104"/>
        <v>1.7836896</v>
      </c>
      <c r="AH142" s="71">
        <f t="shared" si="105"/>
        <v>8.4239130434782616</v>
      </c>
      <c r="AI142" s="74">
        <f t="shared" si="116"/>
        <v>10.207602643478262</v>
      </c>
      <c r="AJ142" s="73">
        <f t="shared" si="117"/>
        <v>13.5</v>
      </c>
      <c r="AK142" s="71">
        <f t="shared" si="106"/>
        <v>17.436685464846807</v>
      </c>
      <c r="AL142" s="71">
        <f t="shared" si="107"/>
        <v>2.6755343999999992</v>
      </c>
      <c r="AM142" s="71">
        <f t="shared" si="118"/>
        <v>1.3728000000000002</v>
      </c>
      <c r="AN142" s="188">
        <f t="shared" si="108"/>
        <v>0.75839999999999996</v>
      </c>
      <c r="AO142" s="74">
        <f t="shared" si="119"/>
        <v>4.8067343999999999</v>
      </c>
      <c r="AP142" s="73">
        <f t="shared" si="109"/>
        <v>0.76009500000000008</v>
      </c>
      <c r="AQ142" s="206">
        <f t="shared" si="110"/>
        <v>0.69928740000000011</v>
      </c>
      <c r="AR142" s="206">
        <f t="shared" si="111"/>
        <v>0.7544881202841347</v>
      </c>
      <c r="AS142" s="71">
        <f t="shared" si="112"/>
        <v>0.19999999999999998</v>
      </c>
      <c r="AT142" s="74">
        <f t="shared" si="113"/>
        <v>3.96E-5</v>
      </c>
      <c r="AU142" s="73">
        <f t="shared" si="120"/>
        <v>18.127534563762396</v>
      </c>
      <c r="AV142" s="71">
        <f t="shared" si="121"/>
        <v>270</v>
      </c>
      <c r="AW142" s="74">
        <f t="shared" si="122"/>
        <v>93.708503218476395</v>
      </c>
    </row>
    <row r="143" spans="17:49" x14ac:dyDescent="0.25">
      <c r="Q143">
        <v>136</v>
      </c>
      <c r="R143" s="73">
        <f t="shared" si="96"/>
        <v>20</v>
      </c>
      <c r="S143" s="71">
        <f t="shared" si="97"/>
        <v>13.600000000000001</v>
      </c>
      <c r="T143" s="71">
        <f t="shared" si="98"/>
        <v>12</v>
      </c>
      <c r="U143" s="74">
        <f t="shared" si="99"/>
        <v>22.666666666666668</v>
      </c>
      <c r="V143" s="73">
        <f>IF(Variable_Management!$B$20=3,2,IF((S143*R143/T143)&lt;((T143*(1-(T143/R143)))/(2*Lm*Fsw)),1,2))</f>
        <v>2</v>
      </c>
      <c r="W143" s="71">
        <f t="shared" si="100"/>
        <v>0.4</v>
      </c>
      <c r="X143" s="74">
        <f t="shared" si="101"/>
        <v>0.6</v>
      </c>
      <c r="Y143" s="73">
        <f t="shared" si="102"/>
        <v>2.4000000000000004</v>
      </c>
      <c r="Z143" s="71">
        <f t="shared" si="77"/>
        <v>23.866666666666667</v>
      </c>
      <c r="AA143" s="71">
        <f t="shared" si="78"/>
        <v>22.6772524300846</v>
      </c>
      <c r="AB143" s="71">
        <v>0</v>
      </c>
      <c r="AC143" s="71">
        <f t="shared" si="103"/>
        <v>0.70967573333333345</v>
      </c>
      <c r="AD143" s="74">
        <f t="shared" si="114"/>
        <v>0.70967573333333345</v>
      </c>
      <c r="AE143" s="73">
        <f t="shared" si="123"/>
        <v>9.0666666666666682</v>
      </c>
      <c r="AF143" s="71">
        <f t="shared" si="115"/>
        <v>14.342353750731123</v>
      </c>
      <c r="AG143" s="71">
        <f t="shared" si="104"/>
        <v>1.8101873777777777</v>
      </c>
      <c r="AH143" s="71">
        <f t="shared" si="105"/>
        <v>8.4863123993558798</v>
      </c>
      <c r="AI143" s="74">
        <f t="shared" si="116"/>
        <v>10.296499777133658</v>
      </c>
      <c r="AJ143" s="73">
        <f t="shared" si="117"/>
        <v>13.6</v>
      </c>
      <c r="AK143" s="71">
        <f t="shared" si="106"/>
        <v>17.565724199891861</v>
      </c>
      <c r="AL143" s="71">
        <f t="shared" si="107"/>
        <v>2.7152810666666656</v>
      </c>
      <c r="AM143" s="71">
        <f t="shared" si="118"/>
        <v>1.3728000000000002</v>
      </c>
      <c r="AN143" s="188">
        <f t="shared" si="108"/>
        <v>0.76373333333333338</v>
      </c>
      <c r="AO143" s="74">
        <f t="shared" si="119"/>
        <v>4.8518143999999994</v>
      </c>
      <c r="AP143" s="73">
        <f t="shared" si="109"/>
        <v>0.77138666666666678</v>
      </c>
      <c r="AQ143" s="206">
        <f t="shared" si="110"/>
        <v>0.70967573333333345</v>
      </c>
      <c r="AR143" s="206">
        <f t="shared" si="111"/>
        <v>0.7544881202841347</v>
      </c>
      <c r="AS143" s="71">
        <f t="shared" si="112"/>
        <v>0.19999999999999998</v>
      </c>
      <c r="AT143" s="74">
        <f t="shared" si="113"/>
        <v>3.96E-5</v>
      </c>
      <c r="AU143" s="73">
        <f t="shared" si="120"/>
        <v>18.293580030751126</v>
      </c>
      <c r="AV143" s="71">
        <f t="shared" si="121"/>
        <v>272</v>
      </c>
      <c r="AW143" s="74">
        <f t="shared" si="122"/>
        <v>93.698248501116268</v>
      </c>
    </row>
    <row r="144" spans="17:49" x14ac:dyDescent="0.25">
      <c r="Q144">
        <v>137</v>
      </c>
      <c r="R144" s="73">
        <f t="shared" si="96"/>
        <v>20</v>
      </c>
      <c r="S144" s="71">
        <f t="shared" si="97"/>
        <v>13.700000000000001</v>
      </c>
      <c r="T144" s="71">
        <f t="shared" si="98"/>
        <v>12</v>
      </c>
      <c r="U144" s="74">
        <f t="shared" si="99"/>
        <v>22.833333333333332</v>
      </c>
      <c r="V144" s="73">
        <f>IF(Variable_Management!$B$20=3,2,IF((S144*R144/T144)&lt;((T144*(1-(T144/R144)))/(2*Lm*Fsw)),1,2))</f>
        <v>2</v>
      </c>
      <c r="W144" s="71">
        <f t="shared" si="100"/>
        <v>0.4</v>
      </c>
      <c r="X144" s="74">
        <f t="shared" si="101"/>
        <v>0.6</v>
      </c>
      <c r="Y144" s="73">
        <f t="shared" si="102"/>
        <v>2.4000000000000004</v>
      </c>
      <c r="Z144" s="71">
        <f t="shared" ref="Z144:Z157" si="124">CHOOSE(V144,Y144,U144+(0.5*Y144))</f>
        <v>24.033333333333331</v>
      </c>
      <c r="AA144" s="71">
        <f t="shared" ref="AA144:AA157" si="125">CHOOSE(V144,Z144*SQRT((W144+X144)/3),SQRT((U144^2)+((Y144^2)/12)))</f>
        <v>22.843841864080375</v>
      </c>
      <c r="AB144" s="71">
        <v>0</v>
      </c>
      <c r="AC144" s="71">
        <f t="shared" si="103"/>
        <v>0.72014073333333328</v>
      </c>
      <c r="AD144" s="74">
        <f t="shared" si="114"/>
        <v>0.72014073333333328</v>
      </c>
      <c r="AE144" s="73">
        <f t="shared" si="123"/>
        <v>9.1333333333333329</v>
      </c>
      <c r="AF144" s="71">
        <f t="shared" si="115"/>
        <v>14.447714159840109</v>
      </c>
      <c r="AG144" s="71">
        <f t="shared" si="104"/>
        <v>1.8368807111111105</v>
      </c>
      <c r="AH144" s="71">
        <f t="shared" si="105"/>
        <v>8.5487117552334944</v>
      </c>
      <c r="AI144" s="74">
        <f t="shared" si="116"/>
        <v>10.385592466344605</v>
      </c>
      <c r="AJ144" s="73">
        <f t="shared" si="117"/>
        <v>13.7</v>
      </c>
      <c r="AK144" s="71">
        <f t="shared" si="106"/>
        <v>17.694763820595814</v>
      </c>
      <c r="AL144" s="71">
        <f t="shared" si="107"/>
        <v>2.7553210666666659</v>
      </c>
      <c r="AM144" s="71">
        <f t="shared" si="118"/>
        <v>1.3728000000000002</v>
      </c>
      <c r="AN144" s="188">
        <f t="shared" si="108"/>
        <v>0.76906666666666668</v>
      </c>
      <c r="AO144" s="74">
        <f t="shared" si="119"/>
        <v>4.8971877333333325</v>
      </c>
      <c r="AP144" s="73">
        <f t="shared" si="109"/>
        <v>0.78276166666666669</v>
      </c>
      <c r="AQ144" s="206">
        <f t="shared" si="110"/>
        <v>0.72014073333333328</v>
      </c>
      <c r="AR144" s="206">
        <f t="shared" si="111"/>
        <v>0.7544881202841347</v>
      </c>
      <c r="AS144" s="71">
        <f t="shared" si="112"/>
        <v>0.19999999999999998</v>
      </c>
      <c r="AT144" s="74">
        <f t="shared" si="113"/>
        <v>3.96E-5</v>
      </c>
      <c r="AU144" s="73">
        <f t="shared" si="120"/>
        <v>18.460351053295405</v>
      </c>
      <c r="AV144" s="71">
        <f t="shared" si="121"/>
        <v>274</v>
      </c>
      <c r="AW144" s="74">
        <f t="shared" si="122"/>
        <v>93.687913254972671</v>
      </c>
    </row>
    <row r="145" spans="17:49" x14ac:dyDescent="0.25">
      <c r="Q145">
        <v>138</v>
      </c>
      <c r="R145" s="73">
        <f t="shared" si="96"/>
        <v>20</v>
      </c>
      <c r="S145" s="71">
        <f t="shared" si="97"/>
        <v>13.8</v>
      </c>
      <c r="T145" s="71">
        <f t="shared" si="98"/>
        <v>12</v>
      </c>
      <c r="U145" s="74">
        <f t="shared" si="99"/>
        <v>23</v>
      </c>
      <c r="V145" s="73">
        <f>IF(Variable_Management!$B$20=3,2,IF((S145*R145/T145)&lt;((T145*(1-(T145/R145)))/(2*Lm*Fsw)),1,2))</f>
        <v>2</v>
      </c>
      <c r="W145" s="71">
        <f t="shared" si="100"/>
        <v>0.4</v>
      </c>
      <c r="X145" s="74">
        <f t="shared" si="101"/>
        <v>0.6</v>
      </c>
      <c r="Y145" s="73">
        <f t="shared" si="102"/>
        <v>2.4000000000000004</v>
      </c>
      <c r="Z145" s="71">
        <f t="shared" si="124"/>
        <v>24.2</v>
      </c>
      <c r="AA145" s="71">
        <f t="shared" si="125"/>
        <v>23.010432416623551</v>
      </c>
      <c r="AB145" s="71">
        <v>0</v>
      </c>
      <c r="AC145" s="71">
        <f t="shared" si="103"/>
        <v>0.73068239999999995</v>
      </c>
      <c r="AD145" s="74">
        <f t="shared" si="114"/>
        <v>0.73068239999999995</v>
      </c>
      <c r="AE145" s="73">
        <f t="shared" si="123"/>
        <v>9.2000000000000011</v>
      </c>
      <c r="AF145" s="71">
        <f t="shared" si="115"/>
        <v>14.553075276380589</v>
      </c>
      <c r="AG145" s="71">
        <f t="shared" si="104"/>
        <v>1.8637695999999999</v>
      </c>
      <c r="AH145" s="71">
        <f t="shared" si="105"/>
        <v>8.6111111111111125</v>
      </c>
      <c r="AI145" s="74">
        <f t="shared" si="116"/>
        <v>10.474880711111112</v>
      </c>
      <c r="AJ145" s="73">
        <f t="shared" si="117"/>
        <v>13.799999999999999</v>
      </c>
      <c r="AK145" s="71">
        <f t="shared" si="106"/>
        <v>17.82380430772286</v>
      </c>
      <c r="AL145" s="71">
        <f t="shared" si="107"/>
        <v>2.7956544000000001</v>
      </c>
      <c r="AM145" s="71">
        <f t="shared" si="118"/>
        <v>1.3728000000000002</v>
      </c>
      <c r="AN145" s="188">
        <f t="shared" si="108"/>
        <v>0.77439999999999998</v>
      </c>
      <c r="AO145" s="74">
        <f t="shared" si="119"/>
        <v>4.9428543999999999</v>
      </c>
      <c r="AP145" s="73">
        <f t="shared" si="109"/>
        <v>0.79422000000000004</v>
      </c>
      <c r="AQ145" s="206">
        <f t="shared" si="110"/>
        <v>0.73068239999999995</v>
      </c>
      <c r="AR145" s="206">
        <f t="shared" si="111"/>
        <v>0.7544881202841347</v>
      </c>
      <c r="AS145" s="71">
        <f t="shared" si="112"/>
        <v>0.19999999999999998</v>
      </c>
      <c r="AT145" s="74">
        <f t="shared" si="113"/>
        <v>3.96E-5</v>
      </c>
      <c r="AU145" s="73">
        <f t="shared" si="120"/>
        <v>18.627847631395245</v>
      </c>
      <c r="AV145" s="71">
        <f t="shared" si="121"/>
        <v>276</v>
      </c>
      <c r="AW145" s="74">
        <f t="shared" si="122"/>
        <v>93.677499333090779</v>
      </c>
    </row>
    <row r="146" spans="17:49" x14ac:dyDescent="0.25">
      <c r="Q146">
        <v>139</v>
      </c>
      <c r="R146" s="73">
        <f t="shared" si="96"/>
        <v>20</v>
      </c>
      <c r="S146" s="71">
        <f t="shared" si="97"/>
        <v>13.9</v>
      </c>
      <c r="T146" s="71">
        <f t="shared" si="98"/>
        <v>12</v>
      </c>
      <c r="U146" s="74">
        <f t="shared" si="99"/>
        <v>23.166666666666668</v>
      </c>
      <c r="V146" s="73">
        <f>IF(Variable_Management!$B$20=3,2,IF((S146*R146/T146)&lt;((T146*(1-(T146/R146)))/(2*Lm*Fsw)),1,2))</f>
        <v>2</v>
      </c>
      <c r="W146" s="71">
        <f t="shared" si="100"/>
        <v>0.4</v>
      </c>
      <c r="X146" s="74">
        <f t="shared" si="101"/>
        <v>0.6</v>
      </c>
      <c r="Y146" s="73">
        <f t="shared" si="102"/>
        <v>2.4000000000000004</v>
      </c>
      <c r="Z146" s="71">
        <f t="shared" si="124"/>
        <v>24.366666666666667</v>
      </c>
      <c r="AA146" s="71">
        <f t="shared" si="125"/>
        <v>23.177024063594629</v>
      </c>
      <c r="AB146" s="71">
        <v>0</v>
      </c>
      <c r="AC146" s="71">
        <f t="shared" si="103"/>
        <v>0.74130073333333335</v>
      </c>
      <c r="AD146" s="74">
        <f t="shared" si="114"/>
        <v>0.74130073333333335</v>
      </c>
      <c r="AE146" s="73">
        <f t="shared" si="123"/>
        <v>9.2666666666666675</v>
      </c>
      <c r="AF146" s="71">
        <f t="shared" si="115"/>
        <v>14.658437085098049</v>
      </c>
      <c r="AG146" s="71">
        <f t="shared" si="104"/>
        <v>1.8908540444444446</v>
      </c>
      <c r="AH146" s="71">
        <f t="shared" si="105"/>
        <v>8.6735104669887289</v>
      </c>
      <c r="AI146" s="74">
        <f t="shared" si="116"/>
        <v>10.564364511433173</v>
      </c>
      <c r="AJ146" s="73">
        <f t="shared" si="117"/>
        <v>13.9</v>
      </c>
      <c r="AK146" s="71">
        <f t="shared" si="106"/>
        <v>17.952845642590109</v>
      </c>
      <c r="AL146" s="71">
        <f t="shared" si="107"/>
        <v>2.8362810666666669</v>
      </c>
      <c r="AM146" s="71">
        <f t="shared" si="118"/>
        <v>1.3728000000000002</v>
      </c>
      <c r="AN146" s="188">
        <f t="shared" si="108"/>
        <v>0.77973333333333339</v>
      </c>
      <c r="AO146" s="74">
        <f t="shared" si="119"/>
        <v>4.9888144000000008</v>
      </c>
      <c r="AP146" s="73">
        <f t="shared" si="109"/>
        <v>0.80576166666666671</v>
      </c>
      <c r="AQ146" s="206">
        <f t="shared" si="110"/>
        <v>0.74130073333333335</v>
      </c>
      <c r="AR146" s="206">
        <f t="shared" si="111"/>
        <v>0.7544881202841347</v>
      </c>
      <c r="AS146" s="71">
        <f t="shared" si="112"/>
        <v>0.19999999999999998</v>
      </c>
      <c r="AT146" s="74">
        <f t="shared" si="113"/>
        <v>3.96E-5</v>
      </c>
      <c r="AU146" s="73">
        <f t="shared" si="120"/>
        <v>18.796069765050639</v>
      </c>
      <c r="AV146" s="71">
        <f t="shared" si="121"/>
        <v>278</v>
      </c>
      <c r="AW146" s="74">
        <f t="shared" si="122"/>
        <v>93.66700853554768</v>
      </c>
    </row>
    <row r="147" spans="17:49" x14ac:dyDescent="0.25">
      <c r="Q147">
        <v>140</v>
      </c>
      <c r="R147" s="73">
        <f t="shared" si="96"/>
        <v>20</v>
      </c>
      <c r="S147" s="71">
        <f t="shared" si="97"/>
        <v>14</v>
      </c>
      <c r="T147" s="71">
        <f t="shared" si="98"/>
        <v>12</v>
      </c>
      <c r="U147" s="74">
        <f t="shared" si="99"/>
        <v>23.333333333333332</v>
      </c>
      <c r="V147" s="73">
        <f>IF(Variable_Management!$B$20=3,2,IF((S147*R147/T147)&lt;((T147*(1-(T147/R147)))/(2*Lm*Fsw)),1,2))</f>
        <v>2</v>
      </c>
      <c r="W147" s="71">
        <f t="shared" si="100"/>
        <v>0.4</v>
      </c>
      <c r="X147" s="74">
        <f t="shared" si="101"/>
        <v>0.6</v>
      </c>
      <c r="Y147" s="73">
        <f t="shared" si="102"/>
        <v>2.4000000000000004</v>
      </c>
      <c r="Z147" s="71">
        <f t="shared" si="124"/>
        <v>24.533333333333331</v>
      </c>
      <c r="AA147" s="71">
        <f t="shared" si="125"/>
        <v>23.343616781562456</v>
      </c>
      <c r="AB147" s="71">
        <v>0</v>
      </c>
      <c r="AC147" s="71">
        <f t="shared" si="103"/>
        <v>0.75199573333333314</v>
      </c>
      <c r="AD147" s="74">
        <f t="shared" si="114"/>
        <v>0.75199573333333314</v>
      </c>
      <c r="AE147" s="73">
        <f t="shared" si="123"/>
        <v>9.3333333333333339</v>
      </c>
      <c r="AF147" s="71">
        <f t="shared" si="115"/>
        <v>14.763799571173328</v>
      </c>
      <c r="AG147" s="71">
        <f t="shared" si="104"/>
        <v>1.9181340444444444</v>
      </c>
      <c r="AH147" s="71">
        <f t="shared" si="105"/>
        <v>8.7359098228663452</v>
      </c>
      <c r="AI147" s="74">
        <f t="shared" si="116"/>
        <v>10.65404386731079</v>
      </c>
      <c r="AJ147" s="73">
        <f t="shared" si="117"/>
        <v>13.999999999999998</v>
      </c>
      <c r="AK147" s="71">
        <f t="shared" si="106"/>
        <v>18.081887807047874</v>
      </c>
      <c r="AL147" s="71">
        <f t="shared" si="107"/>
        <v>2.8772010666666663</v>
      </c>
      <c r="AM147" s="71">
        <f t="shared" si="118"/>
        <v>1.3728000000000002</v>
      </c>
      <c r="AN147" s="188">
        <f t="shared" si="108"/>
        <v>0.78506666666666658</v>
      </c>
      <c r="AO147" s="74">
        <f t="shared" si="119"/>
        <v>5.0350677333333325</v>
      </c>
      <c r="AP147" s="73">
        <f t="shared" si="109"/>
        <v>0.81738666666666659</v>
      </c>
      <c r="AQ147" s="206">
        <f t="shared" si="110"/>
        <v>0.75199573333333314</v>
      </c>
      <c r="AR147" s="206">
        <f t="shared" si="111"/>
        <v>0.7544881202841347</v>
      </c>
      <c r="AS147" s="71">
        <f t="shared" si="112"/>
        <v>0.19999999999999998</v>
      </c>
      <c r="AT147" s="74">
        <f t="shared" si="113"/>
        <v>3.96E-5</v>
      </c>
      <c r="AU147" s="73">
        <f t="shared" si="120"/>
        <v>18.965017454261591</v>
      </c>
      <c r="AV147" s="71">
        <f t="shared" si="121"/>
        <v>280</v>
      </c>
      <c r="AW147" s="74">
        <f t="shared" si="122"/>
        <v>93.656442611328913</v>
      </c>
    </row>
    <row r="148" spans="17:49" x14ac:dyDescent="0.25">
      <c r="Q148">
        <v>141</v>
      </c>
      <c r="R148" s="73">
        <f t="shared" si="96"/>
        <v>20</v>
      </c>
      <c r="S148" s="71">
        <f t="shared" si="97"/>
        <v>14.100000000000001</v>
      </c>
      <c r="T148" s="71">
        <f t="shared" si="98"/>
        <v>12</v>
      </c>
      <c r="U148" s="74">
        <f t="shared" si="99"/>
        <v>23.5</v>
      </c>
      <c r="V148" s="73">
        <f>IF(Variable_Management!$B$20=3,2,IF((S148*R148/T148)&lt;((T148*(1-(T148/R148)))/(2*Lm*Fsw)),1,2))</f>
        <v>2</v>
      </c>
      <c r="W148" s="71">
        <f t="shared" si="100"/>
        <v>0.4</v>
      </c>
      <c r="X148" s="74">
        <f t="shared" si="101"/>
        <v>0.6</v>
      </c>
      <c r="Y148" s="73">
        <f t="shared" si="102"/>
        <v>2.4000000000000004</v>
      </c>
      <c r="Z148" s="71">
        <f t="shared" si="124"/>
        <v>24.7</v>
      </c>
      <c r="AA148" s="71">
        <f t="shared" si="125"/>
        <v>23.510210547759883</v>
      </c>
      <c r="AB148" s="71">
        <v>0</v>
      </c>
      <c r="AC148" s="71">
        <f t="shared" si="103"/>
        <v>0.76276739999999998</v>
      </c>
      <c r="AD148" s="74">
        <f t="shared" si="114"/>
        <v>0.76276739999999998</v>
      </c>
      <c r="AE148" s="73">
        <f t="shared" si="123"/>
        <v>9.4</v>
      </c>
      <c r="AF148" s="71">
        <f t="shared" si="115"/>
        <v>14.869162720207214</v>
      </c>
      <c r="AG148" s="71">
        <f t="shared" si="104"/>
        <v>1.9456096000000001</v>
      </c>
      <c r="AH148" s="71">
        <f t="shared" si="105"/>
        <v>8.7983091787439616</v>
      </c>
      <c r="AI148" s="74">
        <f t="shared" si="116"/>
        <v>10.743918778743961</v>
      </c>
      <c r="AJ148" s="73">
        <f t="shared" si="117"/>
        <v>14.1</v>
      </c>
      <c r="AK148" s="71">
        <f t="shared" si="106"/>
        <v>18.210930783460793</v>
      </c>
      <c r="AL148" s="71">
        <f t="shared" si="107"/>
        <v>2.9184143999999996</v>
      </c>
      <c r="AM148" s="71">
        <f t="shared" si="118"/>
        <v>1.3728000000000002</v>
      </c>
      <c r="AN148" s="188">
        <f t="shared" si="108"/>
        <v>0.79039999999999999</v>
      </c>
      <c r="AO148" s="74">
        <f t="shared" si="119"/>
        <v>5.0816143999999994</v>
      </c>
      <c r="AP148" s="73">
        <f t="shared" si="109"/>
        <v>0.82909500000000003</v>
      </c>
      <c r="AQ148" s="206">
        <f t="shared" si="110"/>
        <v>0.76276739999999998</v>
      </c>
      <c r="AR148" s="206">
        <f t="shared" si="111"/>
        <v>0.7544881202841347</v>
      </c>
      <c r="AS148" s="71">
        <f t="shared" si="112"/>
        <v>0.19999999999999998</v>
      </c>
      <c r="AT148" s="74">
        <f t="shared" si="113"/>
        <v>3.96E-5</v>
      </c>
      <c r="AU148" s="73">
        <f t="shared" si="120"/>
        <v>19.134690699028095</v>
      </c>
      <c r="AV148" s="71">
        <f t="shared" si="121"/>
        <v>282</v>
      </c>
      <c r="AW148" s="74">
        <f t="shared" si="122"/>
        <v>93.645803260125732</v>
      </c>
    </row>
    <row r="149" spans="17:49" x14ac:dyDescent="0.25">
      <c r="Q149">
        <v>142</v>
      </c>
      <c r="R149" s="73">
        <f t="shared" si="96"/>
        <v>20</v>
      </c>
      <c r="S149" s="71">
        <f t="shared" si="97"/>
        <v>14.200000000000001</v>
      </c>
      <c r="T149" s="71">
        <f t="shared" si="98"/>
        <v>12</v>
      </c>
      <c r="U149" s="74">
        <f t="shared" si="99"/>
        <v>23.666666666666668</v>
      </c>
      <c r="V149" s="73">
        <f>IF(Variable_Management!$B$20=3,2,IF((S149*R149/T149)&lt;((T149*(1-(T149/R149)))/(2*Lm*Fsw)),1,2))</f>
        <v>2</v>
      </c>
      <c r="W149" s="71">
        <f t="shared" si="100"/>
        <v>0.4</v>
      </c>
      <c r="X149" s="74">
        <f t="shared" si="101"/>
        <v>0.6</v>
      </c>
      <c r="Y149" s="73">
        <f t="shared" si="102"/>
        <v>2.4000000000000004</v>
      </c>
      <c r="Z149" s="71">
        <f t="shared" si="124"/>
        <v>24.866666666666667</v>
      </c>
      <c r="AA149" s="71">
        <f t="shared" si="125"/>
        <v>23.676805340060369</v>
      </c>
      <c r="AB149" s="71">
        <v>0</v>
      </c>
      <c r="AC149" s="71">
        <f t="shared" si="103"/>
        <v>0.77361573333333344</v>
      </c>
      <c r="AD149" s="74">
        <f t="shared" si="114"/>
        <v>0.77361573333333344</v>
      </c>
      <c r="AE149" s="73">
        <f t="shared" si="123"/>
        <v>9.4666666666666668</v>
      </c>
      <c r="AF149" s="71">
        <f t="shared" si="115"/>
        <v>14.974526518205657</v>
      </c>
      <c r="AG149" s="71">
        <f t="shared" si="104"/>
        <v>1.973280711111111</v>
      </c>
      <c r="AH149" s="71">
        <f t="shared" si="105"/>
        <v>8.8607085346215797</v>
      </c>
      <c r="AI149" s="74">
        <f t="shared" si="116"/>
        <v>10.83398924573269</v>
      </c>
      <c r="AJ149" s="73">
        <f t="shared" si="117"/>
        <v>14.200000000000001</v>
      </c>
      <c r="AK149" s="71">
        <f t="shared" si="106"/>
        <v>18.339974554689729</v>
      </c>
      <c r="AL149" s="71">
        <f t="shared" si="107"/>
        <v>2.9599210666666673</v>
      </c>
      <c r="AM149" s="71">
        <f t="shared" si="118"/>
        <v>1.3728000000000002</v>
      </c>
      <c r="AN149" s="188">
        <f t="shared" si="108"/>
        <v>0.7957333333333334</v>
      </c>
      <c r="AO149" s="74">
        <f t="shared" si="119"/>
        <v>5.1284544000000016</v>
      </c>
      <c r="AP149" s="73">
        <f t="shared" si="109"/>
        <v>0.84088666666666689</v>
      </c>
      <c r="AQ149" s="206">
        <f t="shared" si="110"/>
        <v>0.77361573333333344</v>
      </c>
      <c r="AR149" s="206">
        <f t="shared" si="111"/>
        <v>0.7544881202841347</v>
      </c>
      <c r="AS149" s="71">
        <f t="shared" si="112"/>
        <v>0.19999999999999998</v>
      </c>
      <c r="AT149" s="74">
        <f t="shared" si="113"/>
        <v>3.96E-5</v>
      </c>
      <c r="AU149" s="73">
        <f t="shared" si="120"/>
        <v>19.30508949935016</v>
      </c>
      <c r="AV149" s="71">
        <f t="shared" si="121"/>
        <v>284</v>
      </c>
      <c r="AW149" s="74">
        <f t="shared" si="122"/>
        <v>93.635092134056805</v>
      </c>
    </row>
    <row r="150" spans="17:49" x14ac:dyDescent="0.25">
      <c r="Q150">
        <v>143</v>
      </c>
      <c r="R150" s="73">
        <f t="shared" si="96"/>
        <v>20</v>
      </c>
      <c r="S150" s="71">
        <f t="shared" si="97"/>
        <v>14.3</v>
      </c>
      <c r="T150" s="71">
        <f t="shared" si="98"/>
        <v>12</v>
      </c>
      <c r="U150" s="74">
        <f t="shared" si="99"/>
        <v>23.833333333333332</v>
      </c>
      <c r="V150" s="73">
        <f>IF(Variable_Management!$B$20=3,2,IF((S150*R150/T150)&lt;((T150*(1-(T150/R150)))/(2*Lm*Fsw)),1,2))</f>
        <v>2</v>
      </c>
      <c r="W150" s="71">
        <f t="shared" si="100"/>
        <v>0.4</v>
      </c>
      <c r="X150" s="74">
        <f t="shared" si="101"/>
        <v>0.6</v>
      </c>
      <c r="Y150" s="73">
        <f t="shared" si="102"/>
        <v>2.4000000000000004</v>
      </c>
      <c r="Z150" s="71">
        <f t="shared" si="124"/>
        <v>25.033333333333331</v>
      </c>
      <c r="AA150" s="71">
        <f t="shared" si="125"/>
        <v>23.843401136955645</v>
      </c>
      <c r="AB150" s="71">
        <v>0</v>
      </c>
      <c r="AC150" s="71">
        <f t="shared" si="103"/>
        <v>0.78454073333333318</v>
      </c>
      <c r="AD150" s="74">
        <f t="shared" si="114"/>
        <v>0.78454073333333318</v>
      </c>
      <c r="AE150" s="73">
        <f t="shared" si="123"/>
        <v>9.5333333333333332</v>
      </c>
      <c r="AF150" s="71">
        <f t="shared" si="115"/>
        <v>15.079890951565634</v>
      </c>
      <c r="AG150" s="71">
        <f t="shared" si="104"/>
        <v>2.0011473777777775</v>
      </c>
      <c r="AH150" s="71">
        <f t="shared" si="105"/>
        <v>8.9231078904991943</v>
      </c>
      <c r="AI150" s="74">
        <f t="shared" si="116"/>
        <v>10.924255268276973</v>
      </c>
      <c r="AJ150" s="73">
        <f t="shared" si="117"/>
        <v>14.299999999999999</v>
      </c>
      <c r="AK150" s="71">
        <f t="shared" si="106"/>
        <v>18.469019104074437</v>
      </c>
      <c r="AL150" s="71">
        <f t="shared" si="107"/>
        <v>3.0017210666666658</v>
      </c>
      <c r="AM150" s="71">
        <f t="shared" si="118"/>
        <v>1.3728000000000002</v>
      </c>
      <c r="AN150" s="188">
        <f t="shared" si="108"/>
        <v>0.80106666666666659</v>
      </c>
      <c r="AO150" s="74">
        <f t="shared" si="119"/>
        <v>5.1755877333333329</v>
      </c>
      <c r="AP150" s="73">
        <f t="shared" si="109"/>
        <v>0.85276166666666664</v>
      </c>
      <c r="AQ150" s="206">
        <f t="shared" si="110"/>
        <v>0.78454073333333318</v>
      </c>
      <c r="AR150" s="206">
        <f t="shared" si="111"/>
        <v>0.7544881202841347</v>
      </c>
      <c r="AS150" s="71">
        <f t="shared" si="112"/>
        <v>0.19999999999999998</v>
      </c>
      <c r="AT150" s="74">
        <f t="shared" si="113"/>
        <v>3.96E-5</v>
      </c>
      <c r="AU150" s="73">
        <f t="shared" si="120"/>
        <v>19.476213855227773</v>
      </c>
      <c r="AV150" s="71">
        <f t="shared" si="121"/>
        <v>286</v>
      </c>
      <c r="AW150" s="74">
        <f t="shared" si="122"/>
        <v>93.624310839318568</v>
      </c>
    </row>
    <row r="151" spans="17:49" x14ac:dyDescent="0.25">
      <c r="Q151">
        <v>144</v>
      </c>
      <c r="R151" s="73">
        <f t="shared" si="96"/>
        <v>20</v>
      </c>
      <c r="S151" s="71">
        <f t="shared" si="97"/>
        <v>14.4</v>
      </c>
      <c r="T151" s="71">
        <f t="shared" si="98"/>
        <v>12</v>
      </c>
      <c r="U151" s="74">
        <f t="shared" si="99"/>
        <v>24</v>
      </c>
      <c r="V151" s="73">
        <f>IF(Variable_Management!$B$20=3,2,IF((S151*R151/T151)&lt;((T151*(1-(T151/R151)))/(2*Lm*Fsw)),1,2))</f>
        <v>2</v>
      </c>
      <c r="W151" s="71">
        <f t="shared" si="100"/>
        <v>0.4</v>
      </c>
      <c r="X151" s="74">
        <f t="shared" si="101"/>
        <v>0.6</v>
      </c>
      <c r="Y151" s="73">
        <f t="shared" si="102"/>
        <v>2.4000000000000004</v>
      </c>
      <c r="Z151" s="71">
        <f t="shared" si="124"/>
        <v>25.2</v>
      </c>
      <c r="AA151" s="71">
        <f t="shared" si="125"/>
        <v>24.009997917534271</v>
      </c>
      <c r="AB151" s="71">
        <v>0</v>
      </c>
      <c r="AC151" s="71">
        <f t="shared" si="103"/>
        <v>0.79554239999999998</v>
      </c>
      <c r="AD151" s="74">
        <f t="shared" si="114"/>
        <v>0.79554239999999998</v>
      </c>
      <c r="AE151" s="73">
        <f t="shared" si="123"/>
        <v>9.6000000000000014</v>
      </c>
      <c r="AF151" s="71">
        <f t="shared" si="115"/>
        <v>15.185256007061586</v>
      </c>
      <c r="AG151" s="71">
        <f t="shared" si="104"/>
        <v>2.0292096000000002</v>
      </c>
      <c r="AH151" s="71">
        <f t="shared" si="105"/>
        <v>8.9855072463768124</v>
      </c>
      <c r="AI151" s="74">
        <f t="shared" si="116"/>
        <v>11.014716846376812</v>
      </c>
      <c r="AJ151" s="73">
        <f t="shared" si="117"/>
        <v>14.399999999999999</v>
      </c>
      <c r="AK151" s="71">
        <f t="shared" si="106"/>
        <v>18.598064415416996</v>
      </c>
      <c r="AL151" s="71">
        <f t="shared" si="107"/>
        <v>3.0438143999999996</v>
      </c>
      <c r="AM151" s="71">
        <f t="shared" si="118"/>
        <v>1.3728000000000002</v>
      </c>
      <c r="AN151" s="188">
        <f t="shared" si="108"/>
        <v>0.80640000000000001</v>
      </c>
      <c r="AO151" s="74">
        <f t="shared" si="119"/>
        <v>5.2230144000000003</v>
      </c>
      <c r="AP151" s="73">
        <f t="shared" si="109"/>
        <v>0.86472000000000004</v>
      </c>
      <c r="AQ151" s="206">
        <f t="shared" si="110"/>
        <v>0.79554239999999998</v>
      </c>
      <c r="AR151" s="206">
        <f t="shared" si="111"/>
        <v>0.7544881202841347</v>
      </c>
      <c r="AS151" s="71">
        <f t="shared" si="112"/>
        <v>0.19999999999999998</v>
      </c>
      <c r="AT151" s="74">
        <f t="shared" si="113"/>
        <v>3.96E-5</v>
      </c>
      <c r="AU151" s="73">
        <f t="shared" si="120"/>
        <v>19.648063766660943</v>
      </c>
      <c r="AV151" s="71">
        <f t="shared" si="121"/>
        <v>288</v>
      </c>
      <c r="AW151" s="74">
        <f t="shared" si="122"/>
        <v>93.61346093776713</v>
      </c>
    </row>
    <row r="152" spans="17:49" x14ac:dyDescent="0.25">
      <c r="Q152">
        <v>145</v>
      </c>
      <c r="R152" s="73">
        <f t="shared" si="96"/>
        <v>20</v>
      </c>
      <c r="S152" s="71">
        <f t="shared" si="97"/>
        <v>14.5</v>
      </c>
      <c r="T152" s="71">
        <f t="shared" si="98"/>
        <v>12</v>
      </c>
      <c r="U152" s="74">
        <f t="shared" si="99"/>
        <v>24.166666666666668</v>
      </c>
      <c r="V152" s="73">
        <f>IF(Variable_Management!$B$20=3,2,IF((S152*R152/T152)&lt;((T152*(1-(T152/R152)))/(2*Lm*Fsw)),1,2))</f>
        <v>2</v>
      </c>
      <c r="W152" s="71">
        <f t="shared" si="100"/>
        <v>0.4</v>
      </c>
      <c r="X152" s="74">
        <f t="shared" si="101"/>
        <v>0.6</v>
      </c>
      <c r="Y152" s="73">
        <f t="shared" si="102"/>
        <v>2.4000000000000004</v>
      </c>
      <c r="Z152" s="71">
        <f t="shared" si="124"/>
        <v>25.366666666666667</v>
      </c>
      <c r="AA152" s="71">
        <f t="shared" si="125"/>
        <v>24.176595661461061</v>
      </c>
      <c r="AB152" s="71">
        <v>0</v>
      </c>
      <c r="AC152" s="71">
        <f t="shared" si="103"/>
        <v>0.8066207333333334</v>
      </c>
      <c r="AD152" s="74">
        <f t="shared" si="114"/>
        <v>0.8066207333333334</v>
      </c>
      <c r="AE152" s="73">
        <f t="shared" si="123"/>
        <v>9.6666666666666679</v>
      </c>
      <c r="AF152" s="71">
        <f t="shared" si="115"/>
        <v>15.290621671832413</v>
      </c>
      <c r="AG152" s="71">
        <f t="shared" si="104"/>
        <v>2.0574673777777774</v>
      </c>
      <c r="AH152" s="71">
        <f t="shared" si="105"/>
        <v>9.0479066022544306</v>
      </c>
      <c r="AI152" s="74">
        <f t="shared" si="116"/>
        <v>11.105373980032208</v>
      </c>
      <c r="AJ152" s="73">
        <f t="shared" si="117"/>
        <v>14.5</v>
      </c>
      <c r="AK152" s="71">
        <f t="shared" si="106"/>
        <v>18.727110472965833</v>
      </c>
      <c r="AL152" s="71">
        <f t="shared" si="107"/>
        <v>3.0862010666666659</v>
      </c>
      <c r="AM152" s="71">
        <f t="shared" si="118"/>
        <v>1.3728000000000002</v>
      </c>
      <c r="AN152" s="188">
        <f t="shared" si="108"/>
        <v>0.81173333333333342</v>
      </c>
      <c r="AO152" s="74">
        <f t="shared" si="119"/>
        <v>5.2707343999999994</v>
      </c>
      <c r="AP152" s="73">
        <f t="shared" si="109"/>
        <v>0.87676166666666677</v>
      </c>
      <c r="AQ152" s="206">
        <f t="shared" si="110"/>
        <v>0.8066207333333334</v>
      </c>
      <c r="AR152" s="206">
        <f t="shared" si="111"/>
        <v>0.7544881202841347</v>
      </c>
      <c r="AS152" s="71">
        <f t="shared" si="112"/>
        <v>0.19999999999999998</v>
      </c>
      <c r="AT152" s="74">
        <f t="shared" si="113"/>
        <v>3.96E-5</v>
      </c>
      <c r="AU152" s="73">
        <f t="shared" si="120"/>
        <v>19.820639233649672</v>
      </c>
      <c r="AV152" s="71">
        <f t="shared" si="121"/>
        <v>290</v>
      </c>
      <c r="AW152" s="74">
        <f t="shared" si="122"/>
        <v>93.602543948435269</v>
      </c>
    </row>
    <row r="153" spans="17:49" x14ac:dyDescent="0.25">
      <c r="Q153">
        <v>146</v>
      </c>
      <c r="R153" s="73">
        <f t="shared" si="96"/>
        <v>20</v>
      </c>
      <c r="S153" s="71">
        <f t="shared" si="97"/>
        <v>14.600000000000001</v>
      </c>
      <c r="T153" s="71">
        <f t="shared" si="98"/>
        <v>12</v>
      </c>
      <c r="U153" s="74">
        <f t="shared" si="99"/>
        <v>24.333333333333332</v>
      </c>
      <c r="V153" s="73">
        <f>IF(Variable_Management!$B$20=3,2,IF((S153*R153/T153)&lt;((T153*(1-(T153/R153)))/(2*Lm*Fsw)),1,2))</f>
        <v>2</v>
      </c>
      <c r="W153" s="71">
        <f t="shared" si="100"/>
        <v>0.4</v>
      </c>
      <c r="X153" s="74">
        <f t="shared" si="101"/>
        <v>0.6</v>
      </c>
      <c r="Y153" s="73">
        <f t="shared" si="102"/>
        <v>2.4000000000000004</v>
      </c>
      <c r="Z153" s="71">
        <f t="shared" si="124"/>
        <v>25.533333333333331</v>
      </c>
      <c r="AA153" s="71">
        <f t="shared" si="125"/>
        <v>24.343194348957393</v>
      </c>
      <c r="AB153" s="71">
        <v>0</v>
      </c>
      <c r="AC153" s="71">
        <f t="shared" si="103"/>
        <v>0.81777573333333342</v>
      </c>
      <c r="AD153" s="74">
        <f t="shared" si="114"/>
        <v>0.81777573333333342</v>
      </c>
      <c r="AE153" s="73">
        <f t="shared" si="123"/>
        <v>9.7333333333333343</v>
      </c>
      <c r="AF153" s="71">
        <f t="shared" si="115"/>
        <v>15.395987933369017</v>
      </c>
      <c r="AG153" s="71">
        <f t="shared" si="104"/>
        <v>2.0859207111111107</v>
      </c>
      <c r="AH153" s="71">
        <f t="shared" si="105"/>
        <v>9.1103059581320451</v>
      </c>
      <c r="AI153" s="74">
        <f t="shared" si="116"/>
        <v>11.196226669243156</v>
      </c>
      <c r="AJ153" s="73">
        <f t="shared" si="117"/>
        <v>14.599999999999998</v>
      </c>
      <c r="AK153" s="71">
        <f t="shared" si="106"/>
        <v>18.856157261400494</v>
      </c>
      <c r="AL153" s="71">
        <f t="shared" si="107"/>
        <v>3.1288810666666658</v>
      </c>
      <c r="AM153" s="71">
        <f t="shared" si="118"/>
        <v>1.3728000000000002</v>
      </c>
      <c r="AN153" s="188">
        <f t="shared" si="108"/>
        <v>0.81706666666666661</v>
      </c>
      <c r="AO153" s="74">
        <f t="shared" si="119"/>
        <v>5.3187477333333328</v>
      </c>
      <c r="AP153" s="73">
        <f t="shared" si="109"/>
        <v>0.88888666666666682</v>
      </c>
      <c r="AQ153" s="206">
        <f t="shared" si="110"/>
        <v>0.81777573333333342</v>
      </c>
      <c r="AR153" s="206">
        <f t="shared" si="111"/>
        <v>0.7544881202841347</v>
      </c>
      <c r="AS153" s="71">
        <f t="shared" si="112"/>
        <v>0.19999999999999998</v>
      </c>
      <c r="AT153" s="74">
        <f t="shared" si="113"/>
        <v>3.96E-5</v>
      </c>
      <c r="AU153" s="73">
        <f t="shared" si="120"/>
        <v>19.993940256193959</v>
      </c>
      <c r="AV153" s="71">
        <f t="shared" si="121"/>
        <v>292</v>
      </c>
      <c r="AW153" s="74">
        <f t="shared" si="122"/>
        <v>93.591561348987767</v>
      </c>
    </row>
    <row r="154" spans="17:49" x14ac:dyDescent="0.25">
      <c r="Q154">
        <v>147</v>
      </c>
      <c r="R154" s="73">
        <f t="shared" si="96"/>
        <v>20</v>
      </c>
      <c r="S154" s="71">
        <f t="shared" si="97"/>
        <v>14.700000000000001</v>
      </c>
      <c r="T154" s="71">
        <f t="shared" si="98"/>
        <v>12</v>
      </c>
      <c r="U154" s="74">
        <f t="shared" si="99"/>
        <v>24.5</v>
      </c>
      <c r="V154" s="73">
        <f>IF(Variable_Management!$B$20=3,2,IF((S154*R154/T154)&lt;((T154*(1-(T154/R154)))/(2*Lm*Fsw)),1,2))</f>
        <v>2</v>
      </c>
      <c r="W154" s="71">
        <f t="shared" si="100"/>
        <v>0.4</v>
      </c>
      <c r="X154" s="74">
        <f t="shared" si="101"/>
        <v>0.6</v>
      </c>
      <c r="Y154" s="73">
        <f t="shared" si="102"/>
        <v>2.4000000000000004</v>
      </c>
      <c r="Z154" s="71">
        <f t="shared" si="124"/>
        <v>25.7</v>
      </c>
      <c r="AA154" s="71">
        <f t="shared" si="125"/>
        <v>24.509793960782289</v>
      </c>
      <c r="AB154" s="71">
        <v>0</v>
      </c>
      <c r="AC154" s="71">
        <f t="shared" si="103"/>
        <v>0.82900739999999995</v>
      </c>
      <c r="AD154" s="74">
        <f t="shared" si="114"/>
        <v>0.82900739999999995</v>
      </c>
      <c r="AE154" s="73">
        <f t="shared" si="123"/>
        <v>9.8000000000000007</v>
      </c>
      <c r="AF154" s="71">
        <f t="shared" si="115"/>
        <v>15.501354779502339</v>
      </c>
      <c r="AG154" s="71">
        <f t="shared" si="104"/>
        <v>2.1145696000000003</v>
      </c>
      <c r="AH154" s="71">
        <f t="shared" si="105"/>
        <v>9.1727053140096633</v>
      </c>
      <c r="AI154" s="74">
        <f t="shared" si="116"/>
        <v>11.287274914009664</v>
      </c>
      <c r="AJ154" s="73">
        <f t="shared" si="117"/>
        <v>14.7</v>
      </c>
      <c r="AK154" s="71">
        <f t="shared" si="106"/>
        <v>18.985204765816984</v>
      </c>
      <c r="AL154" s="71">
        <f t="shared" si="107"/>
        <v>3.1718543999999995</v>
      </c>
      <c r="AM154" s="71">
        <f t="shared" si="118"/>
        <v>1.3728000000000002</v>
      </c>
      <c r="AN154" s="188">
        <f t="shared" si="108"/>
        <v>0.82240000000000002</v>
      </c>
      <c r="AO154" s="74">
        <f t="shared" si="119"/>
        <v>5.3670543999999998</v>
      </c>
      <c r="AP154" s="73">
        <f t="shared" si="109"/>
        <v>0.90109500000000009</v>
      </c>
      <c r="AQ154" s="206">
        <f t="shared" si="110"/>
        <v>0.82900739999999995</v>
      </c>
      <c r="AR154" s="206">
        <f t="shared" si="111"/>
        <v>0.7544881202841347</v>
      </c>
      <c r="AS154" s="71">
        <f t="shared" si="112"/>
        <v>0.19999999999999998</v>
      </c>
      <c r="AT154" s="74">
        <f t="shared" si="113"/>
        <v>3.96E-5</v>
      </c>
      <c r="AU154" s="73">
        <f t="shared" si="120"/>
        <v>20.167966834293793</v>
      </c>
      <c r="AV154" s="71">
        <f t="shared" si="121"/>
        <v>294</v>
      </c>
      <c r="AW154" s="74">
        <f t="shared" si="122"/>
        <v>93.580514577117512</v>
      </c>
    </row>
    <row r="155" spans="17:49" x14ac:dyDescent="0.25">
      <c r="Q155">
        <v>148</v>
      </c>
      <c r="R155" s="73">
        <f t="shared" si="96"/>
        <v>20</v>
      </c>
      <c r="S155" s="71">
        <f t="shared" si="97"/>
        <v>14.8</v>
      </c>
      <c r="T155" s="71">
        <f t="shared" si="98"/>
        <v>12</v>
      </c>
      <c r="U155" s="74">
        <f t="shared" si="99"/>
        <v>24.666666666666668</v>
      </c>
      <c r="V155" s="73">
        <f>IF(Variable_Management!$B$20=3,2,IF((S155*R155/T155)&lt;((T155*(1-(T155/R155)))/(2*Lm*Fsw)),1,2))</f>
        <v>2</v>
      </c>
      <c r="W155" s="71">
        <f t="shared" si="100"/>
        <v>0.4</v>
      </c>
      <c r="X155" s="74">
        <f t="shared" si="101"/>
        <v>0.6</v>
      </c>
      <c r="Y155" s="73">
        <f t="shared" si="102"/>
        <v>2.4000000000000004</v>
      </c>
      <c r="Z155" s="71">
        <f t="shared" si="124"/>
        <v>25.866666666666667</v>
      </c>
      <c r="AA155" s="71">
        <f t="shared" si="125"/>
        <v>24.676394478214284</v>
      </c>
      <c r="AB155" s="71">
        <v>0</v>
      </c>
      <c r="AC155" s="71">
        <f t="shared" si="103"/>
        <v>0.84031573333333331</v>
      </c>
      <c r="AD155" s="74">
        <f t="shared" si="114"/>
        <v>0.84031573333333331</v>
      </c>
      <c r="AE155" s="73">
        <f t="shared" si="123"/>
        <v>9.8666666666666671</v>
      </c>
      <c r="AF155" s="71">
        <f t="shared" si="115"/>
        <v>15.606722198391875</v>
      </c>
      <c r="AG155" s="71">
        <f t="shared" si="104"/>
        <v>2.1434140444444441</v>
      </c>
      <c r="AH155" s="71">
        <f t="shared" si="105"/>
        <v>9.2351046698872796</v>
      </c>
      <c r="AI155" s="74">
        <f t="shared" si="116"/>
        <v>11.378518714331724</v>
      </c>
      <c r="AJ155" s="73">
        <f t="shared" si="117"/>
        <v>14.8</v>
      </c>
      <c r="AK155" s="71">
        <f t="shared" si="106"/>
        <v>19.114252971713714</v>
      </c>
      <c r="AL155" s="71">
        <f t="shared" si="107"/>
        <v>3.2151210666666659</v>
      </c>
      <c r="AM155" s="71">
        <f t="shared" si="118"/>
        <v>1.3728000000000002</v>
      </c>
      <c r="AN155" s="188">
        <f t="shared" si="108"/>
        <v>0.82773333333333332</v>
      </c>
      <c r="AO155" s="74">
        <f t="shared" si="119"/>
        <v>5.4156544000000002</v>
      </c>
      <c r="AP155" s="73">
        <f t="shared" si="109"/>
        <v>0.91338666666666668</v>
      </c>
      <c r="AQ155" s="206">
        <f t="shared" si="110"/>
        <v>0.84031573333333331</v>
      </c>
      <c r="AR155" s="206">
        <f t="shared" si="111"/>
        <v>0.7544881202841347</v>
      </c>
      <c r="AS155" s="71">
        <f t="shared" si="112"/>
        <v>0.19999999999999998</v>
      </c>
      <c r="AT155" s="74">
        <f t="shared" si="113"/>
        <v>3.96E-5</v>
      </c>
      <c r="AU155" s="73">
        <f t="shared" si="120"/>
        <v>20.342718967949192</v>
      </c>
      <c r="AV155" s="71">
        <f t="shared" si="121"/>
        <v>296</v>
      </c>
      <c r="AW155" s="74">
        <f t="shared" si="122"/>
        <v>93.569405031885609</v>
      </c>
    </row>
    <row r="156" spans="17:49" x14ac:dyDescent="0.25">
      <c r="Q156">
        <v>149</v>
      </c>
      <c r="R156" s="73">
        <f t="shared" si="96"/>
        <v>20</v>
      </c>
      <c r="S156" s="71">
        <f t="shared" si="97"/>
        <v>14.9</v>
      </c>
      <c r="T156" s="71">
        <f t="shared" si="98"/>
        <v>12</v>
      </c>
      <c r="U156" s="74">
        <f t="shared" si="99"/>
        <v>24.833333333333332</v>
      </c>
      <c r="V156" s="73">
        <f>IF(Variable_Management!$B$20=3,2,IF((S156*R156/T156)&lt;((T156*(1-(T156/R156)))/(2*Lm*Fsw)),1,2))</f>
        <v>2</v>
      </c>
      <c r="W156" s="71">
        <f t="shared" si="100"/>
        <v>0.4</v>
      </c>
      <c r="X156" s="74">
        <f t="shared" si="101"/>
        <v>0.6</v>
      </c>
      <c r="Y156" s="73">
        <f t="shared" si="102"/>
        <v>2.4000000000000004</v>
      </c>
      <c r="Z156" s="71">
        <f t="shared" si="124"/>
        <v>26.033333333333331</v>
      </c>
      <c r="AA156" s="71">
        <f t="shared" si="125"/>
        <v>24.842995883034003</v>
      </c>
      <c r="AB156" s="71">
        <v>0</v>
      </c>
      <c r="AC156" s="71">
        <f t="shared" si="103"/>
        <v>0.85170073333333329</v>
      </c>
      <c r="AD156" s="74">
        <f t="shared" si="114"/>
        <v>0.85170073333333329</v>
      </c>
      <c r="AE156" s="73">
        <f t="shared" si="123"/>
        <v>9.9333333333333336</v>
      </c>
      <c r="AF156" s="71">
        <f t="shared" si="115"/>
        <v>15.712090178514687</v>
      </c>
      <c r="AG156" s="71">
        <f t="shared" si="104"/>
        <v>2.1724540444444438</v>
      </c>
      <c r="AH156" s="71">
        <f t="shared" si="105"/>
        <v>9.297504025764896</v>
      </c>
      <c r="AI156" s="74">
        <f t="shared" si="116"/>
        <v>11.469958070209341</v>
      </c>
      <c r="AJ156" s="73">
        <f t="shared" si="117"/>
        <v>14.899999999999999</v>
      </c>
      <c r="AK156" s="71">
        <f t="shared" si="106"/>
        <v>19.243301864978019</v>
      </c>
      <c r="AL156" s="71">
        <f t="shared" si="107"/>
        <v>3.2586810666666652</v>
      </c>
      <c r="AM156" s="71">
        <f t="shared" si="118"/>
        <v>1.3728000000000002</v>
      </c>
      <c r="AN156" s="188">
        <f t="shared" si="108"/>
        <v>0.83306666666666662</v>
      </c>
      <c r="AO156" s="74">
        <f t="shared" si="119"/>
        <v>5.4645477333333323</v>
      </c>
      <c r="AP156" s="73">
        <f t="shared" si="109"/>
        <v>0.9257616666666667</v>
      </c>
      <c r="AQ156" s="206">
        <f t="shared" si="110"/>
        <v>0.85170073333333329</v>
      </c>
      <c r="AR156" s="206">
        <f t="shared" si="111"/>
        <v>0.7544881202841347</v>
      </c>
      <c r="AS156" s="71">
        <f t="shared" si="112"/>
        <v>0.19999999999999998</v>
      </c>
      <c r="AT156" s="74">
        <f t="shared" si="113"/>
        <v>3.96E-5</v>
      </c>
      <c r="AU156" s="73">
        <f t="shared" si="120"/>
        <v>20.518196657160143</v>
      </c>
      <c r="AV156" s="71">
        <f t="shared" si="121"/>
        <v>298</v>
      </c>
      <c r="AW156" s="74">
        <f t="shared" si="122"/>
        <v>93.558234075007931</v>
      </c>
    </row>
    <row r="157" spans="17:49" ht="15.75" thickBot="1" x14ac:dyDescent="0.3">
      <c r="Q157">
        <v>150</v>
      </c>
      <c r="R157" s="75">
        <f t="shared" si="96"/>
        <v>20</v>
      </c>
      <c r="S157" s="76">
        <f t="shared" si="97"/>
        <v>15</v>
      </c>
      <c r="T157" s="76">
        <f t="shared" si="98"/>
        <v>12</v>
      </c>
      <c r="U157" s="77">
        <f t="shared" si="99"/>
        <v>25</v>
      </c>
      <c r="V157" s="73">
        <f>IF(Variable_Management!$B$20=3,2,IF((S157*R157/T157)&lt;((T157*(1-(T157/R157)))/(2*Lm*Fsw)),1,2))</f>
        <v>2</v>
      </c>
      <c r="W157" s="76">
        <f t="shared" si="100"/>
        <v>0.4</v>
      </c>
      <c r="X157" s="74">
        <f t="shared" si="101"/>
        <v>0.6</v>
      </c>
      <c r="Y157" s="75">
        <f t="shared" si="102"/>
        <v>2.4000000000000004</v>
      </c>
      <c r="Z157" s="76">
        <f t="shared" si="124"/>
        <v>26.2</v>
      </c>
      <c r="AA157" s="76">
        <f t="shared" si="125"/>
        <v>25.009598157507451</v>
      </c>
      <c r="AB157" s="76">
        <v>0</v>
      </c>
      <c r="AC157" s="76">
        <f t="shared" si="103"/>
        <v>0.86316240000000011</v>
      </c>
      <c r="AD157" s="77">
        <f t="shared" si="114"/>
        <v>0.86316240000000011</v>
      </c>
      <c r="AE157" s="75">
        <f t="shared" si="123"/>
        <v>10</v>
      </c>
      <c r="AF157" s="71">
        <f t="shared" si="115"/>
        <v>15.817458708654813</v>
      </c>
      <c r="AG157" s="76">
        <f t="shared" si="104"/>
        <v>2.2016896000000004</v>
      </c>
      <c r="AH157" s="76">
        <f t="shared" si="105"/>
        <v>9.3599033816425123</v>
      </c>
      <c r="AI157" s="77">
        <f t="shared" si="116"/>
        <v>11.561592981642512</v>
      </c>
      <c r="AJ157" s="75">
        <f>X157*U157</f>
        <v>15</v>
      </c>
      <c r="AK157" s="76">
        <f t="shared" si="106"/>
        <v>19.372351431873209</v>
      </c>
      <c r="AL157" s="71">
        <f t="shared" si="107"/>
        <v>3.3025343999999999</v>
      </c>
      <c r="AM157" s="71">
        <f t="shared" si="118"/>
        <v>1.3728000000000002</v>
      </c>
      <c r="AN157" s="188">
        <f t="shared" si="108"/>
        <v>0.83840000000000003</v>
      </c>
      <c r="AO157" s="74">
        <f t="shared" si="119"/>
        <v>5.5137344000000006</v>
      </c>
      <c r="AP157" s="73">
        <f t="shared" si="109"/>
        <v>0.93822000000000016</v>
      </c>
      <c r="AQ157" s="206">
        <f t="shared" si="110"/>
        <v>0.86316240000000011</v>
      </c>
      <c r="AR157" s="206">
        <f t="shared" si="111"/>
        <v>0.7544881202841347</v>
      </c>
      <c r="AS157" s="71">
        <f t="shared" si="112"/>
        <v>0.19999999999999998</v>
      </c>
      <c r="AT157" s="77">
        <f t="shared" si="113"/>
        <v>3.96E-5</v>
      </c>
      <c r="AU157" s="73">
        <f t="shared" si="120"/>
        <v>20.694399901926648</v>
      </c>
      <c r="AV157" s="76">
        <f t="shared" si="121"/>
        <v>300</v>
      </c>
      <c r="AW157" s="77">
        <f>(AV157/(AV157+AU157))*100</f>
        <v>93.547003032090572</v>
      </c>
    </row>
  </sheetData>
  <mergeCells count="7">
    <mergeCell ref="AP5:AT5"/>
    <mergeCell ref="A1:M1"/>
    <mergeCell ref="R5:U5"/>
    <mergeCell ref="V5:X5"/>
    <mergeCell ref="Y5:AD5"/>
    <mergeCell ref="AE5:AI5"/>
    <mergeCell ref="AJ5:AO5"/>
  </mergeCells>
  <pageMargins left="0.7" right="0.7" top="0.75" bottom="0.75" header="0.3" footer="0.3"/>
  <pageSetup orientation="portrait"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BM708"/>
  <sheetViews>
    <sheetView zoomScale="85" zoomScaleNormal="85" workbookViewId="0">
      <selection activeCell="M37" sqref="M37"/>
    </sheetView>
  </sheetViews>
  <sheetFormatPr defaultRowHeight="15" x14ac:dyDescent="0.25"/>
  <cols>
    <col min="1" max="1" width="18.7109375" customWidth="1"/>
    <col min="2" max="2" width="25" customWidth="1"/>
    <col min="8" max="9" width="8.85546875"/>
    <col min="10" max="10" width="12.7109375" bestFit="1" customWidth="1"/>
    <col min="14" max="14" width="17.85546875" customWidth="1"/>
    <col min="15" max="15" width="16.5703125" style="34" bestFit="1" customWidth="1"/>
    <col min="16" max="16" width="16.5703125" customWidth="1"/>
    <col min="29" max="29" width="8.85546875"/>
    <col min="32" max="37" width="8.7109375"/>
    <col min="38" max="38" width="11.42578125" bestFit="1" customWidth="1"/>
    <col min="39" max="40" width="8.7109375"/>
    <col min="41" max="41" width="13.140625" bestFit="1" customWidth="1"/>
    <col min="42" max="44" width="8.7109375"/>
    <col min="46" max="46" width="10.140625" customWidth="1"/>
    <col min="47" max="47" width="12" bestFit="1" customWidth="1"/>
    <col min="55" max="55" width="8.85546875"/>
    <col min="58" max="58" width="8.85546875"/>
  </cols>
  <sheetData>
    <row r="1" spans="1:65" ht="27.75" x14ac:dyDescent="0.4">
      <c r="A1" s="213" t="s">
        <v>15</v>
      </c>
      <c r="B1" s="213"/>
      <c r="C1" s="213"/>
      <c r="D1" s="213"/>
      <c r="E1" s="213"/>
      <c r="F1" s="213"/>
      <c r="G1" s="213"/>
      <c r="H1" s="213"/>
      <c r="I1" s="213"/>
      <c r="J1" s="213"/>
      <c r="K1" s="213"/>
      <c r="L1" s="213"/>
      <c r="M1" s="213"/>
      <c r="N1" s="213" t="s">
        <v>194</v>
      </c>
      <c r="O1" s="213"/>
      <c r="P1" s="213"/>
      <c r="Q1" s="213"/>
      <c r="R1" s="213"/>
      <c r="S1" s="213"/>
      <c r="T1" s="213"/>
      <c r="U1" s="213"/>
      <c r="V1" s="213"/>
      <c r="W1" s="213"/>
      <c r="X1" s="213"/>
    </row>
    <row r="2" spans="1:65" x14ac:dyDescent="0.25">
      <c r="A2" s="5"/>
      <c r="B2" s="5" t="s">
        <v>16</v>
      </c>
      <c r="C2" s="6"/>
      <c r="D2" s="4"/>
      <c r="E2" s="5"/>
      <c r="F2" s="5"/>
      <c r="G2" s="5"/>
      <c r="H2" s="5"/>
      <c r="I2" s="5"/>
      <c r="J2" s="5"/>
      <c r="K2" s="5"/>
      <c r="L2" s="5"/>
      <c r="M2" s="5"/>
      <c r="O2"/>
    </row>
    <row r="3" spans="1:65" ht="15.75" thickBot="1" x14ac:dyDescent="0.3">
      <c r="A3" s="5"/>
      <c r="B3" s="5" t="s">
        <v>17</v>
      </c>
      <c r="C3" s="7"/>
      <c r="D3" s="4"/>
      <c r="E3" s="5"/>
      <c r="F3" s="14"/>
      <c r="G3" s="15"/>
      <c r="H3" s="15"/>
      <c r="I3" s="15"/>
      <c r="J3" s="15"/>
      <c r="K3" s="24"/>
      <c r="L3" s="5"/>
      <c r="M3" s="5"/>
      <c r="O3" t="s">
        <v>481</v>
      </c>
    </row>
    <row r="4" spans="1:65" ht="15.75" thickBot="1" x14ac:dyDescent="0.3">
      <c r="A4" s="5"/>
      <c r="B4" s="5" t="s">
        <v>18</v>
      </c>
      <c r="C4" s="8"/>
      <c r="D4" s="4"/>
      <c r="E4" s="5"/>
      <c r="F4" s="14"/>
      <c r="G4" s="15"/>
      <c r="H4" s="15"/>
      <c r="I4" s="15"/>
      <c r="J4" s="15"/>
      <c r="K4" s="24"/>
      <c r="L4" s="5"/>
      <c r="M4" s="5"/>
      <c r="N4" s="177"/>
      <c r="O4" s="67"/>
      <c r="P4" s="225" t="s">
        <v>454</v>
      </c>
      <c r="Q4" s="225"/>
      <c r="R4" s="225"/>
      <c r="S4" s="225"/>
      <c r="T4" s="225"/>
      <c r="U4" s="225"/>
      <c r="V4" s="225"/>
      <c r="W4" s="225"/>
      <c r="X4" s="225"/>
      <c r="Y4" s="225"/>
      <c r="Z4" s="225"/>
      <c r="AA4" s="225"/>
      <c r="AB4" s="225"/>
      <c r="AC4" s="225"/>
      <c r="AD4" s="225"/>
      <c r="AE4" s="226"/>
      <c r="AF4" s="224" t="s">
        <v>571</v>
      </c>
      <c r="AG4" s="225"/>
      <c r="AH4" s="225"/>
      <c r="AI4" s="225"/>
      <c r="AJ4" s="225"/>
      <c r="AK4" s="225"/>
      <c r="AL4" s="225"/>
      <c r="AM4" s="225"/>
      <c r="AN4" s="225"/>
      <c r="AO4" s="225"/>
      <c r="AP4" s="225"/>
      <c r="AQ4" s="225"/>
      <c r="AR4" s="226"/>
      <c r="AS4" s="224" t="s">
        <v>225</v>
      </c>
      <c r="AT4" s="225"/>
      <c r="AU4" s="225"/>
      <c r="AV4" s="225"/>
      <c r="AW4" s="225"/>
      <c r="AX4" s="225"/>
      <c r="AY4" s="225"/>
      <c r="AZ4" s="225"/>
      <c r="BA4" s="225"/>
      <c r="BB4" s="225"/>
      <c r="BC4" s="225"/>
      <c r="BD4" s="225"/>
      <c r="BE4" s="226"/>
      <c r="BF4" s="224" t="s">
        <v>484</v>
      </c>
      <c r="BG4" s="225"/>
      <c r="BH4" s="226"/>
      <c r="BI4" s="224" t="s">
        <v>485</v>
      </c>
      <c r="BJ4" s="225"/>
      <c r="BK4" s="226"/>
      <c r="BL4" s="233" t="s">
        <v>486</v>
      </c>
      <c r="BM4" s="234"/>
    </row>
    <row r="5" spans="1:65" ht="15.75" thickBot="1" x14ac:dyDescent="0.3">
      <c r="A5" s="5"/>
      <c r="D5" s="4"/>
      <c r="E5" s="5"/>
      <c r="F5" s="5"/>
      <c r="G5" s="5"/>
      <c r="H5" s="5"/>
      <c r="I5" s="5"/>
      <c r="J5" s="5"/>
      <c r="K5" s="5"/>
      <c r="L5" s="5"/>
      <c r="M5" s="5"/>
      <c r="N5" s="178"/>
      <c r="O5" s="43"/>
      <c r="Q5" s="227" t="s">
        <v>217</v>
      </c>
      <c r="R5" s="227"/>
      <c r="S5" s="227"/>
      <c r="T5" s="223" t="s">
        <v>219</v>
      </c>
      <c r="U5" s="223"/>
      <c r="V5" s="223"/>
      <c r="W5" s="223" t="s">
        <v>219</v>
      </c>
      <c r="X5" s="223"/>
      <c r="Y5" s="223"/>
      <c r="Z5" s="223" t="s">
        <v>222</v>
      </c>
      <c r="AA5" s="223"/>
      <c r="AB5" s="223"/>
      <c r="AC5" s="231" t="s">
        <v>224</v>
      </c>
      <c r="AD5" s="223"/>
      <c r="AE5" s="232"/>
      <c r="AF5" s="153"/>
      <c r="AG5" s="227" t="s">
        <v>217</v>
      </c>
      <c r="AH5" s="227"/>
      <c r="AI5" s="227"/>
      <c r="AJ5" s="228" t="s">
        <v>219</v>
      </c>
      <c r="AK5" s="228"/>
      <c r="AL5" s="228"/>
      <c r="AM5" s="223" t="s">
        <v>258</v>
      </c>
      <c r="AN5" s="223"/>
      <c r="AO5" s="223"/>
      <c r="AP5" s="229" t="s">
        <v>224</v>
      </c>
      <c r="AQ5" s="228"/>
      <c r="AR5" s="230"/>
      <c r="AT5" s="223" t="s">
        <v>231</v>
      </c>
      <c r="AU5" s="223"/>
      <c r="AV5" s="223"/>
      <c r="AW5" s="223" t="s">
        <v>232</v>
      </c>
      <c r="AX5" s="223"/>
      <c r="AY5" s="223"/>
      <c r="AZ5" s="223" t="s">
        <v>226</v>
      </c>
      <c r="BA5" s="223"/>
      <c r="BB5" s="223"/>
      <c r="BC5" s="231" t="s">
        <v>224</v>
      </c>
      <c r="BD5" s="223"/>
      <c r="BE5" s="232"/>
      <c r="BF5" s="231" t="s">
        <v>224</v>
      </c>
      <c r="BG5" s="223"/>
      <c r="BH5" s="232"/>
      <c r="BI5" s="231" t="s">
        <v>224</v>
      </c>
      <c r="BJ5" s="223"/>
      <c r="BK5" s="232"/>
      <c r="BL5" s="231" t="s">
        <v>224</v>
      </c>
      <c r="BM5" s="232"/>
    </row>
    <row r="6" spans="1:65" ht="15.75" thickBot="1" x14ac:dyDescent="0.3">
      <c r="A6" s="9" t="s">
        <v>19</v>
      </c>
      <c r="B6" s="9" t="s">
        <v>20</v>
      </c>
      <c r="C6" s="9" t="s">
        <v>21</v>
      </c>
      <c r="D6" s="4"/>
      <c r="E6" s="214" t="s">
        <v>22</v>
      </c>
      <c r="F6" s="214"/>
      <c r="G6" s="214"/>
      <c r="H6" s="214"/>
      <c r="I6" s="214"/>
      <c r="J6" s="214"/>
      <c r="K6" s="214"/>
      <c r="L6" s="5"/>
      <c r="M6" s="9"/>
      <c r="N6" s="178"/>
      <c r="O6" s="43"/>
      <c r="P6" s="65" t="s">
        <v>200</v>
      </c>
      <c r="Q6" s="62" t="s">
        <v>223</v>
      </c>
      <c r="R6" s="64" t="s">
        <v>220</v>
      </c>
      <c r="S6" s="64" t="s">
        <v>221</v>
      </c>
      <c r="T6" s="64" t="s">
        <v>223</v>
      </c>
      <c r="U6" s="64" t="s">
        <v>220</v>
      </c>
      <c r="V6" s="64" t="s">
        <v>221</v>
      </c>
      <c r="W6" s="64" t="s">
        <v>223</v>
      </c>
      <c r="X6" s="64" t="s">
        <v>220</v>
      </c>
      <c r="Y6" s="64" t="s">
        <v>221</v>
      </c>
      <c r="Z6" s="64" t="s">
        <v>223</v>
      </c>
      <c r="AA6" s="64" t="s">
        <v>220</v>
      </c>
      <c r="AB6" s="64" t="s">
        <v>221</v>
      </c>
      <c r="AC6" s="65" t="s">
        <v>235</v>
      </c>
      <c r="AD6" s="64" t="s">
        <v>220</v>
      </c>
      <c r="AE6" s="181" t="s">
        <v>221</v>
      </c>
      <c r="AF6" s="182" t="s">
        <v>200</v>
      </c>
      <c r="AG6" s="183" t="s">
        <v>223</v>
      </c>
      <c r="AH6" s="183" t="s">
        <v>234</v>
      </c>
      <c r="AI6" s="183" t="s">
        <v>221</v>
      </c>
      <c r="AJ6" s="183" t="s">
        <v>223</v>
      </c>
      <c r="AK6" s="183" t="s">
        <v>234</v>
      </c>
      <c r="AL6" s="183" t="s">
        <v>221</v>
      </c>
      <c r="AM6" s="183" t="s">
        <v>223</v>
      </c>
      <c r="AN6" s="183" t="s">
        <v>234</v>
      </c>
      <c r="AO6" s="183" t="s">
        <v>221</v>
      </c>
      <c r="AP6" s="65" t="s">
        <v>235</v>
      </c>
      <c r="AQ6" s="64" t="s">
        <v>220</v>
      </c>
      <c r="AR6" s="181" t="s">
        <v>221</v>
      </c>
      <c r="AS6" s="65" t="s">
        <v>233</v>
      </c>
      <c r="AT6" s="64" t="s">
        <v>223</v>
      </c>
      <c r="AU6" s="64" t="s">
        <v>234</v>
      </c>
      <c r="AV6" s="64" t="s">
        <v>221</v>
      </c>
      <c r="AW6" s="64" t="s">
        <v>223</v>
      </c>
      <c r="AX6" s="64" t="s">
        <v>234</v>
      </c>
      <c r="AY6" s="64" t="s">
        <v>221</v>
      </c>
      <c r="AZ6" s="64" t="s">
        <v>223</v>
      </c>
      <c r="BA6" s="64" t="s">
        <v>234</v>
      </c>
      <c r="BB6" s="64" t="s">
        <v>221</v>
      </c>
      <c r="BC6" s="65" t="s">
        <v>235</v>
      </c>
      <c r="BD6" s="64" t="s">
        <v>220</v>
      </c>
      <c r="BE6" s="181" t="s">
        <v>221</v>
      </c>
      <c r="BF6" s="65" t="s">
        <v>235</v>
      </c>
      <c r="BG6" s="64" t="s">
        <v>220</v>
      </c>
      <c r="BH6" s="181" t="s">
        <v>221</v>
      </c>
      <c r="BI6" s="65" t="s">
        <v>235</v>
      </c>
      <c r="BJ6" s="64" t="s">
        <v>220</v>
      </c>
      <c r="BK6" s="181" t="s">
        <v>221</v>
      </c>
      <c r="BL6" s="65" t="s">
        <v>220</v>
      </c>
      <c r="BM6" s="181" t="s">
        <v>221</v>
      </c>
    </row>
    <row r="7" spans="1:65" ht="15.75" thickBot="1" x14ac:dyDescent="0.3">
      <c r="A7" s="9"/>
      <c r="B7" s="9"/>
      <c r="C7" s="9"/>
      <c r="D7" s="4"/>
      <c r="E7" s="5"/>
      <c r="F7" s="5"/>
      <c r="G7" s="5"/>
      <c r="H7" s="5"/>
      <c r="I7" s="5"/>
      <c r="J7" s="5"/>
      <c r="K7" s="5"/>
      <c r="L7" s="5"/>
      <c r="M7" s="9"/>
      <c r="N7" s="178" t="s">
        <v>397</v>
      </c>
      <c r="O7" s="67">
        <f>fcross</f>
        <v>5500</v>
      </c>
      <c r="P7" s="63" t="str">
        <f>COMPLEX(ADC_VINmin,0)</f>
        <v>17.4863387978142</v>
      </c>
      <c r="Q7" s="64" t="str">
        <f>IMSUM(COMPLEX(1,0),IMDIV(COMPLEX(0,2*PI()*O7),COMPLEX(wp_lf_VINmin,0)))</f>
        <v>1+8.5204112886868i</v>
      </c>
      <c r="R7" s="64">
        <f t="shared" ref="R7:R13" si="0">IMABS(Q7)</f>
        <v>8.5788931994973261</v>
      </c>
      <c r="S7" s="64">
        <f t="shared" ref="S7:S13" si="1">IMARGUMENT(Q7)</f>
        <v>1.4539655761848147</v>
      </c>
      <c r="T7" s="64" t="str">
        <f>IMSUM(COMPLEX(1,0),IMDIV(COMPLEX(0,2*PI()*O7),COMPLEX(wz_esr_VINmin,0)))</f>
        <v>1+0.129936272152474i</v>
      </c>
      <c r="U7" s="64">
        <f t="shared" ref="U7:U13" si="2">IMABS(T7)</f>
        <v>1.0084063837664266</v>
      </c>
      <c r="V7" s="64">
        <f t="shared" ref="V7:V13" si="3">IMARGUMENT(T7)</f>
        <v>0.12921233479193933</v>
      </c>
      <c r="W7" s="62" t="str">
        <f>IMSUB(COMPLEX(1,0),IMDIV(COMPLEX(0,2*PI()*O7),COMPLEX(wz_RHP_VINmin,0)))</f>
        <v>1-0.103672557568463i</v>
      </c>
      <c r="X7" s="64">
        <f t="shared" ref="X7:X13" si="4">IMABS(W7)</f>
        <v>1.0053596367433826</v>
      </c>
      <c r="Y7" s="64">
        <f t="shared" ref="Y7:Y13" si="5">IMARGUMENT(W7)</f>
        <v>-0.10330351038401731</v>
      </c>
      <c r="Z7" s="62" t="str">
        <f>IMSUM(COMPLEX(1,0),IMDIV(COMPLEX(0,2*PI()*O7),COMPLEX(Q_VINmin*(wsl_VINmin/2),0)),IMDIV(IMPOWER(COMPLEX(0,2*PI()*O7),2),IMPOWER(COMPLEX(wsl_VINmin/2,0),2)))</f>
        <v>0.99996975+0.0518362787842315i</v>
      </c>
      <c r="AA7" s="64">
        <f t="shared" ref="AA7:AA13" si="6">IMABS(Z7)</f>
        <v>1.0013123891739575</v>
      </c>
      <c r="AB7" s="64">
        <f t="shared" ref="AB7:AB13" si="7">IMARGUMENT(Z7)</f>
        <v>5.179148936114189E-2</v>
      </c>
      <c r="AC7" s="65" t="str">
        <f t="shared" ref="AC7:AC13" si="8">(IMDIV(IMPRODUCT(P7,T7,W7),IMPRODUCT(Q7,Z7)))</f>
        <v>0.187434594535747-2.05521112594217i</v>
      </c>
      <c r="AD7" s="66">
        <f t="shared" ref="AD7:AD13" si="9">20*LOG(IMABS(AC7))</f>
        <v>6.29310138297416</v>
      </c>
      <c r="AE7" s="67">
        <f t="shared" ref="AE7:AE13" si="10">(180/PI())*IMARGUMENT(AC7)</f>
        <v>-84.789058537067518</v>
      </c>
      <c r="AF7" s="52" t="str">
        <f t="shared" ref="AF7:AF13" si="11">COMPLEX($B$72,0)</f>
        <v>69.5520360182888</v>
      </c>
      <c r="AG7" s="55" t="str">
        <f t="shared" ref="AG7:AG13" si="12">IMSUM(COMPLEX(1,0),IMDIV(COMPLEX(0,2*PI()*O7),COMPLEX(wp_lf_DCM,0)))</f>
        <v>1+6.18744153107018i</v>
      </c>
      <c r="AH7" s="55">
        <f>IMABS(AG7)</f>
        <v>6.2677294693064161</v>
      </c>
      <c r="AI7" s="55">
        <f>IMARGUMENT(AG7)</f>
        <v>1.4105641541819558</v>
      </c>
      <c r="AJ7" s="55" t="str">
        <f t="shared" ref="AJ7:AJ13" si="13">IMSUM(COMPLEX(1,0),IMDIV(COMPLEX(0,2*PI()*O7),COMPLEX(wz1_dcm,0)))</f>
        <v>1+0.129936272152474i</v>
      </c>
      <c r="AK7" s="55">
        <f>IMABS(AJ7)</f>
        <v>1.0084063837664266</v>
      </c>
      <c r="AL7" s="55">
        <f>IMARGUMENT(AJ7)</f>
        <v>0.12921233479193933</v>
      </c>
      <c r="AM7" s="55" t="str">
        <f t="shared" ref="AM7:AM13" si="14">IMSUB(COMPLEX(1,0),IMDIV(COMPLEX(0,2*PI()*O7),COMPLEX(wz2_dcm,0)))</f>
        <v>1-0.0157732773262501i</v>
      </c>
      <c r="AN7" s="55">
        <f>IMABS(AM7)</f>
        <v>1.0001243904023194</v>
      </c>
      <c r="AO7" s="55">
        <f>IMARGUMENT(AM7)</f>
        <v>-1.5771969410592446E-2</v>
      </c>
      <c r="AP7" s="52" t="str">
        <f>(IMDIV(IMPRODUCT(AF7,AJ7,AM7),IMPRODUCT(AG7)))</f>
        <v>3.02472314590808-10.7750288848717i</v>
      </c>
      <c r="AQ7" s="55">
        <f>20*LOG(IMABS(AP7))</f>
        <v>20.977784196290528</v>
      </c>
      <c r="AR7" s="58">
        <f>(180/PI())*IMARGUMENT(AP7)</f>
        <v>-74.319718604293698</v>
      </c>
      <c r="AS7" s="39" t="str">
        <f t="shared" ref="AS7:AS13" si="15">COMPLEX(Adc_ea,0)</f>
        <v>-0.0000166666666666667</v>
      </c>
      <c r="AT7" s="39" t="str">
        <f t="shared" ref="AT7:AT13" si="16">COMPLEX(0,2*PI()*O7*wp0_ea)</f>
        <v>0.000117495565244258i</v>
      </c>
      <c r="AU7" s="39">
        <f t="shared" ref="AU7:AU13" si="17">IMABS(AT7)</f>
        <v>1.17495565244258E-4</v>
      </c>
      <c r="AV7" s="39">
        <f t="shared" ref="AV7:AV13" si="18">IMARGUMENT(AT7)</f>
        <v>1.5707963267948966</v>
      </c>
      <c r="AW7" s="39" t="str">
        <f t="shared" ref="AW7:AW13" si="19">IMSUM(COMPLEX(1,0),IMDIV(COMPLEX(0,2*PI()*O7),COMPLEX(wp1_ea,0)))</f>
        <v>1+0.119406392775912i</v>
      </c>
      <c r="AX7" s="39">
        <f t="shared" ref="AX7:AX13" si="20">IMABS(AW7)</f>
        <v>1.0071037119561002</v>
      </c>
      <c r="AY7" s="39">
        <f t="shared" ref="AY7:AY13" si="21">IMARGUMENT(AW7)</f>
        <v>0.1188437043667839</v>
      </c>
      <c r="AZ7" s="39" t="str">
        <f t="shared" ref="AZ7:AZ13" si="22">IMSUM(COMPLEX(1,0),IMDIV(COMPLEX(0,2*PI()*O7),COMPLEX(wz_ea,0)))</f>
        <v>1+4.05981735438101i</v>
      </c>
      <c r="BA7" s="39">
        <f t="shared" ref="BA7:BA13" si="23">IMABS(AZ7)</f>
        <v>4.1811621531499137</v>
      </c>
      <c r="BB7" s="39">
        <f t="shared" ref="BB7:BB13" si="24">IMARGUMENT(AZ7)</f>
        <v>1.3292874809133255</v>
      </c>
      <c r="BC7" s="44" t="str">
        <f t="shared" ref="BC7:BC13" si="25">IMPRODUCT(AS7,IMDIV(AZ7,IMPRODUCT(AT7,AW7)))</f>
        <v>-0.551087296478604+0.207652671570985i</v>
      </c>
      <c r="BD7" s="39">
        <f t="shared" ref="BD7:BD13" si="26">20*LOG(IMABS(BC7))</f>
        <v>-4.5989982269006235</v>
      </c>
      <c r="BE7" s="45">
        <f t="shared" ref="BE7:BE13" si="27">(180/PI())*IMARGUMENT(BC7)</f>
        <v>159.35331973399343</v>
      </c>
      <c r="BF7" s="44" t="str">
        <f t="shared" ref="BF7:BF13" si="28">IMPRODUCT(AC7,BC7)</f>
        <v>0.323477256975036+1.17152203738839i</v>
      </c>
      <c r="BG7" s="46">
        <f t="shared" ref="BG7:BG13" si="29">20*LOG(IMABS(BF7))</f>
        <v>1.6941031560735342</v>
      </c>
      <c r="BH7" s="45">
        <f t="shared" ref="BH7:BH13" si="30">(180/PI())*IMARGUMENT(BF7)</f>
        <v>74.564261196925898</v>
      </c>
      <c r="BI7" s="44" t="str">
        <f>IMPRODUCT(AP7,BC7)</f>
        <v>0.570577033123398+6.56607337965322i</v>
      </c>
      <c r="BJ7" s="46">
        <f t="shared" ref="BJ7:BJ13" si="31">20*LOG(IMABS(BI7))</f>
        <v>16.378785969389906</v>
      </c>
      <c r="BK7" s="45">
        <f t="shared" ref="BK7:BK13" si="32">(180/PI())*IMARGUMENT(BI7)</f>
        <v>85.033601129699733</v>
      </c>
      <c r="BL7" s="41">
        <f>IF($B$31=0,BJ7,BG7)</f>
        <v>1.6941031560735342</v>
      </c>
      <c r="BM7" s="43">
        <f>IF($B$31=0,BK7,BH7)</f>
        <v>74.564261196925898</v>
      </c>
    </row>
    <row r="8" spans="1:65" ht="15.75" thickBot="1" x14ac:dyDescent="0.3">
      <c r="A8" s="9"/>
      <c r="B8" s="9"/>
      <c r="C8" s="9"/>
      <c r="D8" s="4"/>
      <c r="E8" s="5"/>
      <c r="F8" s="5"/>
      <c r="G8" s="5"/>
      <c r="H8" s="5"/>
      <c r="I8" s="5"/>
      <c r="J8" s="5"/>
      <c r="K8" s="5"/>
      <c r="L8" s="5"/>
      <c r="M8" s="9"/>
      <c r="N8" s="177" t="s">
        <v>572</v>
      </c>
      <c r="O8" s="67">
        <f>fcross</f>
        <v>5500</v>
      </c>
      <c r="P8" s="63" t="str">
        <f t="shared" ref="P8:P13" si="33">COMPLEX(Adc,0)</f>
        <v>19.1021967526266</v>
      </c>
      <c r="Q8" s="64" t="str">
        <f t="shared" ref="Q8:Q13" si="34">IMSUM(COMPLEX(1,0),IMDIV(COMPLEX(0,2*PI()*O8),COMPLEX(wp_lf,0)))</f>
        <v>1+7.75646323737308i</v>
      </c>
      <c r="R8" s="64">
        <f t="shared" si="0"/>
        <v>7.8206599435546416</v>
      </c>
      <c r="S8" s="64">
        <f t="shared" si="1"/>
        <v>1.4425788586152772</v>
      </c>
      <c r="T8" s="64" t="str">
        <f t="shared" ref="T8:T13" si="35">IMSUM(COMPLEX(1,0),IMDIV(COMPLEX(0,2*PI()*O8),COMPLEX(wz_esr,0)))</f>
        <v>1+0.129936272152474i</v>
      </c>
      <c r="U8" s="64">
        <f t="shared" si="2"/>
        <v>1.0084063837664266</v>
      </c>
      <c r="V8" s="64">
        <f t="shared" si="3"/>
        <v>0.12921233479193933</v>
      </c>
      <c r="W8" s="62" t="str">
        <f t="shared" ref="W8:W13" si="36">IMSUB(COMPLEX(1,0),IMDIV(COMPLEX(0,2*PI()*O8),COMPLEX(wz_rhp,0)))</f>
        <v>1-0.071994831644766i</v>
      </c>
      <c r="X8" s="64">
        <f t="shared" si="4"/>
        <v>1.0025882782995013</v>
      </c>
      <c r="Y8" s="64">
        <f t="shared" si="5"/>
        <v>-7.1870827853773703E-2</v>
      </c>
      <c r="Z8" s="62" t="str">
        <f t="shared" ref="Z8:Z13" si="37">IMSUM(COMPLEX(1,0),IMDIV(COMPLEX(0,2*PI()*O8),COMPLEX(Q*(wsl/2),0)),IMDIV(IMPOWER(COMPLEX(0,2*PI()*O8),2),IMPOWER(COMPLEX(wsl/2,0),2)))</f>
        <v>0.99996975+0.0535641547437059i</v>
      </c>
      <c r="AA8" s="64">
        <f t="shared" si="6"/>
        <v>1.0014033251335199</v>
      </c>
      <c r="AB8" s="64">
        <f t="shared" si="7"/>
        <v>5.3514631173018648E-2</v>
      </c>
      <c r="AC8" s="65" t="str">
        <f t="shared" si="8"/>
        <v>0.32467296098271-2.44451058323024i</v>
      </c>
      <c r="AD8" s="66">
        <f t="shared" si="9"/>
        <v>7.8397818316495655</v>
      </c>
      <c r="AE8" s="67">
        <f t="shared" si="10"/>
        <v>-82.434416383391067</v>
      </c>
      <c r="AF8" s="41" t="str">
        <f t="shared" si="11"/>
        <v>69.5520360182888</v>
      </c>
      <c r="AG8" t="str">
        <f t="shared" si="12"/>
        <v>1+6.18744153107018i</v>
      </c>
      <c r="AH8">
        <f t="shared" ref="AH8:AH13" si="38">IMABS(AG8)</f>
        <v>6.2677294693064161</v>
      </c>
      <c r="AI8">
        <f t="shared" ref="AI8:AI13" si="39">IMARGUMENT(AG8)</f>
        <v>1.4105641541819558</v>
      </c>
      <c r="AJ8" t="str">
        <f t="shared" si="13"/>
        <v>1+0.129936272152474i</v>
      </c>
      <c r="AK8">
        <f t="shared" ref="AK8:AK13" si="40">IMABS(AJ8)</f>
        <v>1.0084063837664266</v>
      </c>
      <c r="AL8">
        <f t="shared" ref="AL8:AL13" si="41">IMARGUMENT(AJ8)</f>
        <v>0.12921233479193933</v>
      </c>
      <c r="AM8" t="str">
        <f t="shared" si="14"/>
        <v>1-0.0157732773262501i</v>
      </c>
      <c r="AN8">
        <f t="shared" ref="AN8:AN13" si="42">IMABS(AM8)</f>
        <v>1.0001243904023194</v>
      </c>
      <c r="AO8">
        <f t="shared" ref="AO8:AO13" si="43">IMARGUMENT(AM8)</f>
        <v>-1.5771969410592446E-2</v>
      </c>
      <c r="AP8" s="41" t="str">
        <f t="shared" ref="AP8:AP13" si="44">(IMDIV(IMPRODUCT(AF8,AJ8,AM8),IMPRODUCT(AG8)))</f>
        <v>3.02472314590808-10.7750288848717i</v>
      </c>
      <c r="AQ8">
        <f t="shared" ref="AQ8:AQ13" si="45">20*LOG(IMABS(AP8))</f>
        <v>20.977784196290528</v>
      </c>
      <c r="AR8" s="43">
        <f t="shared" ref="AR8:AR13" si="46">(180/PI())*IMARGUMENT(AP8)</f>
        <v>-74.319718604293698</v>
      </c>
      <c r="AS8" s="62" t="str">
        <f t="shared" si="15"/>
        <v>-0.0000166666666666667</v>
      </c>
      <c r="AT8" s="62" t="str">
        <f t="shared" si="16"/>
        <v>0.000117495565244258i</v>
      </c>
      <c r="AU8" s="62">
        <f t="shared" si="17"/>
        <v>1.17495565244258E-4</v>
      </c>
      <c r="AV8" s="62">
        <f t="shared" si="18"/>
        <v>1.5707963267948966</v>
      </c>
      <c r="AW8" s="62" t="str">
        <f t="shared" si="19"/>
        <v>1+0.119406392775912i</v>
      </c>
      <c r="AX8" s="62">
        <f t="shared" si="20"/>
        <v>1.0071037119561002</v>
      </c>
      <c r="AY8" s="62">
        <f t="shared" si="21"/>
        <v>0.1188437043667839</v>
      </c>
      <c r="AZ8" s="62" t="str">
        <f t="shared" si="22"/>
        <v>1+4.05981735438101i</v>
      </c>
      <c r="BA8" s="62">
        <f t="shared" si="23"/>
        <v>4.1811621531499137</v>
      </c>
      <c r="BB8" s="62">
        <f t="shared" si="24"/>
        <v>1.3292874809133255</v>
      </c>
      <c r="BC8" s="61" t="str">
        <f t="shared" si="25"/>
        <v>-0.551087296478604+0.207652671570985i</v>
      </c>
      <c r="BD8" s="62">
        <f t="shared" si="26"/>
        <v>-4.5989982269006235</v>
      </c>
      <c r="BE8" s="67">
        <f t="shared" si="27"/>
        <v>159.35331973399343</v>
      </c>
      <c r="BF8" s="61" t="str">
        <f t="shared" si="28"/>
        <v>0.328686008983641+1.41455793626061i</v>
      </c>
      <c r="BG8" s="66">
        <f t="shared" si="29"/>
        <v>3.2407836047489393</v>
      </c>
      <c r="BH8" s="67">
        <f t="shared" si="30"/>
        <v>76.918903350602378</v>
      </c>
      <c r="BI8" s="61" t="str">
        <f t="shared" ref="BI8:BI13" si="47">IMPRODUCT(AP8,BC8)</f>
        <v>0.570577033123398+6.56607337965322i</v>
      </c>
      <c r="BJ8" s="66">
        <f t="shared" si="31"/>
        <v>16.378785969389906</v>
      </c>
      <c r="BK8" s="67">
        <f t="shared" si="32"/>
        <v>85.033601129699733</v>
      </c>
      <c r="BL8" s="41">
        <f t="shared" ref="BL8:BL13" si="48">IF($B$31=0,BJ8,BG8)</f>
        <v>3.2407836047489393</v>
      </c>
      <c r="BM8" s="43">
        <f t="shared" ref="BM8:BM13" si="49">IF($B$31=0,BK8,BH8)</f>
        <v>76.918903350602378</v>
      </c>
    </row>
    <row r="9" spans="1:65" ht="15.75" thickBot="1" x14ac:dyDescent="0.3">
      <c r="A9" s="50" t="s">
        <v>172</v>
      </c>
      <c r="B9" s="9"/>
      <c r="C9" s="9"/>
      <c r="D9" s="4"/>
      <c r="E9" s="5"/>
      <c r="F9" s="5"/>
      <c r="G9" s="5"/>
      <c r="H9" s="5"/>
      <c r="I9" s="5"/>
      <c r="J9" s="5"/>
      <c r="K9" s="5"/>
      <c r="L9" s="5"/>
      <c r="M9" s="9"/>
      <c r="N9" s="179" t="s">
        <v>258</v>
      </c>
      <c r="O9" s="68">
        <f>IF($B$31=0,B78,wz_rhp/(2*PI()))</f>
        <v>76394.372684109767</v>
      </c>
      <c r="P9" s="53" t="str">
        <f t="shared" si="33"/>
        <v>19.1021967526266</v>
      </c>
      <c r="Q9" s="54" t="str">
        <f t="shared" si="34"/>
        <v>1+107.736389684814i</v>
      </c>
      <c r="R9" s="54">
        <f t="shared" si="0"/>
        <v>107.74103054230591</v>
      </c>
      <c r="S9" s="54">
        <f t="shared" si="1"/>
        <v>1.5615146784453604</v>
      </c>
      <c r="T9" s="54" t="str">
        <f t="shared" si="35"/>
        <v>1+1.8048i</v>
      </c>
      <c r="U9" s="54">
        <f t="shared" si="2"/>
        <v>2.063323299921755</v>
      </c>
      <c r="V9" s="54">
        <f t="shared" si="3"/>
        <v>1.0648275952140431</v>
      </c>
      <c r="W9" s="55" t="str">
        <f t="shared" si="36"/>
        <v>1-i</v>
      </c>
      <c r="X9" s="54">
        <f t="shared" si="4"/>
        <v>1.4142135623730951</v>
      </c>
      <c r="Y9" s="54">
        <f t="shared" si="5"/>
        <v>-0.78539816339744828</v>
      </c>
      <c r="Z9" s="55" t="str">
        <f t="shared" si="37"/>
        <v>0.994163899822201+0.744i</v>
      </c>
      <c r="AA9" s="54">
        <f t="shared" si="6"/>
        <v>1.2417317986222658</v>
      </c>
      <c r="AB9" s="54">
        <f t="shared" si="7"/>
        <v>0.64245552058226285</v>
      </c>
      <c r="AC9" s="56" t="str">
        <f t="shared" si="8"/>
        <v>-0.144328009746254-0.390838688860893i</v>
      </c>
      <c r="AD9" s="57">
        <f t="shared" si="9"/>
        <v>-7.6048666758724393</v>
      </c>
      <c r="AE9" s="58">
        <f t="shared" si="10"/>
        <v>-110.26806346206141</v>
      </c>
      <c r="AF9" s="41" t="str">
        <f t="shared" si="11"/>
        <v>69.5520360182888</v>
      </c>
      <c r="AG9" t="str">
        <f t="shared" si="12"/>
        <v>1+85.9428571428572i</v>
      </c>
      <c r="AH9">
        <f t="shared" si="38"/>
        <v>85.948674765103618</v>
      </c>
      <c r="AI9">
        <f t="shared" si="39"/>
        <v>1.5591612135632764</v>
      </c>
      <c r="AJ9" t="str">
        <f t="shared" si="13"/>
        <v>1+1.8048i</v>
      </c>
      <c r="AK9">
        <f t="shared" si="40"/>
        <v>2.063323299921755</v>
      </c>
      <c r="AL9">
        <f t="shared" si="41"/>
        <v>1.0648275952140431</v>
      </c>
      <c r="AM9" t="str">
        <f t="shared" si="14"/>
        <v>1-0.219089023002067i</v>
      </c>
      <c r="AN9">
        <f t="shared" si="42"/>
        <v>1.0237187113655783</v>
      </c>
      <c r="AO9">
        <f t="shared" si="43"/>
        <v>-0.2156812178465394</v>
      </c>
      <c r="AP9" s="41" t="str">
        <f t="shared" si="44"/>
        <v>1.29625230230168-1.11419945105711i</v>
      </c>
      <c r="AQ9">
        <f t="shared" si="45"/>
        <v>4.6563717358155019</v>
      </c>
      <c r="AR9" s="43">
        <f t="shared" si="46"/>
        <v>-40.680853505690287</v>
      </c>
      <c r="AS9" s="55" t="str">
        <f t="shared" si="15"/>
        <v>-0.0000166666666666667</v>
      </c>
      <c r="AT9" s="55" t="str">
        <f t="shared" si="16"/>
        <v>0.001632i</v>
      </c>
      <c r="AU9" s="55">
        <f t="shared" si="17"/>
        <v>1.632E-3</v>
      </c>
      <c r="AV9" s="55">
        <f t="shared" si="18"/>
        <v>1.5707963267948966</v>
      </c>
      <c r="AW9" s="55" t="str">
        <f t="shared" si="19"/>
        <v>1+1.65854117647059i</v>
      </c>
      <c r="AX9" s="55">
        <f t="shared" si="20"/>
        <v>1.936687593301627</v>
      </c>
      <c r="AY9" s="55">
        <f t="shared" si="21"/>
        <v>1.0282182267182944</v>
      </c>
      <c r="AZ9" s="55" t="str">
        <f t="shared" si="22"/>
        <v>1+56.3904i</v>
      </c>
      <c r="BA9" s="55">
        <f t="shared" si="23"/>
        <v>56.399266060472812</v>
      </c>
      <c r="BB9" s="55">
        <f t="shared" si="24"/>
        <v>1.5530646704504789</v>
      </c>
      <c r="BC9" s="52" t="str">
        <f t="shared" si="25"/>
        <v>-0.149021747707222+0.257371123062694i</v>
      </c>
      <c r="BD9" s="55">
        <f t="shared" si="26"/>
        <v>-10.533150455766405</v>
      </c>
      <c r="BE9" s="58">
        <f t="shared" si="27"/>
        <v>120.07148611830451</v>
      </c>
      <c r="BF9" s="52" t="str">
        <f t="shared" si="28"/>
        <v>0.122098604543971+0.0210976025278526i</v>
      </c>
      <c r="BG9" s="57">
        <f t="shared" si="29"/>
        <v>-18.138017131638811</v>
      </c>
      <c r="BH9" s="58">
        <f t="shared" si="30"/>
        <v>9.8034226562430664</v>
      </c>
      <c r="BI9" s="61" t="str">
        <f t="shared" si="47"/>
        <v>0.093592980475899+0.499657860306944i</v>
      </c>
      <c r="BJ9" s="57">
        <f t="shared" si="31"/>
        <v>-5.8767787199509041</v>
      </c>
      <c r="BK9" s="58">
        <f t="shared" si="32"/>
        <v>79.390632612614212</v>
      </c>
      <c r="BL9" s="41">
        <f t="shared" si="48"/>
        <v>-18.138017131638811</v>
      </c>
      <c r="BM9" s="43">
        <f t="shared" si="49"/>
        <v>9.8034226562430664</v>
      </c>
    </row>
    <row r="10" spans="1:65" ht="15.75" thickBot="1" x14ac:dyDescent="0.3">
      <c r="A10" t="s">
        <v>25</v>
      </c>
      <c r="B10" s="3">
        <f>VIN_min</f>
        <v>10</v>
      </c>
      <c r="C10" t="s">
        <v>10</v>
      </c>
      <c r="E10" t="s">
        <v>28</v>
      </c>
      <c r="N10" s="178" t="s">
        <v>219</v>
      </c>
      <c r="O10" s="69">
        <f>IF(B31=0,B76,wz_esr/(2*PI()))</f>
        <v>42328.442311674291</v>
      </c>
      <c r="P10" s="33" t="str">
        <f t="shared" si="33"/>
        <v>19.1021967526266</v>
      </c>
      <c r="Q10" s="4" t="str">
        <f t="shared" si="34"/>
        <v>1+59.6943648519581i</v>
      </c>
      <c r="R10" s="4">
        <f t="shared" si="0"/>
        <v>59.702740264402365</v>
      </c>
      <c r="S10" s="4">
        <f t="shared" si="1"/>
        <v>1.554045893566246</v>
      </c>
      <c r="T10" s="4" t="str">
        <f t="shared" si="35"/>
        <v>1+i</v>
      </c>
      <c r="U10" s="4">
        <f t="shared" si="2"/>
        <v>1.4142135623730951</v>
      </c>
      <c r="V10" s="4">
        <f t="shared" si="3"/>
        <v>0.78539816339744828</v>
      </c>
      <c r="W10" t="str">
        <f t="shared" si="36"/>
        <v>1-0.554078014184398i</v>
      </c>
      <c r="X10" s="4">
        <f t="shared" si="4"/>
        <v>1.1432420766410436</v>
      </c>
      <c r="Y10" s="4">
        <f t="shared" si="5"/>
        <v>-0.50596873158085409</v>
      </c>
      <c r="Z10" t="str">
        <f t="shared" si="37"/>
        <v>0.998208302971467+0.412234042553192i</v>
      </c>
      <c r="AA10" s="4">
        <f t="shared" si="6"/>
        <v>1.0799799636849394</v>
      </c>
      <c r="AB10" s="4">
        <f t="shared" si="7"/>
        <v>0.39164055716206903</v>
      </c>
      <c r="AC10" s="47" t="str">
        <f t="shared" si="8"/>
        <v>-0.0456553130008048-0.476809312234422i</v>
      </c>
      <c r="AD10" s="20">
        <f t="shared" si="9"/>
        <v>-6.3934690280122162</v>
      </c>
      <c r="AE10" s="43">
        <f t="shared" si="10"/>
        <v>-95.469494767691799</v>
      </c>
      <c r="AF10" s="41" t="str">
        <f t="shared" si="11"/>
        <v>69.5520360182888</v>
      </c>
      <c r="AG10" t="str">
        <f t="shared" si="12"/>
        <v>1+47.6190476190477i</v>
      </c>
      <c r="AH10">
        <f t="shared" si="38"/>
        <v>47.629546461677876</v>
      </c>
      <c r="AI10">
        <f t="shared" si="39"/>
        <v>1.5497994129783337</v>
      </c>
      <c r="AJ10" t="str">
        <f t="shared" si="13"/>
        <v>1+i</v>
      </c>
      <c r="AK10">
        <f t="shared" si="40"/>
        <v>1.4142135623730951</v>
      </c>
      <c r="AL10">
        <f t="shared" si="41"/>
        <v>0.78539816339744828</v>
      </c>
      <c r="AM10" t="str">
        <f t="shared" si="14"/>
        <v>1-0.121392410794585i</v>
      </c>
      <c r="AN10">
        <f t="shared" si="42"/>
        <v>1.0073411127311946</v>
      </c>
      <c r="AO10">
        <f t="shared" si="43"/>
        <v>-0.12080134380624034</v>
      </c>
      <c r="AP10" s="41" t="str">
        <f t="shared" si="44"/>
        <v>1.31710288840139-1.6102384716142i</v>
      </c>
      <c r="AQ10">
        <f t="shared" si="45"/>
        <v>6.3624991743450154</v>
      </c>
      <c r="AR10" s="43">
        <f t="shared" si="46"/>
        <v>-50.718372615117403</v>
      </c>
      <c r="AS10" t="str">
        <f t="shared" si="15"/>
        <v>-0.0000166666666666667</v>
      </c>
      <c r="AT10" t="str">
        <f t="shared" si="16"/>
        <v>0.000904255319148936i</v>
      </c>
      <c r="AU10">
        <f t="shared" si="17"/>
        <v>9.0425531914893598E-4</v>
      </c>
      <c r="AV10">
        <f t="shared" si="18"/>
        <v>1.5707963267948966</v>
      </c>
      <c r="AW10" t="str">
        <f t="shared" si="19"/>
        <v>1+0.918961201501878i</v>
      </c>
      <c r="AX10">
        <f t="shared" si="20"/>
        <v>1.3581199099732597</v>
      </c>
      <c r="AY10">
        <f t="shared" si="21"/>
        <v>0.74319268549699602</v>
      </c>
      <c r="AZ10" t="str">
        <f t="shared" si="22"/>
        <v>1+31.2446808510639i</v>
      </c>
      <c r="BA10">
        <f t="shared" si="23"/>
        <v>31.260679478937099</v>
      </c>
      <c r="BB10">
        <f t="shared" si="24"/>
        <v>1.5388018005935196</v>
      </c>
      <c r="BC10" s="41" t="str">
        <f t="shared" si="25"/>
        <v>-0.303034839256206+0.296908632528831i</v>
      </c>
      <c r="BD10">
        <f t="shared" si="26"/>
        <v>-7.447640498599732</v>
      </c>
      <c r="BE10" s="43">
        <f t="shared" si="27"/>
        <v>135.58504443716896</v>
      </c>
      <c r="BF10" s="41" t="str">
        <f t="shared" si="28"/>
        <v>0.155403951308925+0.130934376738075i</v>
      </c>
      <c r="BG10" s="20">
        <f t="shared" si="29"/>
        <v>-13.841109526611969</v>
      </c>
      <c r="BH10" s="43">
        <f t="shared" si="30"/>
        <v>40.115549669477119</v>
      </c>
      <c r="BI10" s="61" t="str">
        <f t="shared" si="47"/>
        <v>0.0789656405816871+0.879017573904798i</v>
      </c>
      <c r="BJ10" s="20">
        <f t="shared" si="31"/>
        <v>-1.0851413242547201</v>
      </c>
      <c r="BK10" s="43">
        <f t="shared" si="32"/>
        <v>84.866671822051558</v>
      </c>
      <c r="BL10" s="41">
        <f t="shared" si="48"/>
        <v>-13.841109526611969</v>
      </c>
      <c r="BM10" s="43">
        <f t="shared" si="49"/>
        <v>40.115549669477119</v>
      </c>
    </row>
    <row r="11" spans="1:65" ht="15.75" thickBot="1" x14ac:dyDescent="0.3">
      <c r="A11" t="s">
        <v>26</v>
      </c>
      <c r="B11" s="3">
        <f>VIN_nom</f>
        <v>12</v>
      </c>
      <c r="C11" t="s">
        <v>10</v>
      </c>
      <c r="E11" t="s">
        <v>29</v>
      </c>
      <c r="N11" s="180" t="s">
        <v>217</v>
      </c>
      <c r="O11" s="70">
        <f>IF(B31=0,B74,wp_lf/(2*PI()))</f>
        <v>709.08606560516773</v>
      </c>
      <c r="P11" s="59" t="str">
        <f t="shared" si="33"/>
        <v>19.1021967526266</v>
      </c>
      <c r="Q11" s="38" t="str">
        <f t="shared" si="34"/>
        <v>1+i</v>
      </c>
      <c r="R11" s="38">
        <f t="shared" si="0"/>
        <v>1.4142135623730951</v>
      </c>
      <c r="S11" s="38">
        <f t="shared" si="1"/>
        <v>0.78539816339744828</v>
      </c>
      <c r="T11" s="38" t="str">
        <f t="shared" si="35"/>
        <v>1+0.016752i</v>
      </c>
      <c r="U11" s="38">
        <f t="shared" si="2"/>
        <v>1.0001403049092663</v>
      </c>
      <c r="V11" s="38">
        <f t="shared" si="3"/>
        <v>1.6750433228650562E-2</v>
      </c>
      <c r="W11" s="39" t="str">
        <f t="shared" si="36"/>
        <v>1-0.00928191489361702i</v>
      </c>
      <c r="X11" s="38">
        <f t="shared" si="4"/>
        <v>1.0000430760442733</v>
      </c>
      <c r="Y11" s="38">
        <f t="shared" si="5"/>
        <v>-9.2816483495362402E-3</v>
      </c>
      <c r="Z11" s="39" t="str">
        <f t="shared" si="37"/>
        <v>0.999999497196952+0.00690574468085106i</v>
      </c>
      <c r="AA11" s="38">
        <f t="shared" si="6"/>
        <v>1.0000233415794624</v>
      </c>
      <c r="AB11" s="38">
        <f t="shared" si="7"/>
        <v>6.9056383793256702E-3</v>
      </c>
      <c r="AC11" s="42" t="str">
        <f t="shared" si="8"/>
        <v>9.55800496357983-9.54724590728694i</v>
      </c>
      <c r="AD11" s="46">
        <f t="shared" si="9"/>
        <v>22.612756316226921</v>
      </c>
      <c r="AE11" s="45">
        <f t="shared" si="10"/>
        <v>-44.967734082314479</v>
      </c>
      <c r="AF11" s="41" t="str">
        <f t="shared" si="11"/>
        <v>69.5520360182888</v>
      </c>
      <c r="AG11" t="str">
        <f t="shared" si="12"/>
        <v>1+0.797714285714286i</v>
      </c>
      <c r="AH11">
        <f t="shared" si="38"/>
        <v>1.2791982182729358</v>
      </c>
      <c r="AI11">
        <f t="shared" si="39"/>
        <v>0.67334565918872424</v>
      </c>
      <c r="AJ11" t="str">
        <f t="shared" si="13"/>
        <v>1+0.016752i</v>
      </c>
      <c r="AK11">
        <f t="shared" si="40"/>
        <v>1.0001403049092663</v>
      </c>
      <c r="AL11">
        <f t="shared" si="41"/>
        <v>1.6750433228650562E-2</v>
      </c>
      <c r="AM11" t="str">
        <f t="shared" si="14"/>
        <v>1-0.00203356566563089i</v>
      </c>
      <c r="AN11">
        <f t="shared" si="42"/>
        <v>1.0000020676925205</v>
      </c>
      <c r="AO11">
        <f t="shared" si="43"/>
        <v>-2.0335628624426026E-3</v>
      </c>
      <c r="AP11" s="41" t="str">
        <f t="shared" si="44"/>
        <v>43.0049229556245-33.281944322787i</v>
      </c>
      <c r="AQ11">
        <f t="shared" si="45"/>
        <v>34.708676585564319</v>
      </c>
      <c r="AR11" s="43">
        <f t="shared" si="46"/>
        <v>-37.736649865343317</v>
      </c>
      <c r="AS11" s="39" t="str">
        <f t="shared" si="15"/>
        <v>-0.0000166666666666667</v>
      </c>
      <c r="AT11" s="39" t="str">
        <f t="shared" si="16"/>
        <v>0.000015148085106383i</v>
      </c>
      <c r="AU11" s="39">
        <f t="shared" si="17"/>
        <v>1.5148085106383E-5</v>
      </c>
      <c r="AV11" s="39">
        <f t="shared" si="18"/>
        <v>1.5707963267948966</v>
      </c>
      <c r="AW11" s="39" t="str">
        <f t="shared" si="19"/>
        <v>1+0.0153944380475594i</v>
      </c>
      <c r="AX11" s="39">
        <f t="shared" si="20"/>
        <v>1.000118487341775</v>
      </c>
      <c r="AY11" s="39">
        <f t="shared" si="21"/>
        <v>1.5393222117714676E-2</v>
      </c>
      <c r="AZ11" s="39" t="str">
        <f t="shared" si="22"/>
        <v>1+0.523410893617021i</v>
      </c>
      <c r="BA11" s="39">
        <f t="shared" si="23"/>
        <v>1.1286979062428388</v>
      </c>
      <c r="BB11" s="39">
        <f t="shared" si="24"/>
        <v>0.48220043965237197</v>
      </c>
      <c r="BC11" s="44" t="str">
        <f t="shared" si="25"/>
        <v>-0.558812204487574+1.10885167752574i</v>
      </c>
      <c r="BD11" s="39">
        <f t="shared" si="26"/>
        <v>1.8803455447419233</v>
      </c>
      <c r="BE11" s="45">
        <f t="shared" si="27"/>
        <v>116.74608341098124</v>
      </c>
      <c r="BF11" s="44" t="str">
        <f t="shared" si="28"/>
        <v>5.24534981584466+15.9335273699008i</v>
      </c>
      <c r="BG11" s="46">
        <f t="shared" si="29"/>
        <v>24.493101860968835</v>
      </c>
      <c r="BH11" s="45">
        <f t="shared" si="30"/>
        <v>71.778349328666749</v>
      </c>
      <c r="BI11" s="61" t="str">
        <f t="shared" si="47"/>
        <v>12.8730639929898+66.2844376378587i</v>
      </c>
      <c r="BJ11" s="46">
        <f t="shared" si="31"/>
        <v>36.589022130306233</v>
      </c>
      <c r="BK11" s="45">
        <f t="shared" si="32"/>
        <v>79.009433545637961</v>
      </c>
      <c r="BL11" s="41">
        <f t="shared" si="48"/>
        <v>24.493101860968835</v>
      </c>
      <c r="BM11" s="43">
        <f t="shared" si="49"/>
        <v>71.778349328666749</v>
      </c>
    </row>
    <row r="12" spans="1:65" ht="15.75" thickBot="1" x14ac:dyDescent="0.3">
      <c r="A12" t="s">
        <v>27</v>
      </c>
      <c r="B12" s="3">
        <f>VIN_max</f>
        <v>18</v>
      </c>
      <c r="C12" t="s">
        <v>10</v>
      </c>
      <c r="E12" t="s">
        <v>30</v>
      </c>
      <c r="N12" s="179" t="s">
        <v>226</v>
      </c>
      <c r="O12" s="58">
        <f>wz_ea/(2*PI())</f>
        <v>1354.7407481434739</v>
      </c>
      <c r="P12" s="53" t="str">
        <f t="shared" si="33"/>
        <v>19.1021967526266</v>
      </c>
      <c r="Q12" s="54" t="str">
        <f t="shared" si="34"/>
        <v>1+1.91054487439021i</v>
      </c>
      <c r="R12" s="54">
        <f t="shared" si="0"/>
        <v>2.1564279995072186</v>
      </c>
      <c r="S12" s="54">
        <f t="shared" si="1"/>
        <v>1.0885958871425243</v>
      </c>
      <c r="T12" s="54" t="str">
        <f t="shared" si="35"/>
        <v>1+0.0320054477357848i</v>
      </c>
      <c r="U12" s="54">
        <f t="shared" si="2"/>
        <v>1.0005120432482399</v>
      </c>
      <c r="V12" s="54">
        <f t="shared" si="3"/>
        <v>3.1994526201377181E-2</v>
      </c>
      <c r="W12" s="55" t="str">
        <f t="shared" si="36"/>
        <v>1-0.0177335149245262i</v>
      </c>
      <c r="X12" s="54">
        <f t="shared" si="4"/>
        <v>1.0001572264157164</v>
      </c>
      <c r="Y12" s="54">
        <f t="shared" si="5"/>
        <v>-1.773165634441785E-2</v>
      </c>
      <c r="Z12" s="55" t="str">
        <f t="shared" si="37"/>
        <v>0.999998164677505+0.0131937351038475i</v>
      </c>
      <c r="AA12" s="54">
        <f t="shared" si="6"/>
        <v>1.000085198372803</v>
      </c>
      <c r="AB12" s="54">
        <f t="shared" si="7"/>
        <v>1.3192993829463139E-2</v>
      </c>
      <c r="AC12" s="56" t="str">
        <f t="shared" si="8"/>
        <v>4.11863733122969-7.84839252689303i</v>
      </c>
      <c r="AD12" s="57">
        <f t="shared" si="9"/>
        <v>18.952039001121502</v>
      </c>
      <c r="AE12" s="58">
        <f t="shared" si="10"/>
        <v>-62.310650547588544</v>
      </c>
      <c r="AF12" s="41" t="str">
        <f t="shared" si="11"/>
        <v>69.5520360182888</v>
      </c>
      <c r="AG12" t="str">
        <f t="shared" si="12"/>
        <v>1+1.52406893979928i</v>
      </c>
      <c r="AH12">
        <f t="shared" si="38"/>
        <v>1.8228511001343202</v>
      </c>
      <c r="AI12">
        <f t="shared" si="39"/>
        <v>0.99011805434637989</v>
      </c>
      <c r="AJ12" t="str">
        <f t="shared" si="13"/>
        <v>1+0.0320054477357848i</v>
      </c>
      <c r="AK12">
        <f t="shared" si="40"/>
        <v>1.0005120432482399</v>
      </c>
      <c r="AL12">
        <f t="shared" si="41"/>
        <v>3.1994526201377181E-2</v>
      </c>
      <c r="AM12" t="str">
        <f t="shared" si="14"/>
        <v>1-0.00388521845920701i</v>
      </c>
      <c r="AN12">
        <f t="shared" si="42"/>
        <v>1.0000075474327561</v>
      </c>
      <c r="AO12">
        <f t="shared" si="43"/>
        <v>-3.885198910360248E-3</v>
      </c>
      <c r="AP12" s="41" t="str">
        <f t="shared" si="44"/>
        <v>21.8315248319482-31.3169297053419i</v>
      </c>
      <c r="AQ12">
        <f t="shared" si="45"/>
        <v>31.635685029926648</v>
      </c>
      <c r="AR12" s="43">
        <f t="shared" si="46"/>
        <v>-55.119039915025091</v>
      </c>
      <c r="AS12" s="55" t="str">
        <f t="shared" si="15"/>
        <v>-0.0000166666666666667</v>
      </c>
      <c r="AT12" s="55" t="str">
        <f t="shared" si="16"/>
        <v>0.0000289410963568267i</v>
      </c>
      <c r="AU12" s="55">
        <f t="shared" si="17"/>
        <v>2.8941096356826699E-5</v>
      </c>
      <c r="AV12" s="55">
        <f t="shared" si="18"/>
        <v>1.5707963267948966</v>
      </c>
      <c r="AW12" s="55" t="str">
        <f t="shared" si="19"/>
        <v>1+0.0294117647058824i</v>
      </c>
      <c r="AX12" s="55">
        <f t="shared" si="20"/>
        <v>1.0004324324526441</v>
      </c>
      <c r="AY12" s="55">
        <f t="shared" si="21"/>
        <v>2.9403288204005163E-2</v>
      </c>
      <c r="AZ12" s="55" t="str">
        <f t="shared" si="22"/>
        <v>1+i</v>
      </c>
      <c r="BA12" s="55">
        <f t="shared" si="23"/>
        <v>1.4142135623730951</v>
      </c>
      <c r="BB12" s="55">
        <f t="shared" si="24"/>
        <v>0.78539816339744828</v>
      </c>
      <c r="BC12" s="52" t="str">
        <f t="shared" si="25"/>
        <v>-0.558461538461539+0.592307692307693i</v>
      </c>
      <c r="BD12" s="55">
        <f t="shared" si="26"/>
        <v>-1.7867798835352935</v>
      </c>
      <c r="BE12" s="58">
        <f t="shared" si="27"/>
        <v>133.31531568210372</v>
      </c>
      <c r="BF12" s="52" t="str">
        <f t="shared" si="28"/>
        <v>2.34856272556529+6.8225259381317i</v>
      </c>
      <c r="BG12" s="57">
        <f t="shared" si="29"/>
        <v>17.16525911758621</v>
      </c>
      <c r="BH12" s="58">
        <f t="shared" si="30"/>
        <v>71.004665134515193</v>
      </c>
      <c r="BI12" s="61" t="str">
        <f t="shared" si="47"/>
        <v>6.35719141932221+30.4202808359064i</v>
      </c>
      <c r="BJ12" s="57">
        <f t="shared" si="31"/>
        <v>29.848905146391346</v>
      </c>
      <c r="BK12" s="58">
        <f t="shared" si="32"/>
        <v>78.196275767078603</v>
      </c>
      <c r="BL12" s="41">
        <f t="shared" si="48"/>
        <v>17.16525911758621</v>
      </c>
      <c r="BM12" s="43">
        <f t="shared" si="49"/>
        <v>71.004665134515193</v>
      </c>
    </row>
    <row r="13" spans="1:65" ht="15.75" thickBot="1" x14ac:dyDescent="0.3">
      <c r="A13" t="s">
        <v>64</v>
      </c>
      <c r="B13" s="3">
        <f>Fsw</f>
        <v>2000000</v>
      </c>
      <c r="C13" t="s">
        <v>65</v>
      </c>
      <c r="E13" t="s">
        <v>66</v>
      </c>
      <c r="N13" s="180" t="s">
        <v>232</v>
      </c>
      <c r="O13" s="45">
        <f>wp1_ea/(2*PI())</f>
        <v>46061.185436878121</v>
      </c>
      <c r="P13" s="59" t="str">
        <f t="shared" si="33"/>
        <v>19.1021967526266</v>
      </c>
      <c r="Q13" s="38" t="str">
        <f t="shared" si="34"/>
        <v>1+64.9585257292672i</v>
      </c>
      <c r="R13" s="38">
        <f t="shared" si="0"/>
        <v>64.966222492306471</v>
      </c>
      <c r="S13" s="38">
        <f t="shared" si="1"/>
        <v>1.5554031046771819</v>
      </c>
      <c r="T13" s="38" t="str">
        <f t="shared" si="35"/>
        <v>1+1.08818522301668i</v>
      </c>
      <c r="U13" s="38">
        <f t="shared" si="2"/>
        <v>1.4778860171176469</v>
      </c>
      <c r="V13" s="38">
        <f t="shared" si="3"/>
        <v>0.82760364129789921</v>
      </c>
      <c r="W13" s="39" t="str">
        <f t="shared" si="36"/>
        <v>1-0.60293950743389i</v>
      </c>
      <c r="X13" s="38">
        <f t="shared" si="4"/>
        <v>1.1677054635586073</v>
      </c>
      <c r="Y13" s="38">
        <f t="shared" si="5"/>
        <v>-0.54257810007660301</v>
      </c>
      <c r="Z13" s="39" t="str">
        <f t="shared" si="37"/>
        <v>0.99787836719615+0.448586993530814i</v>
      </c>
      <c r="AA13" s="38">
        <f t="shared" si="6"/>
        <v>1.0940710792645372</v>
      </c>
      <c r="AB13" s="38">
        <f t="shared" si="7"/>
        <v>0.42247195110104097</v>
      </c>
      <c r="AC13" s="42" t="str">
        <f t="shared" si="8"/>
        <v>-0.0564670012413414-0.460342965753085i</v>
      </c>
      <c r="AD13" s="46">
        <f t="shared" si="9"/>
        <v>-6.673511736534806</v>
      </c>
      <c r="AE13" s="45">
        <f t="shared" si="10"/>
        <v>-96.993132534882093</v>
      </c>
      <c r="AF13" s="44" t="str">
        <f t="shared" si="11"/>
        <v>69.5520360182888</v>
      </c>
      <c r="AG13" s="39" t="str">
        <f t="shared" si="12"/>
        <v>1+51.8183439531755i</v>
      </c>
      <c r="AH13" s="39">
        <f t="shared" si="38"/>
        <v>51.827992147579863</v>
      </c>
      <c r="AI13" s="39">
        <f t="shared" si="39"/>
        <v>1.5515005367045949</v>
      </c>
      <c r="AJ13" s="39" t="str">
        <f t="shared" si="13"/>
        <v>1+1.08818522301668i</v>
      </c>
      <c r="AK13" s="39">
        <f t="shared" si="40"/>
        <v>1.4778860171176469</v>
      </c>
      <c r="AL13" s="39">
        <f t="shared" si="41"/>
        <v>0.82760364129789921</v>
      </c>
      <c r="AM13" s="39" t="str">
        <f t="shared" si="14"/>
        <v>1-0.132097427613038i</v>
      </c>
      <c r="AN13" s="39">
        <f t="shared" si="42"/>
        <v>1.0086871320592832</v>
      </c>
      <c r="AO13" s="39">
        <f t="shared" si="43"/>
        <v>-0.13133701840549389</v>
      </c>
      <c r="AP13" s="44" t="str">
        <f t="shared" si="44"/>
        <v>1.31242507560687-1.50984119800863i</v>
      </c>
      <c r="AQ13" s="39">
        <f t="shared" si="45"/>
        <v>6.0228576818068138</v>
      </c>
      <c r="AR13" s="45">
        <f t="shared" si="46"/>
        <v>-49.001293757893635</v>
      </c>
      <c r="AS13" s="39" t="str">
        <f t="shared" si="15"/>
        <v>-0.0000166666666666667</v>
      </c>
      <c r="AT13" s="39" t="str">
        <f t="shared" si="16"/>
        <v>0.000983997276132108i</v>
      </c>
      <c r="AU13" s="39">
        <f t="shared" si="17"/>
        <v>9.8399727613210797E-4</v>
      </c>
      <c r="AV13" s="39">
        <f t="shared" si="18"/>
        <v>1.5707963267948966</v>
      </c>
      <c r="AW13" s="39" t="str">
        <f t="shared" si="19"/>
        <v>1+i</v>
      </c>
      <c r="AX13" s="39">
        <f t="shared" si="20"/>
        <v>1.4142135623730951</v>
      </c>
      <c r="AY13" s="39">
        <f t="shared" si="21"/>
        <v>0.78539816339744828</v>
      </c>
      <c r="AZ13" s="39" t="str">
        <f t="shared" si="22"/>
        <v>1+34i</v>
      </c>
      <c r="BA13" s="39">
        <f t="shared" si="23"/>
        <v>34.014702703389901</v>
      </c>
      <c r="BB13" s="39">
        <f t="shared" si="24"/>
        <v>1.5413930385908916</v>
      </c>
      <c r="BC13" s="44" t="str">
        <f t="shared" si="25"/>
        <v>-0.279472318339101+0.296410034602077i</v>
      </c>
      <c r="BD13" s="39">
        <f t="shared" si="26"/>
        <v>-7.7998692994701182</v>
      </c>
      <c r="BE13" s="45">
        <f t="shared" si="27"/>
        <v>133.31531568210369</v>
      </c>
      <c r="BF13" s="44" t="str">
        <f t="shared" si="28"/>
        <v>0.152231238154269+0.111915730078291i</v>
      </c>
      <c r="BG13" s="46">
        <f t="shared" si="29"/>
        <v>-14.47338103600492</v>
      </c>
      <c r="BH13" s="45">
        <f t="shared" si="30"/>
        <v>36.322183147221764</v>
      </c>
      <c r="BI13" s="61" t="str">
        <f t="shared" si="47"/>
        <v>0.0807456032191575+0.810974782004623i</v>
      </c>
      <c r="BJ13" s="46">
        <f t="shared" si="31"/>
        <v>-1.7770116176633075</v>
      </c>
      <c r="BK13" s="45">
        <f t="shared" si="32"/>
        <v>84.314021924210053</v>
      </c>
      <c r="BL13" s="44">
        <f t="shared" si="48"/>
        <v>-14.47338103600492</v>
      </c>
      <c r="BM13" s="45">
        <f t="shared" si="49"/>
        <v>36.322183147221764</v>
      </c>
    </row>
    <row r="15" spans="1:65" ht="15.75" thickBot="1" x14ac:dyDescent="0.3">
      <c r="A15" s="49" t="s">
        <v>456</v>
      </c>
      <c r="O15" s="34" t="s">
        <v>196</v>
      </c>
      <c r="P15">
        <f>B16</f>
        <v>12</v>
      </c>
      <c r="Q15" t="s">
        <v>10</v>
      </c>
    </row>
    <row r="16" spans="1:65" ht="15.75" thickBot="1" x14ac:dyDescent="0.3">
      <c r="A16" t="s">
        <v>198</v>
      </c>
      <c r="B16">
        <f>VIN_var</f>
        <v>12</v>
      </c>
      <c r="C16" t="s">
        <v>10</v>
      </c>
      <c r="E16" t="s">
        <v>199</v>
      </c>
      <c r="O16" s="48"/>
      <c r="P16" s="225" t="s">
        <v>454</v>
      </c>
      <c r="Q16" s="225"/>
      <c r="R16" s="225"/>
      <c r="S16" s="225"/>
      <c r="T16" s="225"/>
      <c r="U16" s="225"/>
      <c r="V16" s="225"/>
      <c r="W16" s="225"/>
      <c r="X16" s="225"/>
      <c r="Y16" s="225"/>
      <c r="Z16" s="225"/>
      <c r="AA16" s="225"/>
      <c r="AB16" s="225"/>
      <c r="AC16" s="225"/>
      <c r="AD16" s="225"/>
      <c r="AE16" s="226"/>
      <c r="AF16" s="224" t="s">
        <v>455</v>
      </c>
      <c r="AG16" s="225"/>
      <c r="AH16" s="225"/>
      <c r="AI16" s="225"/>
      <c r="AJ16" s="225"/>
      <c r="AK16" s="225"/>
      <c r="AL16" s="225"/>
      <c r="AM16" s="225"/>
      <c r="AN16" s="225"/>
      <c r="AO16" s="225"/>
      <c r="AP16" s="225"/>
      <c r="AQ16" s="225"/>
      <c r="AR16" s="226"/>
      <c r="AS16" s="224" t="s">
        <v>225</v>
      </c>
      <c r="AT16" s="225"/>
      <c r="AU16" s="225"/>
      <c r="AV16" s="225"/>
      <c r="AW16" s="225"/>
      <c r="AX16" s="225"/>
      <c r="AY16" s="225"/>
      <c r="AZ16" s="225"/>
      <c r="BA16" s="225"/>
      <c r="BB16" s="225"/>
      <c r="BC16" s="225"/>
      <c r="BD16" s="225"/>
      <c r="BE16" s="226"/>
      <c r="BF16" s="224" t="s">
        <v>484</v>
      </c>
      <c r="BG16" s="225"/>
      <c r="BH16" s="226"/>
      <c r="BI16" s="224" t="s">
        <v>485</v>
      </c>
      <c r="BJ16" s="225"/>
      <c r="BK16" s="226"/>
      <c r="BL16" s="224" t="s">
        <v>486</v>
      </c>
      <c r="BM16" s="226"/>
    </row>
    <row r="17" spans="1:65" x14ac:dyDescent="0.25">
      <c r="A17" t="s">
        <v>382</v>
      </c>
      <c r="B17">
        <f>IOUT</f>
        <v>15</v>
      </c>
      <c r="C17" t="s">
        <v>11</v>
      </c>
      <c r="E17" t="s">
        <v>477</v>
      </c>
      <c r="O17" s="36"/>
      <c r="Q17" s="227" t="s">
        <v>217</v>
      </c>
      <c r="R17" s="227"/>
      <c r="S17" s="227"/>
      <c r="T17" s="223" t="s">
        <v>219</v>
      </c>
      <c r="U17" s="223"/>
      <c r="V17" s="223"/>
      <c r="W17" s="223" t="s">
        <v>258</v>
      </c>
      <c r="X17" s="223"/>
      <c r="Y17" s="223"/>
      <c r="Z17" s="223" t="s">
        <v>222</v>
      </c>
      <c r="AA17" s="223"/>
      <c r="AB17" s="223"/>
      <c r="AC17" s="231" t="s">
        <v>224</v>
      </c>
      <c r="AD17" s="223"/>
      <c r="AE17" s="232"/>
      <c r="AF17" s="153"/>
      <c r="AG17" s="227" t="s">
        <v>217</v>
      </c>
      <c r="AH17" s="227"/>
      <c r="AI17" s="227"/>
      <c r="AJ17" s="228" t="s">
        <v>219</v>
      </c>
      <c r="AK17" s="228"/>
      <c r="AL17" s="228"/>
      <c r="AM17" s="223" t="s">
        <v>258</v>
      </c>
      <c r="AN17" s="223"/>
      <c r="AO17" s="223"/>
      <c r="AP17" s="229" t="s">
        <v>224</v>
      </c>
      <c r="AQ17" s="228"/>
      <c r="AR17" s="230"/>
      <c r="AT17" s="223" t="s">
        <v>231</v>
      </c>
      <c r="AU17" s="223"/>
      <c r="AV17" s="223"/>
      <c r="AW17" s="223" t="s">
        <v>232</v>
      </c>
      <c r="AX17" s="223"/>
      <c r="AY17" s="223"/>
      <c r="AZ17" s="223" t="s">
        <v>226</v>
      </c>
      <c r="BA17" s="223"/>
      <c r="BB17" s="223"/>
      <c r="BC17" s="231" t="s">
        <v>224</v>
      </c>
      <c r="BD17" s="223"/>
      <c r="BE17" s="232"/>
      <c r="BF17" s="231" t="s">
        <v>224</v>
      </c>
      <c r="BG17" s="223"/>
      <c r="BH17" s="232"/>
      <c r="BI17" s="231" t="s">
        <v>224</v>
      </c>
      <c r="BJ17" s="223"/>
      <c r="BK17" s="232"/>
      <c r="BM17" s="43"/>
    </row>
    <row r="18" spans="1:65" ht="15.75" thickBot="1" x14ac:dyDescent="0.3">
      <c r="N18" s="9"/>
      <c r="O18" s="37" t="s">
        <v>195</v>
      </c>
      <c r="P18" s="38" t="s">
        <v>200</v>
      </c>
      <c r="Q18" s="39" t="s">
        <v>223</v>
      </c>
      <c r="R18" s="38" t="s">
        <v>220</v>
      </c>
      <c r="S18" s="38" t="s">
        <v>221</v>
      </c>
      <c r="T18" s="38" t="s">
        <v>223</v>
      </c>
      <c r="U18" s="38" t="s">
        <v>220</v>
      </c>
      <c r="V18" s="38" t="s">
        <v>221</v>
      </c>
      <c r="W18" s="38" t="s">
        <v>223</v>
      </c>
      <c r="X18" s="38" t="s">
        <v>220</v>
      </c>
      <c r="Y18" s="38" t="s">
        <v>221</v>
      </c>
      <c r="Z18" s="38" t="s">
        <v>223</v>
      </c>
      <c r="AA18" s="38" t="s">
        <v>220</v>
      </c>
      <c r="AB18" s="38" t="s">
        <v>221</v>
      </c>
      <c r="AC18" s="42" t="s">
        <v>235</v>
      </c>
      <c r="AD18" s="38" t="s">
        <v>220</v>
      </c>
      <c r="AE18" s="40" t="s">
        <v>221</v>
      </c>
      <c r="AF18" s="156" t="s">
        <v>200</v>
      </c>
      <c r="AG18" s="156" t="s">
        <v>223</v>
      </c>
      <c r="AH18" s="156" t="s">
        <v>234</v>
      </c>
      <c r="AI18" s="156" t="s">
        <v>221</v>
      </c>
      <c r="AJ18" s="156" t="s">
        <v>223</v>
      </c>
      <c r="AK18" s="156" t="s">
        <v>234</v>
      </c>
      <c r="AL18" s="156" t="s">
        <v>221</v>
      </c>
      <c r="AM18" s="156" t="s">
        <v>223</v>
      </c>
      <c r="AN18" s="156" t="s">
        <v>234</v>
      </c>
      <c r="AO18" s="156" t="s">
        <v>221</v>
      </c>
      <c r="AP18" s="42" t="s">
        <v>235</v>
      </c>
      <c r="AQ18" s="38" t="s">
        <v>220</v>
      </c>
      <c r="AR18" s="40" t="s">
        <v>221</v>
      </c>
      <c r="AS18" s="38" t="s">
        <v>233</v>
      </c>
      <c r="AT18" s="38" t="s">
        <v>223</v>
      </c>
      <c r="AU18" s="38" t="s">
        <v>234</v>
      </c>
      <c r="AV18" s="38" t="s">
        <v>221</v>
      </c>
      <c r="AW18" s="38" t="s">
        <v>223</v>
      </c>
      <c r="AX18" s="38" t="s">
        <v>234</v>
      </c>
      <c r="AY18" s="38" t="s">
        <v>221</v>
      </c>
      <c r="AZ18" s="38" t="s">
        <v>223</v>
      </c>
      <c r="BA18" s="38" t="s">
        <v>234</v>
      </c>
      <c r="BB18" s="38" t="s">
        <v>221</v>
      </c>
      <c r="BC18" s="42" t="s">
        <v>235</v>
      </c>
      <c r="BD18" s="38" t="s">
        <v>220</v>
      </c>
      <c r="BE18" s="40" t="s">
        <v>221</v>
      </c>
      <c r="BF18" s="42" t="s">
        <v>235</v>
      </c>
      <c r="BG18" s="38" t="s">
        <v>220</v>
      </c>
      <c r="BH18" s="40" t="s">
        <v>221</v>
      </c>
      <c r="BI18" s="42" t="s">
        <v>235</v>
      </c>
      <c r="BJ18" s="38" t="s">
        <v>220</v>
      </c>
      <c r="BK18" s="40" t="s">
        <v>221</v>
      </c>
      <c r="BL18" s="4" t="s">
        <v>487</v>
      </c>
      <c r="BM18" s="60" t="s">
        <v>488</v>
      </c>
    </row>
    <row r="19" spans="1:65" x14ac:dyDescent="0.25">
      <c r="A19" t="s">
        <v>31</v>
      </c>
      <c r="B19" s="29">
        <f>VOUT</f>
        <v>20</v>
      </c>
      <c r="C19" t="s">
        <v>10</v>
      </c>
      <c r="E19" t="s">
        <v>173</v>
      </c>
      <c r="N19" s="9">
        <v>1</v>
      </c>
      <c r="O19" s="34">
        <f>10^(1+(N19/100))</f>
        <v>10.232929922807543</v>
      </c>
      <c r="P19" s="33" t="str">
        <f t="shared" ref="P19:P82" si="50">COMPLEX(Adc,0)</f>
        <v>19.1021967526266</v>
      </c>
      <c r="Q19" s="4" t="str">
        <f>IMSUM(COMPLEX(1,0),IMDIV(COMPLEX(0,2*PI()*O19),COMPLEX(wp_lf,0)))</f>
        <v>1+0.0144311535921585i</v>
      </c>
      <c r="R19" s="4">
        <f>IMABS(Q19)</f>
        <v>1.0001041236761303</v>
      </c>
      <c r="S19" s="4">
        <f>IMARGUMENT(Q19)</f>
        <v>1.4430151915325151E-2</v>
      </c>
      <c r="T19" s="4" t="str">
        <f t="shared" ref="T19:T82" si="51">IMSUM(COMPLEX(1,0),IMDIV(COMPLEX(0,2*PI()*O19),COMPLEX(wz_esr,0)))</f>
        <v>1+0.000241750684975839i</v>
      </c>
      <c r="U19" s="4">
        <f>IMABS(T19)</f>
        <v>1.0000000292216964</v>
      </c>
      <c r="V19" s="4">
        <f>IMARGUMENT(T19)</f>
        <v>2.4175068026626237E-4</v>
      </c>
      <c r="W19" t="str">
        <f t="shared" ref="W19:W82" si="52">IMSUB(COMPLEX(1,0),IMDIV(COMPLEX(0,2*PI()*O19),COMPLEX(wz_rhp,0)))</f>
        <v>1-0.000133948739459131i</v>
      </c>
      <c r="X19" s="4">
        <f>IMABS(W19)</f>
        <v>1.0000000089711323</v>
      </c>
      <c r="Y19" s="4">
        <f>IMARGUMENT(W19)</f>
        <v>-1.3394873865801642E-4</v>
      </c>
      <c r="Z19" t="str">
        <f t="shared" ref="Z19:Z82" si="53">IMSUM(COMPLEX(1,0),IMDIV(COMPLEX(0,2*PI()*O19),COMPLEX(Q*(wsl/2),0)),IMDIV(IMPOWER(COMPLEX(0,2*PI()*O19),2),IMPOWER(COMPLEX(wsl/2,0),2)))</f>
        <v>0.999999999895287+0.0000996578621575931i</v>
      </c>
      <c r="AA19" s="4">
        <f>IMABS(Z19)</f>
        <v>1.0000000048611315</v>
      </c>
      <c r="AB19" s="4">
        <f>IMARGUMENT(Z19)</f>
        <v>9.9657861838104935E-5</v>
      </c>
      <c r="AC19" s="47" t="str">
        <f>(IMDIV(IMPRODUCT(P19,T19,W19),IMPRODUCT(Q19,Z19)))</f>
        <v>19.0982222724746-0.275453809131941i</v>
      </c>
      <c r="AD19" s="20">
        <f>20*LOG(IMABS(AC19))</f>
        <v>25.620762209540459</v>
      </c>
      <c r="AE19" s="43">
        <f>(180/PI())*IMARGUMENT(AC19)</f>
        <v>-0.82632018108190453</v>
      </c>
      <c r="AF19" t="str">
        <f t="shared" ref="AF19:AF82" si="54">COMPLEX($B$72,0)</f>
        <v>69.5520360182888</v>
      </c>
      <c r="AG19" t="str">
        <f t="shared" ref="AG19:AG82" si="55">IMSUM(COMPLEX(1,0),IMDIV(COMPLEX(0,2*PI()*O19),COMPLEX(wp_lf_DCM,0)))</f>
        <v>1+0.0115119373798019i</v>
      </c>
      <c r="AH19">
        <f>IMABS(AG19)</f>
        <v>1.000066260155914</v>
      </c>
      <c r="AI19">
        <f>IMARGUMENT(AG19)</f>
        <v>1.1511428881543294E-2</v>
      </c>
      <c r="AJ19" t="str">
        <f t="shared" ref="AJ19:AJ82" si="56">IMSUM(COMPLEX(1,0),IMDIV(COMPLEX(0,2*PI()*O19),COMPLEX(wz1_dcm,0)))</f>
        <v>1+0.000241750684975839i</v>
      </c>
      <c r="AK19">
        <f>IMABS(AJ19)</f>
        <v>1.0000000292216964</v>
      </c>
      <c r="AL19">
        <f>IMARGUMENT(AJ19)</f>
        <v>2.4175068026626237E-4</v>
      </c>
      <c r="AM19" t="str">
        <f t="shared" ref="AM19:AM82" si="57">IMSUB(COMPLEX(1,0),IMDIV(COMPLEX(0,2*PI()*O19),COMPLEX(wz2_dcm,0)))</f>
        <v>1-0.0000293466984604593i</v>
      </c>
      <c r="AN19">
        <f>IMABS(AM19)</f>
        <v>1.0000000004306142</v>
      </c>
      <c r="AO19">
        <f>IMARGUMENT(AM19)</f>
        <v>-2.9346698452034561E-5</v>
      </c>
      <c r="AP19" s="41" t="str">
        <f>(IMDIV(IMPRODUCT(AF19,AJ19,AM19),IMPRODUCT(AG19)))</f>
        <v>69.5429904149785-0.78580142114085i</v>
      </c>
      <c r="AQ19">
        <f>20*LOG(IMABS(AP19))</f>
        <v>36.845621703241619</v>
      </c>
      <c r="AR19" s="43">
        <f>(180/PI())*IMARGUMENT(AP19)</f>
        <v>-0.64738643936770346</v>
      </c>
      <c r="AS19" t="str">
        <f t="shared" ref="AS19:AS82" si="58">COMPLEX(Adc_ea,0)</f>
        <v>-0.0000166666666666667</v>
      </c>
      <c r="AT19" t="str">
        <f t="shared" ref="AT19:AT82" si="59">COMPLEX(0,2*PI()*O19*wp0_ea)</f>
        <v>2.18604342797301E-07i</v>
      </c>
      <c r="AU19">
        <f>IMABS(AT19)</f>
        <v>2.1860434279730101E-7</v>
      </c>
      <c r="AV19">
        <f>IMARGUMENT(AT19)</f>
        <v>1.5707963267948966</v>
      </c>
      <c r="AW19" t="str">
        <f t="shared" ref="AW19:AW82" si="60">IMSUM(COMPLEX(1,0),IMDIV(COMPLEX(0,2*PI()*O19),COMPLEX(wp1_ea,0)))</f>
        <v>1+0.000222159499929299i</v>
      </c>
      <c r="AX19">
        <f>IMABS(AW19)</f>
        <v>1.0000000246774214</v>
      </c>
      <c r="AY19">
        <f>IMARGUMENT(AW19)</f>
        <v>2.2215949627441667E-4</v>
      </c>
      <c r="AZ19" t="str">
        <f t="shared" ref="AZ19:AZ82" si="61">IMSUM(COMPLEX(1,0),IMDIV(COMPLEX(0,2*PI()*O19),COMPLEX(wz_ea,0)))</f>
        <v>1+0.00755342299759616i</v>
      </c>
      <c r="BA19">
        <f>IMABS(AZ19)</f>
        <v>1.0000285266926041</v>
      </c>
      <c r="BB19">
        <f>IMARGUMENT(AZ19)</f>
        <v>7.5532793510139492E-3</v>
      </c>
      <c r="BC19" s="41" t="str">
        <f>IMPRODUCT(AS19,IMDIV(AZ19,IMPRODUCT(AT19,AW19)))</f>
        <v>-0.55894460909158+76.2413664731413i</v>
      </c>
      <c r="BD19">
        <f>20*LOG(IMABS(BC19))</f>
        <v>37.644046846143986</v>
      </c>
      <c r="BE19" s="43">
        <f>(180/PI())*IMARGUMENT(BC19)</f>
        <v>90.420042226781135</v>
      </c>
      <c r="BF19" s="41" t="str">
        <f>IMPRODUCT(AC19,BC19)</f>
        <v>10.3261264260186+1456.22852668291i</v>
      </c>
      <c r="BG19" s="20">
        <f>20*LOG(IMABS(BF19))</f>
        <v>63.264809055684424</v>
      </c>
      <c r="BH19" s="43">
        <f>(180/PI())*IMARGUMENT(BF19)</f>
        <v>89.593722045699238</v>
      </c>
      <c r="BI19" s="41" t="str">
        <f>IMPRODUCT(AP19,BC19)</f>
        <v>21.0398945317551+5302.49183733469i</v>
      </c>
      <c r="BJ19" s="20">
        <f>20*LOG(IMABS(BI19))</f>
        <v>74.489668549385598</v>
      </c>
      <c r="BK19" s="43">
        <f>(180/PI())*IMARGUMENT(BI19)</f>
        <v>89.772655787413441</v>
      </c>
      <c r="BL19">
        <f>IF($B$31=0,BJ19,BG19)</f>
        <v>63.264809055684424</v>
      </c>
      <c r="BM19" s="43">
        <f>IF($B$31=0,BK19,BH19)</f>
        <v>89.593722045699238</v>
      </c>
    </row>
    <row r="20" spans="1:65" x14ac:dyDescent="0.25">
      <c r="A20" t="s">
        <v>33</v>
      </c>
      <c r="B20" s="29">
        <f>IOUT</f>
        <v>15</v>
      </c>
      <c r="C20" t="s">
        <v>11</v>
      </c>
      <c r="E20" t="s">
        <v>34</v>
      </c>
      <c r="N20" s="9">
        <v>2</v>
      </c>
      <c r="O20" s="34">
        <f t="shared" ref="O20:O83" si="62">10^(1+(N20/100))</f>
        <v>10.471285480509</v>
      </c>
      <c r="P20" s="33" t="str">
        <f t="shared" si="50"/>
        <v>19.1021967526266</v>
      </c>
      <c r="Q20" s="4" t="str">
        <f t="shared" ref="Q20:Q82" si="63">IMSUM(COMPLEX(1,0),IMDIV(COMPLEX(0,2*PI()*O20),COMPLEX(wp_lf,0)))</f>
        <v>1+0.014767298341383i</v>
      </c>
      <c r="R20" s="4">
        <f t="shared" ref="R20:R83" si="64">IMABS(Q20)</f>
        <v>1.0001090306063152</v>
      </c>
      <c r="S20" s="4">
        <f t="shared" ref="S20:S83" si="65">IMARGUMENT(Q20)</f>
        <v>1.4766225031638019E-2</v>
      </c>
      <c r="T20" s="4" t="str">
        <f t="shared" si="51"/>
        <v>1+0.000247381781814848i</v>
      </c>
      <c r="U20" s="4">
        <f t="shared" ref="U20:U83" si="66">IMABS(T20)</f>
        <v>1.0000000305988725</v>
      </c>
      <c r="V20" s="4">
        <f t="shared" ref="V20:V83" si="67">IMARGUMENT(T20)</f>
        <v>2.473817767684457E-4</v>
      </c>
      <c r="W20" t="str">
        <f t="shared" si="52"/>
        <v>1-0.000137068806413369i</v>
      </c>
      <c r="X20" s="4">
        <f t="shared" ref="X20:X83" si="68">IMABS(W20)</f>
        <v>1.0000000093939287</v>
      </c>
      <c r="Y20" s="4">
        <f t="shared" ref="Y20:Y83" si="69">IMARGUMENT(W20)</f>
        <v>-1.3706880555495928E-4</v>
      </c>
      <c r="Z20" t="str">
        <f t="shared" si="53"/>
        <v>0.999999999890352+0.000101979191971546i</v>
      </c>
      <c r="AA20" s="4">
        <f t="shared" ref="AA20:AA83" si="70">IMABS(Z20)</f>
        <v>1.0000000050902296</v>
      </c>
      <c r="AB20" s="4">
        <f t="shared" ref="AB20:AB83" si="71">IMARGUMENT(Z20)</f>
        <v>1.0197919162920825E-4</v>
      </c>
      <c r="AC20" s="47" t="str">
        <f t="shared" ref="AC20:AC83" si="72">(IMDIV(IMPRODUCT(P20,T20,W20),IMPRODUCT(Q20,Z20)))</f>
        <v>19.0980350018344-0.281867187103397i</v>
      </c>
      <c r="AD20" s="20">
        <f t="shared" ref="AD20:AD83" si="73">20*LOG(IMABS(AC20))</f>
        <v>25.62071960667279</v>
      </c>
      <c r="AE20" s="43">
        <f t="shared" ref="AE20:AE83" si="74">(180/PI())*IMARGUMENT(AC20)</f>
        <v>-0.84556488325571666</v>
      </c>
      <c r="AF20" t="str">
        <f t="shared" si="54"/>
        <v>69.5520360182888</v>
      </c>
      <c r="AG20" t="str">
        <f t="shared" si="55"/>
        <v>1+0.0117800848483261i</v>
      </c>
      <c r="AH20">
        <f t="shared" ref="AH20:AH83" si="75">IMABS(AG20)</f>
        <v>1.0000693827925309</v>
      </c>
      <c r="AI20">
        <f t="shared" ref="AI20:AI83" si="76">IMARGUMENT(AG20)</f>
        <v>1.1779539984666932E-2</v>
      </c>
      <c r="AJ20" t="str">
        <f t="shared" si="56"/>
        <v>1+0.000247381781814848i</v>
      </c>
      <c r="AK20">
        <f t="shared" ref="AK20:AK83" si="77">IMABS(AJ20)</f>
        <v>1.0000000305988725</v>
      </c>
      <c r="AL20">
        <f t="shared" ref="AL20:AL83" si="78">IMARGUMENT(AJ20)</f>
        <v>2.473817767684457E-4</v>
      </c>
      <c r="AM20" t="str">
        <f t="shared" si="57"/>
        <v>1-0.0000300302708811644i</v>
      </c>
      <c r="AN20">
        <f t="shared" ref="AN20:AN83" si="79">IMABS(AM20)</f>
        <v>1.0000000004509084</v>
      </c>
      <c r="AO20">
        <f t="shared" ref="AO20:AO83" si="80">IMARGUMENT(AM20)</f>
        <v>-3.0030270872137131E-5</v>
      </c>
      <c r="AP20" s="41" t="str">
        <f t="shared" ref="AP20:AP83" si="81">(IMDIV(IMPRODUCT(AF20,AJ20,AM20),IMPRODUCT(AG20)))</f>
        <v>69.5425641679786-0.804100066351861i</v>
      </c>
      <c r="AQ20">
        <f t="shared" ref="AQ20:AQ83" si="82">20*LOG(IMABS(AP20))</f>
        <v>36.845594594342231</v>
      </c>
      <c r="AR20" s="43">
        <f t="shared" ref="AR20:AR83" si="83">(180/PI())*IMARGUMENT(AP20)</f>
        <v>-0.6624646017683421</v>
      </c>
      <c r="AS20" t="str">
        <f t="shared" si="58"/>
        <v>-0.0000166666666666667</v>
      </c>
      <c r="AT20" t="str">
        <f t="shared" si="59"/>
        <v>2.23696292066618E-07i</v>
      </c>
      <c r="AU20">
        <f t="shared" ref="AU20:AU83" si="84">IMABS(AT20)</f>
        <v>2.23696292066618E-7</v>
      </c>
      <c r="AV20">
        <f t="shared" ref="AV20:AV83" si="85">IMARGUMENT(AT20)</f>
        <v>1.5707963267948966</v>
      </c>
      <c r="AW20" t="str">
        <f t="shared" si="60"/>
        <v>1+0.000227334259446248i</v>
      </c>
      <c r="AX20">
        <f t="shared" ref="AX20:AX83" si="86">IMABS(AW20)</f>
        <v>1.0000000258404325</v>
      </c>
      <c r="AY20">
        <f t="shared" ref="AY20:AY83" si="87">IMARGUMENT(AW20)</f>
        <v>2.2733425552997103E-4</v>
      </c>
      <c r="AZ20" t="str">
        <f t="shared" si="61"/>
        <v>1+0.00772936482117244i</v>
      </c>
      <c r="BA20">
        <f t="shared" ref="BA20:BA83" si="88">IMABS(AZ20)</f>
        <v>1.0000298710941282</v>
      </c>
      <c r="BB20">
        <f t="shared" ref="BB20:BB83" si="89">IMARGUMENT(AZ20)</f>
        <v>7.7292109013347814E-3</v>
      </c>
      <c r="BC20" s="41" t="str">
        <f t="shared" ref="BC20:BC83" si="90">IMPRODUCT(AS20,IMDIV(AZ20,IMPRODUCT(AT20,AW20)))</f>
        <v>-0.558944607791461+74.5059068130545i</v>
      </c>
      <c r="BD20">
        <f t="shared" ref="BD20:BD83" si="91">20*LOG(IMABS(BC20))</f>
        <v>37.444058513024508</v>
      </c>
      <c r="BE20" s="43">
        <f t="shared" ref="BE20:BE83" si="92">(180/PI())*IMARGUMENT(BC20)</f>
        <v>90.429825870232378</v>
      </c>
      <c r="BF20" s="41" t="str">
        <f t="shared" ref="BF20:BF83" si="93">IMPRODUCT(AC20,BC20)</f>
        <v>10.3260266922956+1423.07396430347i</v>
      </c>
      <c r="BG20" s="20">
        <f t="shared" ref="BG20:BG83" si="94">20*LOG(IMABS(BF20))</f>
        <v>63.064778119697287</v>
      </c>
      <c r="BH20" s="43">
        <f t="shared" ref="BH20:BH83" si="95">(180/PI())*IMARGUMENT(BF20)</f>
        <v>89.584260986976659</v>
      </c>
      <c r="BI20" s="41" t="str">
        <f t="shared" ref="BI20:BI49" si="96">IMPRODUCT(AP20,BC20)</f>
        <v>21.0397633582994+5181.78125283649i</v>
      </c>
      <c r="BJ20" s="20">
        <f t="shared" ref="BJ20:BJ83" si="97">20*LOG(IMABS(BI20))</f>
        <v>74.289653107366746</v>
      </c>
      <c r="BK20" s="43">
        <f t="shared" ref="BK20:BK49" si="98">(180/PI())*IMARGUMENT(BI20)</f>
        <v>89.767361268464029</v>
      </c>
      <c r="BL20">
        <f t="shared" ref="BL20:BL83" si="99">IF($B$31=0,BJ20,BG20)</f>
        <v>63.064778119697287</v>
      </c>
      <c r="BM20" s="43">
        <f t="shared" ref="BM20:BM83" si="100">IF($B$31=0,BK20,BH20)</f>
        <v>89.584260986976659</v>
      </c>
    </row>
    <row r="21" spans="1:65" x14ac:dyDescent="0.25">
      <c r="N21" s="9">
        <v>3</v>
      </c>
      <c r="O21" s="34">
        <f t="shared" si="62"/>
        <v>10.715193052376069</v>
      </c>
      <c r="P21" s="33" t="str">
        <f t="shared" si="50"/>
        <v>19.1021967526266</v>
      </c>
      <c r="Q21" s="4" t="str">
        <f t="shared" si="63"/>
        <v>1+0.0151112729076564i</v>
      </c>
      <c r="R21" s="4">
        <f t="shared" si="64"/>
        <v>1.0001141687671911</v>
      </c>
      <c r="S21" s="4">
        <f t="shared" si="65"/>
        <v>1.5110122842634719E-2</v>
      </c>
      <c r="T21" s="4" t="str">
        <f t="shared" si="51"/>
        <v>1+0.00025314404374906i</v>
      </c>
      <c r="U21" s="4">
        <f t="shared" si="66"/>
        <v>1.000000032040953</v>
      </c>
      <c r="V21" s="4">
        <f t="shared" si="67"/>
        <v>2.531440383417425E-4</v>
      </c>
      <c r="W21" t="str">
        <f t="shared" si="52"/>
        <v>1-0.000140261549063088i</v>
      </c>
      <c r="X21" s="4">
        <f t="shared" si="68"/>
        <v>1.000000009836651</v>
      </c>
      <c r="Y21" s="4">
        <f t="shared" si="69"/>
        <v>-1.402615481432854E-4</v>
      </c>
      <c r="Z21" t="str">
        <f t="shared" si="53"/>
        <v>0.999999999885185+0.000104354592502937i</v>
      </c>
      <c r="AA21" s="4">
        <f t="shared" si="70"/>
        <v>1.0000000053301255</v>
      </c>
      <c r="AB21" s="4">
        <f t="shared" si="71"/>
        <v>1.0435459213611545E-4</v>
      </c>
      <c r="AC21" s="47" t="str">
        <f t="shared" si="72"/>
        <v>19.0978389093401-0.288429754112871i</v>
      </c>
      <c r="AD21" s="20">
        <f t="shared" si="73"/>
        <v>25.620674996442091</v>
      </c>
      <c r="AE21" s="43">
        <f t="shared" si="74"/>
        <v>-0.86525765424009304</v>
      </c>
      <c r="AF21" t="str">
        <f t="shared" si="54"/>
        <v>69.5520360182888</v>
      </c>
      <c r="AG21" t="str">
        <f t="shared" si="55"/>
        <v>1+0.0120544782737648i</v>
      </c>
      <c r="AH21">
        <f t="shared" si="75"/>
        <v>1.0000726525840273</v>
      </c>
      <c r="AI21">
        <f t="shared" si="76"/>
        <v>1.2053894444125976E-2</v>
      </c>
      <c r="AJ21" t="str">
        <f t="shared" si="56"/>
        <v>1+0.00025314404374906i</v>
      </c>
      <c r="AK21">
        <f t="shared" si="77"/>
        <v>1.000000032040953</v>
      </c>
      <c r="AL21">
        <f t="shared" si="78"/>
        <v>2.531440383417425E-4</v>
      </c>
      <c r="AM21" t="str">
        <f t="shared" si="57"/>
        <v>1-0.0000307297657489884i</v>
      </c>
      <c r="AN21">
        <f t="shared" si="79"/>
        <v>1.0000000004721592</v>
      </c>
      <c r="AO21">
        <f t="shared" si="80"/>
        <v>-3.0729765739315506E-5</v>
      </c>
      <c r="AP21" s="41" t="str">
        <f t="shared" si="81"/>
        <v>69.5421178382826-0.822824582718726i</v>
      </c>
      <c r="AQ21">
        <f t="shared" si="82"/>
        <v>36.845566208021332</v>
      </c>
      <c r="AR21" s="43">
        <f t="shared" si="83"/>
        <v>-0.6778938792210184</v>
      </c>
      <c r="AS21" t="str">
        <f t="shared" si="58"/>
        <v>-0.0000166666666666667</v>
      </c>
      <c r="AT21" t="str">
        <f t="shared" si="59"/>
        <v>2.28906848070959E-07i</v>
      </c>
      <c r="AU21">
        <f t="shared" si="84"/>
        <v>2.28906848070959E-7</v>
      </c>
      <c r="AV21">
        <f t="shared" si="85"/>
        <v>1.5707963267948966</v>
      </c>
      <c r="AW21" t="str">
        <f t="shared" si="60"/>
        <v>1+0.000232629554596681i</v>
      </c>
      <c r="AX21">
        <f t="shared" si="86"/>
        <v>1.0000000270582545</v>
      </c>
      <c r="AY21">
        <f t="shared" si="87"/>
        <v>2.3262955040031464E-4</v>
      </c>
      <c r="AZ21" t="str">
        <f t="shared" si="61"/>
        <v>1+0.00790940485628714i</v>
      </c>
      <c r="BA21">
        <f t="shared" si="88"/>
        <v>1.0000312788534069</v>
      </c>
      <c r="BB21">
        <f t="shared" si="89"/>
        <v>7.9092399284882396E-3</v>
      </c>
      <c r="BC21" s="41" t="str">
        <f t="shared" si="90"/>
        <v>-0.558944606430071+72.8099511709623i</v>
      </c>
      <c r="BD21">
        <f t="shared" si="91"/>
        <v>37.244070729714529</v>
      </c>
      <c r="BE21" s="43">
        <f t="shared" si="92"/>
        <v>90.439837375630759</v>
      </c>
      <c r="BF21" s="41" t="str">
        <f t="shared" si="93"/>
        <v>10.3259222603648+1390.67393471535i</v>
      </c>
      <c r="BG21" s="20">
        <f t="shared" si="94"/>
        <v>62.864745726156606</v>
      </c>
      <c r="BH21" s="43">
        <f t="shared" si="95"/>
        <v>89.574579721390677</v>
      </c>
      <c r="BI21" s="41" t="str">
        <f t="shared" si="96"/>
        <v>21.0396260045854+5063.81811749321i</v>
      </c>
      <c r="BJ21" s="20">
        <f t="shared" si="97"/>
        <v>74.089636937735861</v>
      </c>
      <c r="BK21" s="43">
        <f t="shared" si="98"/>
        <v>89.761943496409756</v>
      </c>
      <c r="BL21">
        <f t="shared" si="99"/>
        <v>62.864745726156606</v>
      </c>
      <c r="BM21" s="43">
        <f t="shared" si="100"/>
        <v>89.574579721390677</v>
      </c>
    </row>
    <row r="22" spans="1:65" x14ac:dyDescent="0.25">
      <c r="A22" t="s">
        <v>174</v>
      </c>
      <c r="N22" s="9">
        <v>4</v>
      </c>
      <c r="O22" s="34">
        <f t="shared" si="62"/>
        <v>10.964781961431854</v>
      </c>
      <c r="P22" s="33" t="str">
        <f t="shared" si="50"/>
        <v>19.1021967526266</v>
      </c>
      <c r="Q22" s="4" t="str">
        <f t="shared" si="63"/>
        <v>1+0.0154632596708469i</v>
      </c>
      <c r="R22" s="4">
        <f t="shared" si="64"/>
        <v>1.0001195490538359</v>
      </c>
      <c r="S22" s="4">
        <f t="shared" si="65"/>
        <v>1.5462027361929516E-2</v>
      </c>
      <c r="T22" s="4" t="str">
        <f t="shared" si="51"/>
        <v>1+0.000259040526006026i</v>
      </c>
      <c r="U22" s="4">
        <f t="shared" si="66"/>
        <v>1.0000000335509964</v>
      </c>
      <c r="V22" s="4">
        <f t="shared" si="67"/>
        <v>2.5904052021198095E-4</v>
      </c>
      <c r="W22" t="str">
        <f t="shared" si="52"/>
        <v>1-0.000143528660242701i</v>
      </c>
      <c r="X22" s="4">
        <f t="shared" si="68"/>
        <v>1.000000010300238</v>
      </c>
      <c r="Y22" s="4">
        <f t="shared" si="69"/>
        <v>-1.4352865925711477E-4</v>
      </c>
      <c r="Z22" t="str">
        <f t="shared" si="53"/>
        <v>0.999999999879774+0.000106785323220569i</v>
      </c>
      <c r="AA22" s="4">
        <f t="shared" si="70"/>
        <v>1.0000000055813265</v>
      </c>
      <c r="AB22" s="4">
        <f t="shared" si="71"/>
        <v>1.0678532282751262E-4</v>
      </c>
      <c r="AC22" s="47" t="str">
        <f t="shared" si="72"/>
        <v>19.0976335796101-0.295144971085542i</v>
      </c>
      <c r="AD22" s="20">
        <f t="shared" si="73"/>
        <v>25.620628284287342</v>
      </c>
      <c r="AE22" s="43">
        <f t="shared" si="74"/>
        <v>-0.88540891674990485</v>
      </c>
      <c r="AF22" t="str">
        <f t="shared" si="54"/>
        <v>69.5520360182888</v>
      </c>
      <c r="AG22" t="str">
        <f t="shared" si="55"/>
        <v>1+0.0123352631431441i</v>
      </c>
      <c r="AH22">
        <f t="shared" si="75"/>
        <v>1.0000760764645911</v>
      </c>
      <c r="AI22">
        <f t="shared" si="76"/>
        <v>1.2334637560985313E-2</v>
      </c>
      <c r="AJ22" t="str">
        <f t="shared" si="56"/>
        <v>1+0.000259040526006026i</v>
      </c>
      <c r="AK22">
        <f t="shared" si="77"/>
        <v>1.0000000335509964</v>
      </c>
      <c r="AL22">
        <f t="shared" si="78"/>
        <v>2.5904052021198095E-4</v>
      </c>
      <c r="AM22" t="str">
        <f t="shared" si="57"/>
        <v>1-0.0000314455539453689i</v>
      </c>
      <c r="AN22">
        <f t="shared" si="79"/>
        <v>1.0000000004944114</v>
      </c>
      <c r="AO22">
        <f t="shared" si="80"/>
        <v>-3.1445553935004204E-5</v>
      </c>
      <c r="AP22" s="41" t="str">
        <f t="shared" si="81"/>
        <v>69.5416504799722-0.841984864384666i</v>
      </c>
      <c r="AQ22">
        <f t="shared" si="82"/>
        <v>36.845536484093365</v>
      </c>
      <c r="AR22" s="43">
        <f t="shared" si="83"/>
        <v>-0.69368244306190485</v>
      </c>
      <c r="AS22" t="str">
        <f t="shared" si="58"/>
        <v>-0.0000166666666666667</v>
      </c>
      <c r="AT22" t="str">
        <f t="shared" si="59"/>
        <v>2.34238773516088E-07i</v>
      </c>
      <c r="AU22">
        <f t="shared" si="84"/>
        <v>2.34238773516088E-7</v>
      </c>
      <c r="AV22">
        <f t="shared" si="85"/>
        <v>1.5707963267948966</v>
      </c>
      <c r="AW22" t="str">
        <f t="shared" si="60"/>
        <v>1+0.000238048193016176i</v>
      </c>
      <c r="AX22">
        <f t="shared" si="86"/>
        <v>1.0000000283334707</v>
      </c>
      <c r="AY22">
        <f t="shared" si="87"/>
        <v>2.3804818851968842E-4</v>
      </c>
      <c r="AZ22" t="str">
        <f t="shared" si="61"/>
        <v>1+0.00809363856254999i</v>
      </c>
      <c r="BA22">
        <f t="shared" si="88"/>
        <v>1.0000327529562125</v>
      </c>
      <c r="BB22">
        <f t="shared" si="89"/>
        <v>8.0934618395420987E-3</v>
      </c>
      <c r="BC22" s="41" t="str">
        <f t="shared" si="90"/>
        <v>-0.558944605004519+71.1526003287343i</v>
      </c>
      <c r="BD22">
        <f t="shared" si="91"/>
        <v>37.044083522122484</v>
      </c>
      <c r="BE22" s="43">
        <f t="shared" si="92"/>
        <v>90.450082048533034</v>
      </c>
      <c r="BF22" s="41" t="str">
        <f t="shared" si="93"/>
        <v>10.3258129090092+1359.0112590039i</v>
      </c>
      <c r="BG22" s="20">
        <f t="shared" si="94"/>
        <v>62.664711806409855</v>
      </c>
      <c r="BH22" s="43">
        <f t="shared" si="95"/>
        <v>89.564673131783138</v>
      </c>
      <c r="BI22" s="41" t="str">
        <f t="shared" si="96"/>
        <v>21.0394821795153+4948.53988569944i</v>
      </c>
      <c r="BJ22" s="20">
        <f t="shared" si="97"/>
        <v>73.88962000621585</v>
      </c>
      <c r="BK22" s="43">
        <f t="shared" si="98"/>
        <v>89.756399605471145</v>
      </c>
      <c r="BL22">
        <f t="shared" si="99"/>
        <v>62.664711806409855</v>
      </c>
      <c r="BM22" s="43">
        <f t="shared" si="100"/>
        <v>89.564673131783138</v>
      </c>
    </row>
    <row r="23" spans="1:65" x14ac:dyDescent="0.25">
      <c r="A23" t="s">
        <v>175</v>
      </c>
      <c r="B23" s="29">
        <f>Lm</f>
        <v>9.9999999999999995E-7</v>
      </c>
      <c r="C23" t="s">
        <v>87</v>
      </c>
      <c r="E23" t="s">
        <v>176</v>
      </c>
      <c r="N23" s="9">
        <v>5</v>
      </c>
      <c r="O23" s="34">
        <f t="shared" si="62"/>
        <v>11.220184543019636</v>
      </c>
      <c r="P23" s="33" t="str">
        <f t="shared" si="50"/>
        <v>19.1021967526266</v>
      </c>
      <c r="Q23" s="4" t="str">
        <f t="shared" si="63"/>
        <v>1+0.0158234452589952i</v>
      </c>
      <c r="R23" s="4">
        <f t="shared" si="64"/>
        <v>1.0001251828745561</v>
      </c>
      <c r="S23" s="4">
        <f t="shared" si="65"/>
        <v>1.5822124825126422E-2</v>
      </c>
      <c r="T23" s="4" t="str">
        <f t="shared" si="51"/>
        <v>1+0.000265074354978687i</v>
      </c>
      <c r="U23" s="4">
        <f t="shared" si="66"/>
        <v>1.0000000351322063</v>
      </c>
      <c r="V23" s="4">
        <f t="shared" si="67"/>
        <v>2.6507434877025586E-4</v>
      </c>
      <c r="W23" t="str">
        <f t="shared" si="52"/>
        <v>1-0.000146871872217801i</v>
      </c>
      <c r="X23" s="4">
        <f t="shared" si="68"/>
        <v>1.0000000107856735</v>
      </c>
      <c r="Y23" s="4">
        <f t="shared" si="69"/>
        <v>-1.468718711617263E-4</v>
      </c>
      <c r="Z23" t="str">
        <f t="shared" si="53"/>
        <v>0.999999999874107+0.000109272672930044i</v>
      </c>
      <c r="AA23" s="4">
        <f t="shared" si="70"/>
        <v>1.0000000058443654</v>
      </c>
      <c r="AB23" s="4">
        <f t="shared" si="71"/>
        <v>1.0927267250887658E-4</v>
      </c>
      <c r="AC23" s="47" t="str">
        <f t="shared" si="72"/>
        <v>19.0974185777238-0.302016378551921i</v>
      </c>
      <c r="AD23" s="20">
        <f t="shared" si="73"/>
        <v>25.620579371195475</v>
      </c>
      <c r="AE23" s="43">
        <f t="shared" si="74"/>
        <v>-0.90602933526482543</v>
      </c>
      <c r="AF23" t="str">
        <f t="shared" si="54"/>
        <v>69.5520360182888</v>
      </c>
      <c r="AG23" t="str">
        <f t="shared" si="55"/>
        <v>1+0.0126225883323185i</v>
      </c>
      <c r="AH23">
        <f t="shared" si="75"/>
        <v>1.0000796616951109</v>
      </c>
      <c r="AI23">
        <f t="shared" si="76"/>
        <v>1.262191801184211E-2</v>
      </c>
      <c r="AJ23" t="str">
        <f t="shared" si="56"/>
        <v>1+0.000265074354978687i</v>
      </c>
      <c r="AK23">
        <f t="shared" si="77"/>
        <v>1.0000000351322063</v>
      </c>
      <c r="AL23">
        <f t="shared" si="78"/>
        <v>2.6507434877025586E-4</v>
      </c>
      <c r="AM23" t="str">
        <f t="shared" si="57"/>
        <v>1-0.0000321780149906824i</v>
      </c>
      <c r="AN23">
        <f t="shared" si="79"/>
        <v>1.0000000005177123</v>
      </c>
      <c r="AO23">
        <f t="shared" si="80"/>
        <v>-3.2178014979576427E-5</v>
      </c>
      <c r="AP23" s="41" t="str">
        <f t="shared" si="81"/>
        <v>69.541161102603-0.861591034122224i</v>
      </c>
      <c r="AQ23">
        <f t="shared" si="82"/>
        <v>36.845505359538073</v>
      </c>
      <c r="AR23" s="43">
        <f t="shared" si="83"/>
        <v>-0.70983865444843175</v>
      </c>
      <c r="AS23" t="str">
        <f t="shared" si="58"/>
        <v>-0.0000166666666666667</v>
      </c>
      <c r="AT23" t="str">
        <f t="shared" si="59"/>
        <v>2.39694895459451E-07i</v>
      </c>
      <c r="AU23">
        <f t="shared" si="84"/>
        <v>2.3969489545945102E-7</v>
      </c>
      <c r="AV23">
        <f t="shared" si="85"/>
        <v>1.5707963267948966</v>
      </c>
      <c r="AW23" t="str">
        <f t="shared" si="60"/>
        <v>1+0.00024359304773855i</v>
      </c>
      <c r="AX23">
        <f t="shared" si="86"/>
        <v>1.0000000296687861</v>
      </c>
      <c r="AY23">
        <f t="shared" si="87"/>
        <v>2.4359304292047675E-4</v>
      </c>
      <c r="AZ23" t="str">
        <f t="shared" si="61"/>
        <v>1+0.00828216362311068i</v>
      </c>
      <c r="BA23">
        <f t="shared" si="88"/>
        <v>1.0000342965290141</v>
      </c>
      <c r="BB23">
        <f t="shared" si="89"/>
        <v>8.2819742613467907E-3</v>
      </c>
      <c r="BC23" s="41" t="str">
        <f t="shared" si="90"/>
        <v>-0.558944603511786+69.532975537017i</v>
      </c>
      <c r="BD23">
        <f t="shared" si="91"/>
        <v>36.844096917377648</v>
      </c>
      <c r="BE23" s="43">
        <f t="shared" si="92"/>
        <v>90.46056531793306</v>
      </c>
      <c r="BF23" s="41" t="str">
        <f t="shared" si="93"/>
        <v>10.3256984066047+1328.06914921001i</v>
      </c>
      <c r="BG23" s="20">
        <f t="shared" si="94"/>
        <v>62.464676288573145</v>
      </c>
      <c r="BH23" s="43">
        <f t="shared" si="95"/>
        <v>89.554535982668241</v>
      </c>
      <c r="BI23" s="41" t="str">
        <f t="shared" si="96"/>
        <v>21.0393315782901+4835.88543542201i</v>
      </c>
      <c r="BJ23" s="20">
        <f t="shared" si="97"/>
        <v>73.689602276915721</v>
      </c>
      <c r="BK23" s="43">
        <f t="shared" si="98"/>
        <v>89.750726663484627</v>
      </c>
      <c r="BL23">
        <f t="shared" si="99"/>
        <v>62.464676288573145</v>
      </c>
      <c r="BM23" s="43">
        <f t="shared" si="100"/>
        <v>89.554535982668241</v>
      </c>
    </row>
    <row r="24" spans="1:65" x14ac:dyDescent="0.25">
      <c r="N24" s="9">
        <v>6</v>
      </c>
      <c r="O24" s="34">
        <f t="shared" si="62"/>
        <v>11.481536214968834</v>
      </c>
      <c r="P24" s="33" t="str">
        <f t="shared" si="50"/>
        <v>19.1021967526266</v>
      </c>
      <c r="Q24" s="4" t="str">
        <f t="shared" si="63"/>
        <v>1+0.0161920206472679i</v>
      </c>
      <c r="R24" s="4">
        <f t="shared" si="64"/>
        <v>1.0001310821750524</v>
      </c>
      <c r="S24" s="4">
        <f t="shared" si="65"/>
        <v>1.6190605786901433E-2</v>
      </c>
      <c r="T24" s="4" t="str">
        <f t="shared" si="51"/>
        <v>1+0.000271248729883031i</v>
      </c>
      <c r="U24" s="4">
        <f t="shared" si="66"/>
        <v>1.000000036787936</v>
      </c>
      <c r="V24" s="4">
        <f t="shared" si="67"/>
        <v>2.7124872323057724E-4</v>
      </c>
      <c r="W24" t="str">
        <f t="shared" si="52"/>
        <v>1-0.00015029295760363i</v>
      </c>
      <c r="X24" s="4">
        <f t="shared" si="68"/>
        <v>1.0000000112939864</v>
      </c>
      <c r="Y24" s="4">
        <f t="shared" si="69"/>
        <v>-1.5029295647202558E-4</v>
      </c>
      <c r="Z24" t="str">
        <f t="shared" si="53"/>
        <v>0.999999999868174+0.000111817960457101i</v>
      </c>
      <c r="AA24" s="4">
        <f t="shared" si="70"/>
        <v>1.000000006119802</v>
      </c>
      <c r="AB24" s="4">
        <f t="shared" si="71"/>
        <v>1.1181796000581198E-4</v>
      </c>
      <c r="AC24" s="47" t="str">
        <f t="shared" si="72"/>
        <v>19.097193448303-0.309047598429991i</v>
      </c>
      <c r="AD24" s="20">
        <f t="shared" si="73"/>
        <v>25.620528153491403</v>
      </c>
      <c r="AE24" s="43">
        <f t="shared" si="74"/>
        <v>-0.92712982158860124</v>
      </c>
      <c r="AF24" t="str">
        <f t="shared" si="54"/>
        <v>69.5520360182888</v>
      </c>
      <c r="AG24" t="str">
        <f t="shared" si="55"/>
        <v>1+0.0129166061849063i</v>
      </c>
      <c r="AH24">
        <f t="shared" si="75"/>
        <v>1.0000834158785636</v>
      </c>
      <c r="AI24">
        <f t="shared" si="76"/>
        <v>1.2915887926810752E-2</v>
      </c>
      <c r="AJ24" t="str">
        <f t="shared" si="56"/>
        <v>1+0.000271248729883031i</v>
      </c>
      <c r="AK24">
        <f t="shared" si="77"/>
        <v>1.000000036787936</v>
      </c>
      <c r="AL24">
        <f t="shared" si="78"/>
        <v>2.7124872323057724E-4</v>
      </c>
      <c r="AM24" t="str">
        <f t="shared" si="57"/>
        <v>1-0.0000329275372454704i</v>
      </c>
      <c r="AN24">
        <f t="shared" si="79"/>
        <v>1.0000000005421112</v>
      </c>
      <c r="AO24">
        <f t="shared" si="80"/>
        <v>-3.2927537233570135E-5</v>
      </c>
      <c r="AP24" s="41" t="str">
        <f t="shared" si="81"/>
        <v>69.5406486691103-0.881653448527577i</v>
      </c>
      <c r="AQ24">
        <f t="shared" si="82"/>
        <v>36.845472768366967</v>
      </c>
      <c r="AR24" s="43">
        <f t="shared" si="83"/>
        <v>-0.72637106874405011</v>
      </c>
      <c r="AS24" t="str">
        <f t="shared" si="58"/>
        <v>-0.0000166666666666667</v>
      </c>
      <c r="AT24" t="str">
        <f t="shared" si="59"/>
        <v>2.45278106809125E-07i</v>
      </c>
      <c r="AU24">
        <f t="shared" si="84"/>
        <v>2.4527810680912499E-7</v>
      </c>
      <c r="AV24">
        <f t="shared" si="85"/>
        <v>1.5707963267948966</v>
      </c>
      <c r="AW24" t="str">
        <f t="shared" si="60"/>
        <v>1+0.000249267058719169i</v>
      </c>
      <c r="AX24">
        <f t="shared" si="86"/>
        <v>1.0000000310670327</v>
      </c>
      <c r="AY24">
        <f t="shared" si="87"/>
        <v>2.4926705355651053E-4</v>
      </c>
      <c r="AZ24" t="str">
        <f t="shared" si="61"/>
        <v>1+0.00847507999645175i</v>
      </c>
      <c r="BA24">
        <f t="shared" si="88"/>
        <v>1.0000359128456069</v>
      </c>
      <c r="BB24">
        <f t="shared" si="89"/>
        <v>8.4748770920596087E-3</v>
      </c>
      <c r="BC24" s="41" t="str">
        <f t="shared" si="90"/>
        <v>-0.5589446019487+67.9502180493068i</v>
      </c>
      <c r="BD24">
        <f t="shared" si="91"/>
        <v>36.644110943887341</v>
      </c>
      <c r="BE24" s="43">
        <f t="shared" si="92"/>
        <v>90.471292739126667</v>
      </c>
      <c r="BF24" s="41" t="str">
        <f t="shared" si="93"/>
        <v>10.3255785106335+1297.83119942887i</v>
      </c>
      <c r="BG24" s="20">
        <f t="shared" si="94"/>
        <v>62.264639097378748</v>
      </c>
      <c r="BH24" s="43">
        <f t="shared" si="95"/>
        <v>89.54416291753806</v>
      </c>
      <c r="BI24" s="41" t="str">
        <f t="shared" si="96"/>
        <v>21.0391738817619+4725.79503579212i</v>
      </c>
      <c r="BJ24" s="20">
        <f t="shared" si="97"/>
        <v>73.489583712254301</v>
      </c>
      <c r="BK24" s="43">
        <f t="shared" si="98"/>
        <v>89.744921670382624</v>
      </c>
      <c r="BL24">
        <f t="shared" si="99"/>
        <v>62.264639097378748</v>
      </c>
      <c r="BM24" s="43">
        <f t="shared" si="100"/>
        <v>89.54416291753806</v>
      </c>
    </row>
    <row r="25" spans="1:65" x14ac:dyDescent="0.25">
      <c r="A25" t="s">
        <v>137</v>
      </c>
      <c r="B25" s="29">
        <f>R_cs</f>
        <v>1.5E-3</v>
      </c>
      <c r="C25" s="2" t="s">
        <v>36</v>
      </c>
      <c r="E25" t="s">
        <v>177</v>
      </c>
      <c r="N25" s="9">
        <v>7</v>
      </c>
      <c r="O25" s="34">
        <f t="shared" si="62"/>
        <v>11.748975549395301</v>
      </c>
      <c r="P25" s="33" t="str">
        <f t="shared" si="50"/>
        <v>19.1021967526266</v>
      </c>
      <c r="Q25" s="4" t="str">
        <f t="shared" si="63"/>
        <v>1+0.0165691812592145i</v>
      </c>
      <c r="R25" s="4">
        <f t="shared" si="64"/>
        <v>1.0001372594637201</v>
      </c>
      <c r="S25" s="4">
        <f t="shared" si="65"/>
        <v>1.6567665220254678E-2</v>
      </c>
      <c r="T25" s="4" t="str">
        <f t="shared" si="51"/>
        <v>1+0.000277566924454361i</v>
      </c>
      <c r="U25" s="4">
        <f t="shared" si="66"/>
        <v>1.0000000385216981</v>
      </c>
      <c r="V25" s="4">
        <f t="shared" si="67"/>
        <v>2.7756691732612839E-4</v>
      </c>
      <c r="W25" t="str">
        <f t="shared" si="52"/>
        <v>1-0.000153793730304943i</v>
      </c>
      <c r="X25" s="4">
        <f t="shared" si="68"/>
        <v>1.0000000118262558</v>
      </c>
      <c r="Y25" s="4">
        <f t="shared" si="69"/>
        <v>-1.5379372909240702E-4</v>
      </c>
      <c r="Z25" t="str">
        <f t="shared" si="53"/>
        <v>0.999999999861962+0.000114422535346878i</v>
      </c>
      <c r="AA25" s="4">
        <f t="shared" si="70"/>
        <v>1.0000000064082202</v>
      </c>
      <c r="AB25" s="4">
        <f t="shared" si="71"/>
        <v>1.1442253486331302E-4</v>
      </c>
      <c r="AC25" s="47" t="str">
        <f t="shared" si="72"/>
        <v>19.0969577145525-0.316242335843682i</v>
      </c>
      <c r="AD25" s="20">
        <f t="shared" si="73"/>
        <v>25.620474522619098</v>
      </c>
      <c r="AE25" s="43">
        <f t="shared" si="74"/>
        <v>-0.94872154053246016</v>
      </c>
      <c r="AF25" t="str">
        <f t="shared" si="54"/>
        <v>69.5520360182888</v>
      </c>
      <c r="AG25" t="str">
        <f t="shared" si="55"/>
        <v>1+0.0132174725930649i</v>
      </c>
      <c r="AH25">
        <f t="shared" si="75"/>
        <v>1.0000873469761271</v>
      </c>
      <c r="AI25">
        <f t="shared" si="76"/>
        <v>1.3216702969279744E-2</v>
      </c>
      <c r="AJ25" t="str">
        <f t="shared" si="56"/>
        <v>1+0.000277566924454361i</v>
      </c>
      <c r="AK25">
        <f t="shared" si="77"/>
        <v>1.0000000385216981</v>
      </c>
      <c r="AL25">
        <f t="shared" si="78"/>
        <v>2.7756691732612839E-4</v>
      </c>
      <c r="AM25" t="str">
        <f t="shared" si="57"/>
        <v>1-0.0000336945181163534i</v>
      </c>
      <c r="AN25">
        <f t="shared" si="79"/>
        <v>1.0000000005676601</v>
      </c>
      <c r="AO25">
        <f t="shared" si="80"/>
        <v>-3.369451810360204E-5</v>
      </c>
      <c r="AP25" s="41" t="str">
        <f t="shared" si="81"/>
        <v>69.5401120936179-0.902182703326568i</v>
      </c>
      <c r="AQ25">
        <f t="shared" si="82"/>
        <v>36.845438641483653</v>
      </c>
      <c r="AR25" s="43">
        <f t="shared" si="83"/>
        <v>-0.74328844000257255</v>
      </c>
      <c r="AS25" t="str">
        <f t="shared" si="58"/>
        <v>-0.0000166666666666667</v>
      </c>
      <c r="AT25" t="str">
        <f t="shared" si="59"/>
        <v>2.50991367857667E-07i</v>
      </c>
      <c r="AU25">
        <f t="shared" si="84"/>
        <v>2.50991367857667E-7</v>
      </c>
      <c r="AV25">
        <f t="shared" si="85"/>
        <v>1.5707963267948966</v>
      </c>
      <c r="AW25" t="str">
        <f t="shared" si="60"/>
        <v>1+0.000255073234393761i</v>
      </c>
      <c r="AX25">
        <f t="shared" si="86"/>
        <v>1.0000000325311769</v>
      </c>
      <c r="AY25">
        <f t="shared" si="87"/>
        <v>2.5507322886187279E-4</v>
      </c>
      <c r="AZ25" t="str">
        <f t="shared" si="61"/>
        <v>1+0.00867248996938787i</v>
      </c>
      <c r="BA25">
        <f t="shared" si="88"/>
        <v>1.0000376053340541</v>
      </c>
      <c r="BB25">
        <f t="shared" si="89"/>
        <v>8.6722725538561328E-3</v>
      </c>
      <c r="BC25" s="41" t="str">
        <f t="shared" si="90"/>
        <v>-0.558944600311951+66.4034886666341i</v>
      </c>
      <c r="BD25">
        <f t="shared" si="91"/>
        <v>36.444125631397476</v>
      </c>
      <c r="BE25" s="43">
        <f t="shared" si="92"/>
        <v>90.482269996642529</v>
      </c>
      <c r="BF25" s="41" t="str">
        <f t="shared" si="93"/>
        <v>10.3254529671711+1268.28137711149i</v>
      </c>
      <c r="BG25" s="20">
        <f t="shared" si="94"/>
        <v>62.064600154016595</v>
      </c>
      <c r="BH25" s="43">
        <f t="shared" si="95"/>
        <v>89.533548456110083</v>
      </c>
      <c r="BI25" s="41" t="str">
        <f t="shared" si="96"/>
        <v>21.0390087557635+4618.21031543554i</v>
      </c>
      <c r="BJ25" s="20">
        <f t="shared" si="97"/>
        <v>73.289564272881137</v>
      </c>
      <c r="BK25" s="43">
        <f t="shared" si="98"/>
        <v>89.738981556639956</v>
      </c>
      <c r="BL25">
        <f t="shared" si="99"/>
        <v>62.064600154016595</v>
      </c>
      <c r="BM25" s="43">
        <f t="shared" si="100"/>
        <v>89.533548456110083</v>
      </c>
    </row>
    <row r="26" spans="1:65" x14ac:dyDescent="0.25">
      <c r="A26" t="s">
        <v>138</v>
      </c>
      <c r="B26" s="29">
        <f>R_sl</f>
        <v>0</v>
      </c>
      <c r="C26" s="2" t="s">
        <v>36</v>
      </c>
      <c r="E26" t="s">
        <v>493</v>
      </c>
      <c r="N26" s="9">
        <v>8</v>
      </c>
      <c r="O26" s="34">
        <f t="shared" si="62"/>
        <v>12.022644346174133</v>
      </c>
      <c r="P26" s="33" t="str">
        <f t="shared" si="50"/>
        <v>19.1021967526266</v>
      </c>
      <c r="Q26" s="4" t="str">
        <f t="shared" si="63"/>
        <v>1+0.0169551270703838i</v>
      </c>
      <c r="R26" s="4">
        <f t="shared" si="64"/>
        <v>1.0001437278381407</v>
      </c>
      <c r="S26" s="4">
        <f t="shared" si="65"/>
        <v>1.6953502617978823E-2</v>
      </c>
      <c r="T26" s="4" t="str">
        <f t="shared" si="51"/>
        <v>1+0.000284032288683069i</v>
      </c>
      <c r="U26" s="4">
        <f t="shared" si="66"/>
        <v>1.0000000403371696</v>
      </c>
      <c r="V26" s="4">
        <f t="shared" si="67"/>
        <v>2.8403228104503016E-4</v>
      </c>
      <c r="W26" t="str">
        <f t="shared" si="52"/>
        <v>1-0.000157376046477765i</v>
      </c>
      <c r="X26" s="4">
        <f t="shared" si="68"/>
        <v>1.0000000123836099</v>
      </c>
      <c r="Y26" s="4">
        <f t="shared" si="69"/>
        <v>-1.573760451785093E-4</v>
      </c>
      <c r="Z26" t="str">
        <f t="shared" si="53"/>
        <v>0.999999999855456+0.000117087778579457i</v>
      </c>
      <c r="AA26" s="4">
        <f t="shared" si="70"/>
        <v>1.0000000067102297</v>
      </c>
      <c r="AB26" s="4">
        <f t="shared" si="71"/>
        <v>1.1708777806130783E-4</v>
      </c>
      <c r="AC26" s="47" t="str">
        <f t="shared" si="72"/>
        <v>19.0967108772547-0.323604380978213i</v>
      </c>
      <c r="AD26" s="20">
        <f t="shared" si="73"/>
        <v>25.620418364911956</v>
      </c>
      <c r="AE26" s="43">
        <f t="shared" si="74"/>
        <v>-0.97081591572549197</v>
      </c>
      <c r="AF26" t="str">
        <f t="shared" si="54"/>
        <v>69.5520360182888</v>
      </c>
      <c r="AG26" t="str">
        <f t="shared" si="55"/>
        <v>1+0.0135253470801462i</v>
      </c>
      <c r="AH26">
        <f t="shared" si="75"/>
        <v>1.0000914633240494</v>
      </c>
      <c r="AI26">
        <f t="shared" si="76"/>
        <v>1.3524522417475924E-2</v>
      </c>
      <c r="AJ26" t="str">
        <f t="shared" si="56"/>
        <v>1+0.000284032288683069i</v>
      </c>
      <c r="AK26">
        <f t="shared" si="77"/>
        <v>1.0000000403371696</v>
      </c>
      <c r="AL26">
        <f t="shared" si="78"/>
        <v>2.8403228104503016E-4</v>
      </c>
      <c r="AM26" t="str">
        <f t="shared" si="57"/>
        <v>1-0.0000344793642667413i</v>
      </c>
      <c r="AN26">
        <f t="shared" si="79"/>
        <v>1.0000000005944132</v>
      </c>
      <c r="AO26">
        <f t="shared" si="80"/>
        <v>-3.4479364253077977E-5</v>
      </c>
      <c r="AP26" s="41" t="str">
        <f t="shared" si="81"/>
        <v>69.539550239144-0.923189638794213i</v>
      </c>
      <c r="AQ26">
        <f t="shared" si="82"/>
        <v>36.845402906537579</v>
      </c>
      <c r="AR26" s="43">
        <f t="shared" si="83"/>
        <v>-0.76059972555408162</v>
      </c>
      <c r="AS26" t="str">
        <f t="shared" si="58"/>
        <v>-0.0000166666666666667</v>
      </c>
      <c r="AT26" t="str">
        <f t="shared" si="59"/>
        <v>2.56837707851712E-07i</v>
      </c>
      <c r="AU26">
        <f t="shared" si="84"/>
        <v>2.5683770785171202E-7</v>
      </c>
      <c r="AV26">
        <f t="shared" si="85"/>
        <v>1.5707963267948966</v>
      </c>
      <c r="AW26" t="str">
        <f t="shared" si="60"/>
        <v>1+0.000261014653273522i</v>
      </c>
      <c r="AX26">
        <f t="shared" si="86"/>
        <v>1.000000034064324</v>
      </c>
      <c r="AY26">
        <f t="shared" si="87"/>
        <v>2.6101464734599696E-4</v>
      </c>
      <c r="AZ26" t="str">
        <f t="shared" si="61"/>
        <v>1+0.00887449821129973i</v>
      </c>
      <c r="BA26">
        <f t="shared" si="88"/>
        <v>1.000039377583954</v>
      </c>
      <c r="BB26">
        <f t="shared" si="89"/>
        <v>8.8742652468556463E-3</v>
      </c>
      <c r="BC26" s="41" t="str">
        <f t="shared" si="90"/>
        <v>-0.558944598598061+64.8919672926061i</v>
      </c>
      <c r="BD26">
        <f t="shared" si="91"/>
        <v>36.244141011055248</v>
      </c>
      <c r="BE26" s="43">
        <f t="shared" si="92"/>
        <v>90.493502907240426</v>
      </c>
      <c r="BF26" s="41" t="str">
        <f t="shared" si="93"/>
        <v>10.3253215103519+1239.404014564i</v>
      </c>
      <c r="BG26" s="20">
        <f t="shared" si="94"/>
        <v>61.864559375967225</v>
      </c>
      <c r="BH26" s="43">
        <f t="shared" si="95"/>
        <v>89.522686991514945</v>
      </c>
      <c r="BI26" s="41" t="str">
        <f t="shared" si="96"/>
        <v>21.0388358503989+4513.07423152316i</v>
      </c>
      <c r="BJ26" s="20">
        <f t="shared" si="97"/>
        <v>73.089543917592835</v>
      </c>
      <c r="BK26" s="43">
        <f t="shared" si="98"/>
        <v>89.732903181686353</v>
      </c>
      <c r="BL26">
        <f t="shared" si="99"/>
        <v>61.864559375967225</v>
      </c>
      <c r="BM26" s="43">
        <f t="shared" si="100"/>
        <v>89.522686991514945</v>
      </c>
    </row>
    <row r="27" spans="1:65" x14ac:dyDescent="0.25">
      <c r="A27" t="s">
        <v>129</v>
      </c>
      <c r="B27" s="12">
        <f>Rsl_int</f>
        <v>3000</v>
      </c>
      <c r="C27" s="2" t="s">
        <v>36</v>
      </c>
      <c r="E27" t="s">
        <v>178</v>
      </c>
      <c r="N27" s="9">
        <v>9</v>
      </c>
      <c r="O27" s="34">
        <f t="shared" si="62"/>
        <v>12.302687708123818</v>
      </c>
      <c r="P27" s="33" t="str">
        <f t="shared" si="50"/>
        <v>19.1021967526266</v>
      </c>
      <c r="Q27" s="4" t="str">
        <f t="shared" si="63"/>
        <v>1+0.0173500627143535i</v>
      </c>
      <c r="R27" s="4">
        <f t="shared" si="64"/>
        <v>1.0001505010128187</v>
      </c>
      <c r="S27" s="4">
        <f t="shared" si="65"/>
        <v>1.7348322096387227E-2</v>
      </c>
      <c r="T27" s="4" t="str">
        <f t="shared" si="51"/>
        <v>1+0.000290648250590849i</v>
      </c>
      <c r="U27" s="4">
        <f t="shared" si="66"/>
        <v>1.0000000422382018</v>
      </c>
      <c r="V27" s="4">
        <f t="shared" si="67"/>
        <v>2.9064824240654288E-4</v>
      </c>
      <c r="W27" t="str">
        <f t="shared" si="52"/>
        <v>1-0.000161041805513547i</v>
      </c>
      <c r="X27" s="4">
        <f t="shared" si="68"/>
        <v>1.0000000129672315</v>
      </c>
      <c r="Y27" s="4">
        <f t="shared" si="69"/>
        <v>-1.6104180412136943E-4</v>
      </c>
      <c r="Z27" t="str">
        <f t="shared" si="53"/>
        <v>0.999999999848644+0.000119815103302079i</v>
      </c>
      <c r="AA27" s="4">
        <f t="shared" si="70"/>
        <v>1.0000000070264734</v>
      </c>
      <c r="AB27" s="4">
        <f t="shared" si="71"/>
        <v>1.1981510274687216E-4</v>
      </c>
      <c r="AC27" s="47" t="str">
        <f t="shared" si="72"/>
        <v>19.0964524137174-0.331137610972731i</v>
      </c>
      <c r="AD27" s="20">
        <f t="shared" si="73"/>
        <v>25.62035956135238</v>
      </c>
      <c r="AE27" s="43">
        <f t="shared" si="74"/>
        <v>-0.99342463555439164</v>
      </c>
      <c r="AF27" t="str">
        <f t="shared" si="54"/>
        <v>69.5520360182888</v>
      </c>
      <c r="AG27" t="str">
        <f t="shared" si="55"/>
        <v>1+0.0138403928852786i</v>
      </c>
      <c r="AH27">
        <f t="shared" si="75"/>
        <v>1.0000957736513132</v>
      </c>
      <c r="AI27">
        <f t="shared" si="76"/>
        <v>1.383950924787734E-2</v>
      </c>
      <c r="AJ27" t="str">
        <f t="shared" si="56"/>
        <v>1+0.000290648250590849i</v>
      </c>
      <c r="AK27">
        <f t="shared" si="77"/>
        <v>1.0000000422382018</v>
      </c>
      <c r="AL27">
        <f t="shared" si="78"/>
        <v>2.9064824240654288E-4</v>
      </c>
      <c r="AM27" t="str">
        <f t="shared" si="57"/>
        <v>1-0.0000352824918324519i</v>
      </c>
      <c r="AN27">
        <f t="shared" si="79"/>
        <v>1.000000000622427</v>
      </c>
      <c r="AO27">
        <f t="shared" si="80"/>
        <v>-3.5282491817811383E-5</v>
      </c>
      <c r="AP27" s="41" t="str">
        <f t="shared" si="81"/>
        <v>69.5389619151988-0.944685345289776i</v>
      </c>
      <c r="AQ27">
        <f t="shared" si="82"/>
        <v>36.845365487770785</v>
      </c>
      <c r="AR27" s="43">
        <f t="shared" si="83"/>
        <v>-0.77831409069471968</v>
      </c>
      <c r="AS27" t="str">
        <f t="shared" si="58"/>
        <v>-0.0000166666666666667</v>
      </c>
      <c r="AT27" t="str">
        <f t="shared" si="59"/>
        <v>2.62820226598108E-07i</v>
      </c>
      <c r="AU27">
        <f t="shared" si="84"/>
        <v>2.6282022659810801E-7</v>
      </c>
      <c r="AV27">
        <f t="shared" si="85"/>
        <v>1.5707963267948966</v>
      </c>
      <c r="AW27" t="str">
        <f t="shared" si="60"/>
        <v>1+0.000267094465577386i</v>
      </c>
      <c r="AX27">
        <f t="shared" si="86"/>
        <v>1.0000000356697261</v>
      </c>
      <c r="AY27">
        <f t="shared" si="87"/>
        <v>2.6709445922592855E-4</v>
      </c>
      <c r="AZ27" t="str">
        <f t="shared" si="61"/>
        <v>1+0.00908121182963111i</v>
      </c>
      <c r="BA27">
        <f t="shared" si="88"/>
        <v>1.0000412333540527</v>
      </c>
      <c r="BB27">
        <f t="shared" si="89"/>
        <v>9.0809622042877253E-3</v>
      </c>
      <c r="BC27" s="41" t="str">
        <f t="shared" si="90"/>
        <v>-0.558944596803401+63.4148524985836i</v>
      </c>
      <c r="BD27">
        <f t="shared" si="91"/>
        <v>36.044157115475528</v>
      </c>
      <c r="BE27" s="43">
        <f t="shared" si="92"/>
        <v>90.504997422978533</v>
      </c>
      <c r="BF27" s="41" t="str">
        <f t="shared" si="93"/>
        <v>10.3251838618085+1211.18380064056i</v>
      </c>
      <c r="BG27" s="20">
        <f t="shared" si="94"/>
        <v>61.664516676827901</v>
      </c>
      <c r="BH27" s="43">
        <f t="shared" si="95"/>
        <v>89.511572787424143</v>
      </c>
      <c r="BI27" s="41" t="str">
        <f t="shared" si="96"/>
        <v>21.0386547993068+4410.33103952638i</v>
      </c>
      <c r="BJ27" s="20">
        <f t="shared" si="97"/>
        <v>72.889522603246306</v>
      </c>
      <c r="BK27" s="43">
        <f t="shared" si="98"/>
        <v>89.726683332283812</v>
      </c>
      <c r="BL27">
        <f t="shared" si="99"/>
        <v>61.664516676827901</v>
      </c>
      <c r="BM27" s="43">
        <f t="shared" si="100"/>
        <v>89.511572787424143</v>
      </c>
    </row>
    <row r="28" spans="1:65" x14ac:dyDescent="0.25">
      <c r="A28" t="s">
        <v>127</v>
      </c>
      <c r="B28" s="12">
        <f>Isl</f>
        <v>2.9999999999999997E-5</v>
      </c>
      <c r="C28" s="2" t="s">
        <v>11</v>
      </c>
      <c r="E28" t="s">
        <v>179</v>
      </c>
      <c r="N28" s="9">
        <v>10</v>
      </c>
      <c r="O28" s="34">
        <f t="shared" si="62"/>
        <v>12.58925411794168</v>
      </c>
      <c r="P28" s="33" t="str">
        <f t="shared" si="50"/>
        <v>19.1021967526266</v>
      </c>
      <c r="Q28" s="4" t="str">
        <f t="shared" si="63"/>
        <v>1+0.0177541975912295i</v>
      </c>
      <c r="R28" s="4">
        <f t="shared" si="64"/>
        <v>1.0001575933482225</v>
      </c>
      <c r="S28" s="4">
        <f t="shared" si="65"/>
        <v>1.775233250134747E-2</v>
      </c>
      <c r="T28" s="4" t="str">
        <f t="shared" si="51"/>
        <v>1+0.000297418318048276i</v>
      </c>
      <c r="U28" s="4">
        <f t="shared" si="66"/>
        <v>1.000000044228827</v>
      </c>
      <c r="V28" s="4">
        <f t="shared" si="67"/>
        <v>2.9741830927863404E-4</v>
      </c>
      <c r="W28" t="str">
        <f t="shared" si="52"/>
        <v>1-0.000164792951046253i</v>
      </c>
      <c r="X28" s="4">
        <f t="shared" si="68"/>
        <v>1.0000000135783582</v>
      </c>
      <c r="Y28" s="4">
        <f t="shared" si="69"/>
        <v>-1.6479294955450786E-4</v>
      </c>
      <c r="Z28" t="str">
        <f t="shared" si="53"/>
        <v>0.999999999841511+0.000122605955578412i</v>
      </c>
      <c r="AA28" s="4">
        <f t="shared" si="70"/>
        <v>1.0000000073576212</v>
      </c>
      <c r="AB28" s="4">
        <f t="shared" si="71"/>
        <v>1.2260595498349712E-4</v>
      </c>
      <c r="AC28" s="47" t="str">
        <f t="shared" si="72"/>
        <v>19.0961817766729-0.338845991850736i</v>
      </c>
      <c r="AD28" s="20">
        <f t="shared" si="73"/>
        <v>25.620297987320335</v>
      </c>
      <c r="AE28" s="43">
        <f t="shared" si="74"/>
        <v>-1.016559659235263</v>
      </c>
      <c r="AF28" t="str">
        <f t="shared" si="54"/>
        <v>69.5520360182888</v>
      </c>
      <c r="AG28" t="str">
        <f t="shared" si="55"/>
        <v>1+0.014162777049918i</v>
      </c>
      <c r="AH28">
        <f t="shared" si="75"/>
        <v>1.0001002870981319</v>
      </c>
      <c r="AI28">
        <f t="shared" si="76"/>
        <v>1.4161830220511561E-2</v>
      </c>
      <c r="AJ28" t="str">
        <f t="shared" si="56"/>
        <v>1+0.000297418318048276i</v>
      </c>
      <c r="AK28">
        <f t="shared" si="77"/>
        <v>1.000000044228827</v>
      </c>
      <c r="AL28">
        <f t="shared" si="78"/>
        <v>2.9741830927863404E-4</v>
      </c>
      <c r="AM28" t="str">
        <f t="shared" si="57"/>
        <v>1-0.0000361043266423509i</v>
      </c>
      <c r="AN28">
        <f t="shared" si="79"/>
        <v>1.0000000006517611</v>
      </c>
      <c r="AO28">
        <f t="shared" si="80"/>
        <v>-3.6104326626663303E-5</v>
      </c>
      <c r="AP28" s="41" t="str">
        <f t="shared" si="81"/>
        <v>69.5383458752711-0.966681168909202i</v>
      </c>
      <c r="AQ28">
        <f t="shared" si="82"/>
        <v>36.845326305857718</v>
      </c>
      <c r="AR28" s="43">
        <f t="shared" si="83"/>
        <v>-0.79644091348242374</v>
      </c>
      <c r="AS28" t="str">
        <f t="shared" si="58"/>
        <v>-0.0000166666666666667</v>
      </c>
      <c r="AT28" t="str">
        <f t="shared" si="59"/>
        <v>2.68942096107484E-07i</v>
      </c>
      <c r="AU28">
        <f t="shared" si="84"/>
        <v>2.6894209610748399E-7</v>
      </c>
      <c r="AV28">
        <f t="shared" si="85"/>
        <v>1.5707963267948966</v>
      </c>
      <c r="AW28" t="str">
        <f t="shared" si="60"/>
        <v>1+0.000273315894902312i</v>
      </c>
      <c r="AX28">
        <f t="shared" si="86"/>
        <v>1.0000000373507885</v>
      </c>
      <c r="AY28">
        <f t="shared" si="87"/>
        <v>2.7331588809660276E-4</v>
      </c>
      <c r="AZ28" t="str">
        <f t="shared" si="61"/>
        <v>1+0.00929274042667861i</v>
      </c>
      <c r="BA28">
        <f t="shared" si="88"/>
        <v>1.0000431765802102</v>
      </c>
      <c r="BB28">
        <f t="shared" si="89"/>
        <v>9.2924729489278022E-3</v>
      </c>
      <c r="BC28" s="41" t="str">
        <f t="shared" si="90"/>
        <v>-0.558944594924159+61.9713610987505i</v>
      </c>
      <c r="BD28">
        <f t="shared" si="91"/>
        <v>35.844173978809621</v>
      </c>
      <c r="BE28" s="43">
        <f t="shared" si="92"/>
        <v>90.516759634351246</v>
      </c>
      <c r="BF28" s="41" t="str">
        <f t="shared" si="93"/>
        <v>10.3250397300857+1183.60577262523i</v>
      </c>
      <c r="BG28" s="20">
        <f t="shared" si="94"/>
        <v>61.464471966129949</v>
      </c>
      <c r="BH28" s="43">
        <f t="shared" si="95"/>
        <v>89.50019997511599</v>
      </c>
      <c r="BI28" s="41" t="str">
        <f t="shared" si="96"/>
        <v>21.0384652188849+4309.92626366061i</v>
      </c>
      <c r="BJ28" s="20">
        <f t="shared" si="97"/>
        <v>72.689500284667346</v>
      </c>
      <c r="BK28" s="43">
        <f t="shared" si="98"/>
        <v>89.720318720868832</v>
      </c>
      <c r="BL28">
        <f t="shared" si="99"/>
        <v>61.464471966129949</v>
      </c>
      <c r="BM28" s="43">
        <f t="shared" si="100"/>
        <v>89.50019997511599</v>
      </c>
    </row>
    <row r="29" spans="1:65" x14ac:dyDescent="0.25">
      <c r="A29" t="s">
        <v>491</v>
      </c>
      <c r="B29" s="12">
        <f>Vsl</f>
        <v>4.4999999999999998E-2</v>
      </c>
      <c r="C29" s="2"/>
      <c r="N29" s="9">
        <v>11</v>
      </c>
      <c r="O29" s="34">
        <f t="shared" si="62"/>
        <v>12.882495516931346</v>
      </c>
      <c r="P29" s="33" t="str">
        <f t="shared" si="50"/>
        <v>19.1021967526266</v>
      </c>
      <c r="Q29" s="4" t="str">
        <f t="shared" si="63"/>
        <v>1+0.018167745978673i</v>
      </c>
      <c r="R29" s="4">
        <f t="shared" si="64"/>
        <v>1.0001650198811922</v>
      </c>
      <c r="S29" s="4">
        <f t="shared" si="65"/>
        <v>1.8165747516666563E-2</v>
      </c>
      <c r="T29" s="4" t="str">
        <f t="shared" si="51"/>
        <v>1+0.00030434608063473i</v>
      </c>
      <c r="U29" s="4">
        <f t="shared" si="66"/>
        <v>1.0000000463132674</v>
      </c>
      <c r="V29" s="4">
        <f t="shared" si="67"/>
        <v>3.0434607123788938E-4</v>
      </c>
      <c r="W29" t="str">
        <f t="shared" si="52"/>
        <v>1-0.000168631471982896i</v>
      </c>
      <c r="X29" s="4">
        <f t="shared" si="68"/>
        <v>1.0000000142182865</v>
      </c>
      <c r="Y29" s="4">
        <f t="shared" si="69"/>
        <v>-1.6863147038446229E-4</v>
      </c>
      <c r="Z29" t="str">
        <f t="shared" si="53"/>
        <v>0.999999999834041+0.000125461815155274i</v>
      </c>
      <c r="AA29" s="4">
        <f t="shared" si="70"/>
        <v>1.0000000077043745</v>
      </c>
      <c r="AB29" s="4">
        <f t="shared" si="71"/>
        <v>1.2546181451781132E-4</v>
      </c>
      <c r="AC29" s="47" t="str">
        <f t="shared" si="72"/>
        <v>19.0958983931252-0.34673358048866i</v>
      </c>
      <c r="AD29" s="20">
        <f t="shared" si="73"/>
        <v>25.620233512329889</v>
      </c>
      <c r="AE29" s="43">
        <f t="shared" si="74"/>
        <v>-1.0402332230199698</v>
      </c>
      <c r="AF29" t="str">
        <f t="shared" si="54"/>
        <v>69.5520360182888</v>
      </c>
      <c r="AG29" t="str">
        <f t="shared" si="55"/>
        <v>1+0.0144926705064157i</v>
      </c>
      <c r="AH29">
        <f t="shared" si="75"/>
        <v>1.000105013235314</v>
      </c>
      <c r="AI29">
        <f t="shared" si="76"/>
        <v>1.4491655966181389E-2</v>
      </c>
      <c r="AJ29" t="str">
        <f t="shared" si="56"/>
        <v>1+0.00030434608063473i</v>
      </c>
      <c r="AK29">
        <f t="shared" si="77"/>
        <v>1.0000000463132674</v>
      </c>
      <c r="AL29">
        <f t="shared" si="78"/>
        <v>3.0434607123788938E-4</v>
      </c>
      <c r="AM29" t="str">
        <f t="shared" si="57"/>
        <v>1-0.000036945304444133i</v>
      </c>
      <c r="AN29">
        <f t="shared" si="79"/>
        <v>1.0000000006824776</v>
      </c>
      <c r="AO29">
        <f t="shared" si="80"/>
        <v>-3.6945304427323437E-5</v>
      </c>
      <c r="AP29" s="41" t="str">
        <f t="shared" si="81"/>
        <v>69.537700814195-0.989188717256917i</v>
      </c>
      <c r="AQ29">
        <f t="shared" si="82"/>
        <v>36.845285277737176</v>
      </c>
      <c r="AR29" s="43">
        <f t="shared" si="83"/>
        <v>-0.81498978964096624</v>
      </c>
      <c r="AS29" t="str">
        <f t="shared" si="58"/>
        <v>-0.0000166666666666667</v>
      </c>
      <c r="AT29" t="str">
        <f t="shared" si="59"/>
        <v>2.75206562276086E-07i</v>
      </c>
      <c r="AU29">
        <f t="shared" si="84"/>
        <v>2.7520656227608601E-7</v>
      </c>
      <c r="AV29">
        <f t="shared" si="85"/>
        <v>1.5707963267948966</v>
      </c>
      <c r="AW29" t="str">
        <f t="shared" si="60"/>
        <v>1+0.000279682239932479i</v>
      </c>
      <c r="AX29">
        <f t="shared" si="86"/>
        <v>1.000000039111077</v>
      </c>
      <c r="AY29">
        <f t="shared" si="87"/>
        <v>2.7968223264003013E-4</v>
      </c>
      <c r="AZ29" t="str">
        <f t="shared" si="61"/>
        <v>1+0.00950919615770427i</v>
      </c>
      <c r="BA29">
        <f t="shared" si="88"/>
        <v>1.0000452113837481</v>
      </c>
      <c r="BB29">
        <f t="shared" si="89"/>
        <v>9.5089095508303668E-3</v>
      </c>
      <c r="BC29" s="41" t="str">
        <f t="shared" si="90"/>
        <v>-0.558944592956349+60.5607277348598i</v>
      </c>
      <c r="BD29">
        <f t="shared" si="91"/>
        <v>35.644191636817851</v>
      </c>
      <c r="BE29" s="43">
        <f t="shared" si="92"/>
        <v>90.528795773499141</v>
      </c>
      <c r="BF29" s="41" t="str">
        <f t="shared" si="93"/>
        <v>10.3248888100257+1156.65530829861i</v>
      </c>
      <c r="BG29" s="20">
        <f t="shared" si="94"/>
        <v>61.264425149147719</v>
      </c>
      <c r="BH29" s="43">
        <f t="shared" si="95"/>
        <v>89.488562550479173</v>
      </c>
      <c r="BI29" s="41" t="str">
        <f t="shared" si="96"/>
        <v>21.0382667074808+4211.80666800153i</v>
      </c>
      <c r="BJ29" s="20">
        <f t="shared" si="97"/>
        <v>72.489476914555041</v>
      </c>
      <c r="BK29" s="43">
        <f t="shared" si="98"/>
        <v>89.71380598385818</v>
      </c>
      <c r="BL29">
        <f t="shared" si="99"/>
        <v>61.264425149147719</v>
      </c>
      <c r="BM29" s="43">
        <f t="shared" si="100"/>
        <v>89.488562550479173</v>
      </c>
    </row>
    <row r="30" spans="1:65" x14ac:dyDescent="0.25">
      <c r="A30" t="s">
        <v>201</v>
      </c>
      <c r="B30" s="12">
        <f>Gcomp</f>
        <v>1</v>
      </c>
      <c r="C30" s="2"/>
      <c r="E30" t="s">
        <v>202</v>
      </c>
      <c r="N30" s="9">
        <v>12</v>
      </c>
      <c r="O30" s="34">
        <f t="shared" si="62"/>
        <v>13.182567385564075</v>
      </c>
      <c r="P30" s="33" t="str">
        <f t="shared" si="50"/>
        <v>19.1021967526266</v>
      </c>
      <c r="Q30" s="4" t="str">
        <f t="shared" si="63"/>
        <v>1+0.0185909271455129i</v>
      </c>
      <c r="R30" s="4">
        <f t="shared" si="64"/>
        <v>1.0001727963567744</v>
      </c>
      <c r="S30" s="4">
        <f t="shared" si="65"/>
        <v>1.8588785774872878E-2</v>
      </c>
      <c r="T30" s="4" t="str">
        <f t="shared" si="51"/>
        <v>1+0.000311435211541632i</v>
      </c>
      <c r="U30" s="4">
        <f t="shared" si="66"/>
        <v>1.0000000484959444</v>
      </c>
      <c r="V30" s="4">
        <f t="shared" si="67"/>
        <v>3.1143520147273589E-4</v>
      </c>
      <c r="W30" t="str">
        <f t="shared" si="52"/>
        <v>1-0.000172559403558085i</v>
      </c>
      <c r="X30" s="4">
        <f t="shared" si="68"/>
        <v>1.0000000148883739</v>
      </c>
      <c r="Y30" s="4">
        <f t="shared" si="69"/>
        <v>-1.7255940184533243E-4</v>
      </c>
      <c r="Z30" t="str">
        <f t="shared" si="53"/>
        <v>0.99999999982622+0.000128384196247215i</v>
      </c>
      <c r="AA30" s="4">
        <f t="shared" si="70"/>
        <v>1.0000000080674707</v>
      </c>
      <c r="AB30" s="4">
        <f t="shared" si="71"/>
        <v>1.2838419556416138E-4</v>
      </c>
      <c r="AC30" s="47" t="str">
        <f t="shared" si="72"/>
        <v>19.0956016631433-0.354804526623082i</v>
      </c>
      <c r="AD30" s="20">
        <f t="shared" si="73"/>
        <v>25.620165999753279</v>
      </c>
      <c r="AE30" s="43">
        <f t="shared" si="74"/>
        <v>-1.0644578465398891</v>
      </c>
      <c r="AF30" t="str">
        <f t="shared" si="54"/>
        <v>69.5520360182888</v>
      </c>
      <c r="AG30" t="str">
        <f t="shared" si="55"/>
        <v>1+0.0148302481686492i</v>
      </c>
      <c r="AH30">
        <f t="shared" si="75"/>
        <v>1.0001099620845419</v>
      </c>
      <c r="AI30">
        <f t="shared" si="76"/>
        <v>1.482916107565759E-2</v>
      </c>
      <c r="AJ30" t="str">
        <f t="shared" si="56"/>
        <v>1+0.000311435211541632i</v>
      </c>
      <c r="AK30">
        <f t="shared" si="77"/>
        <v>1.0000000484959444</v>
      </c>
      <c r="AL30">
        <f t="shared" si="78"/>
        <v>3.1143520147273589E-4</v>
      </c>
      <c r="AM30" t="str">
        <f t="shared" si="57"/>
        <v>1-0.0000378058711353603i</v>
      </c>
      <c r="AN30">
        <f t="shared" si="79"/>
        <v>1.0000000007146419</v>
      </c>
      <c r="AO30">
        <f t="shared" si="80"/>
        <v>-3.7805871117348525E-5</v>
      </c>
      <c r="AP30" s="41" t="str">
        <f t="shared" si="81"/>
        <v>69.5370253653958-1.01221986533888i</v>
      </c>
      <c r="AQ30">
        <f t="shared" si="82"/>
        <v>36.845242316436703</v>
      </c>
      <c r="AR30" s="43">
        <f t="shared" si="83"/>
        <v>-0.83397053757450823</v>
      </c>
      <c r="AS30" t="str">
        <f t="shared" si="58"/>
        <v>-0.0000166666666666667</v>
      </c>
      <c r="AT30" t="str">
        <f t="shared" si="59"/>
        <v>2.81616946606795E-07i</v>
      </c>
      <c r="AU30">
        <f t="shared" si="84"/>
        <v>2.8161694660679502E-7</v>
      </c>
      <c r="AV30">
        <f t="shared" si="85"/>
        <v>1.5707963267948966</v>
      </c>
      <c r="AW30" t="str">
        <f t="shared" si="60"/>
        <v>1+0.00028619687618829i</v>
      </c>
      <c r="AX30">
        <f t="shared" si="86"/>
        <v>1.000000040954325</v>
      </c>
      <c r="AY30">
        <f t="shared" si="87"/>
        <v>2.8619686837429029E-4</v>
      </c>
      <c r="AZ30" t="str">
        <f t="shared" si="61"/>
        <v>1+0.00973069379040186i</v>
      </c>
      <c r="BA30">
        <f t="shared" si="88"/>
        <v>1.000047342080185</v>
      </c>
      <c r="BB30">
        <f t="shared" si="89"/>
        <v>9.7303866863886496E-3</v>
      </c>
      <c r="BC30" s="41" t="str">
        <f t="shared" si="90"/>
        <v>-0.558944590895805+59.1822044704303i</v>
      </c>
      <c r="BD30">
        <f t="shared" si="91"/>
        <v>35.444210126945329</v>
      </c>
      <c r="BE30" s="43">
        <f t="shared" si="92"/>
        <v>90.541112217492639</v>
      </c>
      <c r="BF30" s="41" t="str">
        <f t="shared" si="93"/>
        <v>10.3247307821266+1130.31811818502i</v>
      </c>
      <c r="BG30" s="20">
        <f t="shared" si="94"/>
        <v>61.064376126698633</v>
      </c>
      <c r="BH30" s="43">
        <f t="shared" si="95"/>
        <v>89.476654370952758</v>
      </c>
      <c r="BI30" s="41" t="str">
        <f t="shared" si="96"/>
        <v>21.0380588445447+4115.92022825888i</v>
      </c>
      <c r="BJ30" s="20">
        <f t="shared" si="97"/>
        <v>72.289452443382032</v>
      </c>
      <c r="BK30" s="43">
        <f t="shared" si="98"/>
        <v>89.707141679918138</v>
      </c>
      <c r="BL30">
        <f t="shared" si="99"/>
        <v>61.064376126698633</v>
      </c>
      <c r="BM30" s="43">
        <f t="shared" si="100"/>
        <v>89.476654370952758</v>
      </c>
    </row>
    <row r="31" spans="1:65" x14ac:dyDescent="0.25">
      <c r="A31" t="s">
        <v>481</v>
      </c>
      <c r="B31">
        <f>IF(Variable_Management!B20=3,1,IF((VOUT*IOUT)/(VIN_var*Np)&lt;((VIN_var*(1-(VIN_var/VOUT)))/(2*Lm*Fsw)),0,1))</f>
        <v>1</v>
      </c>
      <c r="E31" t="s">
        <v>482</v>
      </c>
      <c r="N31" s="9">
        <v>13</v>
      </c>
      <c r="O31" s="34">
        <f t="shared" si="62"/>
        <v>13.489628825916535</v>
      </c>
      <c r="P31" s="33" t="str">
        <f t="shared" si="50"/>
        <v>19.1021967526266</v>
      </c>
      <c r="Q31" s="4" t="str">
        <f t="shared" si="63"/>
        <v>1+0.0190239654680054i</v>
      </c>
      <c r="R31" s="4">
        <f t="shared" si="64"/>
        <v>1.0001809392615557</v>
      </c>
      <c r="S31" s="4">
        <f t="shared" si="65"/>
        <v>1.9021670970443098E-2</v>
      </c>
      <c r="T31" s="4" t="str">
        <f t="shared" si="51"/>
        <v>1+0.000318689469520026i</v>
      </c>
      <c r="U31" s="4">
        <f t="shared" si="66"/>
        <v>1.0000000507814877</v>
      </c>
      <c r="V31" s="4">
        <f t="shared" si="67"/>
        <v>3.1868945873100943E-4</v>
      </c>
      <c r="W31" t="str">
        <f t="shared" si="52"/>
        <v>1-0.000176578828413135i</v>
      </c>
      <c r="X31" s="4">
        <f t="shared" si="68"/>
        <v>1.0000000155900413</v>
      </c>
      <c r="Y31" s="4">
        <f t="shared" si="69"/>
        <v>-1.7657882657788756E-4</v>
      </c>
      <c r="Z31" t="str">
        <f t="shared" si="53"/>
        <v>0.99999999981803+0.000131374648339373i</v>
      </c>
      <c r="AA31" s="4">
        <f t="shared" si="70"/>
        <v>1.000000008447679</v>
      </c>
      <c r="AB31" s="4">
        <f t="shared" si="71"/>
        <v>1.3137464760746786E-4</v>
      </c>
      <c r="AC31" s="47" t="str">
        <f t="shared" si="72"/>
        <v>19.095290958599-0.363063074896904i</v>
      </c>
      <c r="AD31" s="20">
        <f t="shared" si="73"/>
        <v>25.620095306532498</v>
      </c>
      <c r="AE31" s="43">
        <f t="shared" si="74"/>
        <v>-1.0892463392895235</v>
      </c>
      <c r="AF31" t="str">
        <f t="shared" si="54"/>
        <v>69.5520360182888</v>
      </c>
      <c r="AG31" t="str">
        <f t="shared" si="55"/>
        <v>1+0.0151756890247632i</v>
      </c>
      <c r="AH31">
        <f t="shared" si="75"/>
        <v>1.0001151441396017</v>
      </c>
      <c r="AI31">
        <f t="shared" si="76"/>
        <v>1.5174524190879068E-2</v>
      </c>
      <c r="AJ31" t="str">
        <f t="shared" si="56"/>
        <v>1+0.000318689469520026i</v>
      </c>
      <c r="AK31">
        <f t="shared" si="77"/>
        <v>1.0000000507814877</v>
      </c>
      <c r="AL31">
        <f t="shared" si="78"/>
        <v>3.1868945873100943E-4</v>
      </c>
      <c r="AM31" t="str">
        <f t="shared" si="57"/>
        <v>1-0.0000386864829998835i</v>
      </c>
      <c r="AN31">
        <f t="shared" si="79"/>
        <v>1.0000000007483218</v>
      </c>
      <c r="AO31">
        <f t="shared" si="80"/>
        <v>-3.8686482980583535E-5</v>
      </c>
      <c r="AP31" s="41" t="str">
        <f t="shared" si="81"/>
        <v>69.5363180980044-1.03578676157865i</v>
      </c>
      <c r="AQ31">
        <f t="shared" si="82"/>
        <v>36.845197330888404</v>
      </c>
      <c r="AR31" s="43">
        <f t="shared" si="83"/>
        <v>-0.85339320349493719</v>
      </c>
      <c r="AS31" t="str">
        <f t="shared" si="58"/>
        <v>-0.0000166666666666667</v>
      </c>
      <c r="AT31" t="str">
        <f t="shared" si="59"/>
        <v>2.88176647970237E-07i</v>
      </c>
      <c r="AU31">
        <f t="shared" si="84"/>
        <v>2.88176647970237E-7</v>
      </c>
      <c r="AV31">
        <f t="shared" si="85"/>
        <v>1.5707963267948966</v>
      </c>
      <c r="AW31" t="str">
        <f t="shared" si="60"/>
        <v>1+0.00029286325781612i</v>
      </c>
      <c r="AX31">
        <f t="shared" si="86"/>
        <v>1.0000000428844429</v>
      </c>
      <c r="AY31">
        <f t="shared" si="87"/>
        <v>2.9286324944326848E-4</v>
      </c>
      <c r="AZ31" t="str">
        <f t="shared" si="61"/>
        <v>1+0.00995735076574807i</v>
      </c>
      <c r="BA31">
        <f t="shared" si="88"/>
        <v>1.0000495731883856</v>
      </c>
      <c r="BB31">
        <f t="shared" si="89"/>
        <v>9.9570216987501913E-3</v>
      </c>
      <c r="BC31" s="41" t="str">
        <f t="shared" si="90"/>
        <v>-0.558944588738146+57.8350603941798i</v>
      </c>
      <c r="BD31">
        <f t="shared" si="91"/>
        <v>35.244229488401103</v>
      </c>
      <c r="BE31" s="43">
        <f t="shared" si="92"/>
        <v>90.55371549169098</v>
      </c>
      <c r="BF31" s="41" t="str">
        <f t="shared" si="93"/>
        <v>10.3245653118697+1104.58023797609i</v>
      </c>
      <c r="BG31" s="20">
        <f t="shared" si="94"/>
        <v>60.86432479493358</v>
      </c>
      <c r="BH31" s="43">
        <f t="shared" si="95"/>
        <v>89.464469152401463</v>
      </c>
      <c r="BI31" s="41" t="str">
        <f t="shared" si="96"/>
        <v>21.0378411897392+4022.21610419245i</v>
      </c>
      <c r="BJ31" s="20">
        <f t="shared" si="97"/>
        <v>72.089426819289486</v>
      </c>
      <c r="BK31" s="43">
        <f t="shared" si="98"/>
        <v>89.700322288196048</v>
      </c>
      <c r="BL31">
        <f t="shared" si="99"/>
        <v>60.86432479493358</v>
      </c>
      <c r="BM31" s="43">
        <f t="shared" si="100"/>
        <v>89.464469152401463</v>
      </c>
    </row>
    <row r="32" spans="1:65" ht="15.75" x14ac:dyDescent="0.25">
      <c r="A32" s="35" t="s">
        <v>476</v>
      </c>
      <c r="E32" s="31" t="s">
        <v>500</v>
      </c>
      <c r="N32" s="9">
        <v>14</v>
      </c>
      <c r="O32" s="34">
        <f t="shared" si="62"/>
        <v>13.803842646028857</v>
      </c>
      <c r="P32" s="33" t="str">
        <f t="shared" si="50"/>
        <v>19.1021967526266</v>
      </c>
      <c r="Q32" s="4" t="str">
        <f t="shared" si="63"/>
        <v>1+0.019467090548801i</v>
      </c>
      <c r="R32" s="4">
        <f t="shared" si="64"/>
        <v>1.0001894658585619</v>
      </c>
      <c r="S32" s="4">
        <f t="shared" si="65"/>
        <v>1.9464631975520161E-2</v>
      </c>
      <c r="T32" s="4" t="str">
        <f t="shared" si="51"/>
        <v>1+0.000326112700873514i</v>
      </c>
      <c r="U32" s="4">
        <f t="shared" si="66"/>
        <v>1.0000000531747455</v>
      </c>
      <c r="V32" s="4">
        <f t="shared" si="67"/>
        <v>3.261126893128745E-4</v>
      </c>
      <c r="W32" t="str">
        <f t="shared" si="52"/>
        <v>1-0.000180691877700307i</v>
      </c>
      <c r="X32" s="4">
        <f t="shared" si="68"/>
        <v>1.0000000163247771</v>
      </c>
      <c r="Y32" s="4">
        <f t="shared" si="69"/>
        <v>-1.8069187573380391E-4</v>
      </c>
      <c r="Z32" t="str">
        <f t="shared" si="53"/>
        <v>0.999999999809454+0.000134434757009029i</v>
      </c>
      <c r="AA32" s="4">
        <f t="shared" si="70"/>
        <v>1.0000000088458059</v>
      </c>
      <c r="AB32" s="4">
        <f t="shared" si="71"/>
        <v>1.344347562247785E-4</v>
      </c>
      <c r="AC32" s="47" t="str">
        <f t="shared" si="72"/>
        <v>19.0949656218452-0.371513566944862i</v>
      </c>
      <c r="AD32" s="20">
        <f t="shared" si="73"/>
        <v>25.620021282876952</v>
      </c>
      <c r="AE32" s="43">
        <f t="shared" si="74"/>
        <v>-1.1146118072528084</v>
      </c>
      <c r="AF32" t="str">
        <f t="shared" si="54"/>
        <v>69.5520360182888</v>
      </c>
      <c r="AG32" t="str">
        <f t="shared" si="55"/>
        <v>1+0.0155291762320721i</v>
      </c>
      <c r="AH32">
        <f t="shared" si="75"/>
        <v>1.000120570388614</v>
      </c>
      <c r="AI32">
        <f t="shared" si="76"/>
        <v>1.5527928098204477E-2</v>
      </c>
      <c r="AJ32" t="str">
        <f t="shared" si="56"/>
        <v>1+0.000326112700873514i</v>
      </c>
      <c r="AK32">
        <f t="shared" si="77"/>
        <v>1.0000000531747455</v>
      </c>
      <c r="AL32">
        <f t="shared" si="78"/>
        <v>3.261126893128745E-4</v>
      </c>
      <c r="AM32" t="str">
        <f t="shared" si="57"/>
        <v>1-0.0000395876069497693i</v>
      </c>
      <c r="AN32">
        <f t="shared" si="79"/>
        <v>1.0000000007835892</v>
      </c>
      <c r="AO32">
        <f t="shared" si="80"/>
        <v>-3.9587606929089017E-5</v>
      </c>
      <c r="AP32" s="41" t="str">
        <f t="shared" si="81"/>
        <v>69.5355775138389-1.05990183395859i</v>
      </c>
      <c r="AQ32">
        <f t="shared" si="82"/>
        <v>36.845150225736411</v>
      </c>
      <c r="AR32" s="43">
        <f t="shared" si="83"/>
        <v>-0.8732680666644933</v>
      </c>
      <c r="AS32" t="str">
        <f t="shared" si="58"/>
        <v>-0.0000166666666666667</v>
      </c>
      <c r="AT32" t="str">
        <f t="shared" si="59"/>
        <v>2.94889144406901E-07i</v>
      </c>
      <c r="AU32">
        <f t="shared" si="84"/>
        <v>2.94889144406901E-7</v>
      </c>
      <c r="AV32">
        <f t="shared" si="85"/>
        <v>1.5707963267948966</v>
      </c>
      <c r="AW32" t="str">
        <f t="shared" si="60"/>
        <v>1+0.000299684919419747i</v>
      </c>
      <c r="AX32">
        <f t="shared" si="86"/>
        <v>1.0000000449055244</v>
      </c>
      <c r="AY32">
        <f t="shared" si="87"/>
        <v>2.9968491044807494E-4</v>
      </c>
      <c r="AZ32" t="str">
        <f t="shared" si="61"/>
        <v>1+0.0101892872602714i</v>
      </c>
      <c r="BA32">
        <f t="shared" si="88"/>
        <v>1.0000519094401412</v>
      </c>
      <c r="BB32">
        <f t="shared" si="89"/>
        <v>1.0188934659618943E-2</v>
      </c>
      <c r="BC32" s="41" t="str">
        <f t="shared" si="90"/>
        <v>-0.558944586478801+56.5185812324878i</v>
      </c>
      <c r="BD32">
        <f t="shared" si="91"/>
        <v>35.044249762241513</v>
      </c>
      <c r="BE32" s="43">
        <f t="shared" si="92"/>
        <v>90.566612273178293</v>
      </c>
      <c r="BF32" s="41" t="str">
        <f t="shared" si="93"/>
        <v>10.3243920490153+1079.42802112687i</v>
      </c>
      <c r="BG32" s="20">
        <f t="shared" si="94"/>
        <v>60.66427104511849</v>
      </c>
      <c r="BH32" s="43">
        <f t="shared" si="95"/>
        <v>89.452000465925494</v>
      </c>
      <c r="BI32" s="41" t="str">
        <f t="shared" si="96"/>
        <v>21.0376132820141+3930.64461265615i</v>
      </c>
      <c r="BJ32" s="20">
        <f t="shared" si="97"/>
        <v>71.889399987977939</v>
      </c>
      <c r="BK32" s="43">
        <f t="shared" si="98"/>
        <v>89.693344206513814</v>
      </c>
      <c r="BL32">
        <f t="shared" si="99"/>
        <v>60.66427104511849</v>
      </c>
      <c r="BM32" s="43">
        <f t="shared" si="100"/>
        <v>89.452000465925494</v>
      </c>
    </row>
    <row r="33" spans="1:65" x14ac:dyDescent="0.25">
      <c r="N33" s="9">
        <v>15</v>
      </c>
      <c r="O33" s="34">
        <f t="shared" si="62"/>
        <v>14.125375446227544</v>
      </c>
      <c r="P33" s="33" t="str">
        <f t="shared" si="50"/>
        <v>19.1021967526266</v>
      </c>
      <c r="Q33" s="4" t="str">
        <f t="shared" si="63"/>
        <v>1+0.019920537338683i</v>
      </c>
      <c r="R33" s="4">
        <f t="shared" si="64"/>
        <v>1.0001983942237969</v>
      </c>
      <c r="S33" s="4">
        <f t="shared" si="65"/>
        <v>1.9917902958170645E-2</v>
      </c>
      <c r="T33" s="4" t="str">
        <f t="shared" si="51"/>
        <v>1+0.000333708841497617i</v>
      </c>
      <c r="U33" s="4">
        <f t="shared" si="66"/>
        <v>1.000000055680794</v>
      </c>
      <c r="V33" s="4">
        <f t="shared" si="67"/>
        <v>3.3370882911016865E-4</v>
      </c>
      <c r="W33" t="str">
        <f t="shared" si="52"/>
        <v>1-0.000184900732212775i</v>
      </c>
      <c r="X33" s="4">
        <f t="shared" si="68"/>
        <v>1.0000000170941403</v>
      </c>
      <c r="Y33" s="4">
        <f t="shared" si="69"/>
        <v>-1.84900730105629E-4</v>
      </c>
      <c r="Z33" t="str">
        <f t="shared" si="53"/>
        <v>0.999999999800474+0.000137566144766305i</v>
      </c>
      <c r="AA33" s="4">
        <f t="shared" si="70"/>
        <v>1.0000000092626962</v>
      </c>
      <c r="AB33" s="4">
        <f t="shared" si="71"/>
        <v>1.375661439259654E-4</v>
      </c>
      <c r="AC33" s="47" t="str">
        <f t="shared" si="72"/>
        <v>19.094624964333-0.380160443518713i</v>
      </c>
      <c r="AD33" s="20">
        <f t="shared" si="73"/>
        <v>25.619943771947217</v>
      </c>
      <c r="AE33" s="43">
        <f t="shared" si="74"/>
        <v>-1.1405676596748331</v>
      </c>
      <c r="AF33" t="str">
        <f t="shared" si="54"/>
        <v>69.5520360182888</v>
      </c>
      <c r="AG33" t="str">
        <f t="shared" si="55"/>
        <v>1+0.0158908972141723i</v>
      </c>
      <c r="AH33">
        <f t="shared" si="75"/>
        <v>1.0001262523373093</v>
      </c>
      <c r="AI33">
        <f t="shared" si="76"/>
        <v>1.5889559823755693E-2</v>
      </c>
      <c r="AJ33" t="str">
        <f t="shared" si="56"/>
        <v>1+0.000333708841497617i</v>
      </c>
      <c r="AK33">
        <f t="shared" si="77"/>
        <v>1.000000055680794</v>
      </c>
      <c r="AL33">
        <f t="shared" si="78"/>
        <v>3.3370882911016865E-4</v>
      </c>
      <c r="AM33" t="str">
        <f t="shared" si="57"/>
        <v>1-0.0000405097207728638i</v>
      </c>
      <c r="AN33">
        <f t="shared" si="79"/>
        <v>1.0000000008205188</v>
      </c>
      <c r="AO33">
        <f t="shared" si="80"/>
        <v>-4.0509720750704475E-5</v>
      </c>
      <c r="AP33" s="41" t="str">
        <f t="shared" si="81"/>
        <v>69.5348020442431-1.08457779628771i</v>
      </c>
      <c r="AQ33">
        <f t="shared" si="82"/>
        <v>36.845100901135069</v>
      </c>
      <c r="AR33" s="43">
        <f t="shared" si="83"/>
        <v>-0.89360564475584425</v>
      </c>
      <c r="AS33" t="str">
        <f t="shared" si="58"/>
        <v>-0.0000166666666666667</v>
      </c>
      <c r="AT33" t="str">
        <f t="shared" si="59"/>
        <v>3.01757994971249E-07i</v>
      </c>
      <c r="AU33">
        <f t="shared" si="84"/>
        <v>3.01757994971249E-7</v>
      </c>
      <c r="AV33">
        <f t="shared" si="85"/>
        <v>1.5707963267948966</v>
      </c>
      <c r="AW33" t="str">
        <f t="shared" si="60"/>
        <v>1+0.00030666547793445i</v>
      </c>
      <c r="AX33">
        <f t="shared" si="86"/>
        <v>1.0000000470218566</v>
      </c>
      <c r="AY33">
        <f t="shared" si="87"/>
        <v>3.0666546832113027E-4</v>
      </c>
      <c r="AZ33" t="str">
        <f t="shared" si="61"/>
        <v>1+0.0104266262497713i</v>
      </c>
      <c r="BA33">
        <f t="shared" si="88"/>
        <v>1.0000543557902002</v>
      </c>
      <c r="BB33">
        <f t="shared" si="89"/>
        <v>1.0426248432474245E-2</v>
      </c>
      <c r="BC33" s="41" t="str">
        <f t="shared" si="90"/>
        <v>-0.558944584112978+55.2320689706771i</v>
      </c>
      <c r="BD33">
        <f t="shared" si="91"/>
        <v>34.844270991456973</v>
      </c>
      <c r="BE33" s="43">
        <f t="shared" si="92"/>
        <v>90.57980939427847</v>
      </c>
      <c r="BF33" s="41" t="str">
        <f t="shared" si="93"/>
        <v>10.3242106268664+1054.84813162025i</v>
      </c>
      <c r="BG33" s="20">
        <f t="shared" si="94"/>
        <v>60.464214763404172</v>
      </c>
      <c r="BH33" s="43">
        <f t="shared" si="95"/>
        <v>89.439241734603627</v>
      </c>
      <c r="BI33" s="41" t="str">
        <f t="shared" si="96"/>
        <v>21.0373746386301+3841.1572012553i</v>
      </c>
      <c r="BJ33" s="20">
        <f t="shared" si="97"/>
        <v>71.68937189259205</v>
      </c>
      <c r="BK33" s="43">
        <f t="shared" si="98"/>
        <v>89.686203749522619</v>
      </c>
      <c r="BL33">
        <f t="shared" si="99"/>
        <v>60.464214763404172</v>
      </c>
      <c r="BM33" s="43">
        <f t="shared" si="100"/>
        <v>89.439241734603627</v>
      </c>
    </row>
    <row r="34" spans="1:65" x14ac:dyDescent="0.25">
      <c r="A34" t="s">
        <v>494</v>
      </c>
      <c r="B34">
        <f>(R_cs*Acs/(2*Lm*Fsw))*(1-(VIN_var/VOUT))*(VIN_var/VOUT)</f>
        <v>8.9999999999999998E-4</v>
      </c>
      <c r="E34" t="s">
        <v>497</v>
      </c>
      <c r="N34" s="9">
        <v>16</v>
      </c>
      <c r="O34" s="34">
        <f t="shared" si="62"/>
        <v>14.454397707459275</v>
      </c>
      <c r="P34" s="33" t="str">
        <f t="shared" si="50"/>
        <v>19.1021967526266</v>
      </c>
      <c r="Q34" s="4" t="str">
        <f t="shared" si="63"/>
        <v>1+0.0203845462611414i</v>
      </c>
      <c r="R34" s="4">
        <f t="shared" si="64"/>
        <v>1.0002077432845002</v>
      </c>
      <c r="S34" s="4">
        <f t="shared" si="65"/>
        <v>2.0381723503229185E-2</v>
      </c>
      <c r="T34" s="4" t="str">
        <f t="shared" si="51"/>
        <v>1+0.00034148191896664i</v>
      </c>
      <c r="U34" s="4">
        <f t="shared" si="66"/>
        <v>1.0000000583049489</v>
      </c>
      <c r="V34" s="4">
        <f t="shared" si="67"/>
        <v>3.4148190569325003E-4</v>
      </c>
      <c r="W34" t="str">
        <f t="shared" si="52"/>
        <v>1-0.000189207623540913i</v>
      </c>
      <c r="X34" s="4">
        <f t="shared" si="68"/>
        <v>1.0000000178997623</v>
      </c>
      <c r="Y34" s="4">
        <f t="shared" si="69"/>
        <v>-1.8920762128306538E-4</v>
      </c>
      <c r="Z34" t="str">
        <f t="shared" si="53"/>
        <v>0.99999999979107+0.000140770471914439i</v>
      </c>
      <c r="AA34" s="4">
        <f t="shared" si="70"/>
        <v>1.0000000096992328</v>
      </c>
      <c r="AB34" s="4">
        <f t="shared" si="71"/>
        <v>1.4077047101399901E-4</v>
      </c>
      <c r="AC34" s="47" t="str">
        <f t="shared" si="72"/>
        <v>19.0942682651635-0.389008246652361i</v>
      </c>
      <c r="AD34" s="20">
        <f t="shared" si="73"/>
        <v>25.619862609523501</v>
      </c>
      <c r="AE34" s="43">
        <f t="shared" si="74"/>
        <v>-1.1671276159817212</v>
      </c>
      <c r="AF34" t="str">
        <f t="shared" si="54"/>
        <v>69.5520360182888</v>
      </c>
      <c r="AG34" t="str">
        <f t="shared" si="55"/>
        <v>1+0.0162610437603162i</v>
      </c>
      <c r="AH34">
        <f t="shared" si="75"/>
        <v>1.0001322020333987</v>
      </c>
      <c r="AI34">
        <f t="shared" si="76"/>
        <v>1.6259610730896643E-2</v>
      </c>
      <c r="AJ34" t="str">
        <f t="shared" si="56"/>
        <v>1+0.00034148191896664i</v>
      </c>
      <c r="AK34">
        <f t="shared" si="77"/>
        <v>1.0000000583049489</v>
      </c>
      <c r="AL34">
        <f t="shared" si="78"/>
        <v>3.4148190569325003E-4</v>
      </c>
      <c r="AM34" t="str">
        <f t="shared" si="57"/>
        <v>1-0.0000414533133861216i</v>
      </c>
      <c r="AN34">
        <f t="shared" si="79"/>
        <v>1.0000000008591885</v>
      </c>
      <c r="AO34">
        <f t="shared" si="80"/>
        <v>-4.145331336237746E-5</v>
      </c>
      <c r="AP34" s="41" t="str">
        <f t="shared" si="81"/>
        <v>69.5339900467788-1.10982765459821i</v>
      </c>
      <c r="AQ34">
        <f t="shared" si="82"/>
        <v>36.845049252537848</v>
      </c>
      <c r="AR34" s="43">
        <f t="shared" si="83"/>
        <v>-0.91441669933219294</v>
      </c>
      <c r="AS34" t="str">
        <f t="shared" si="58"/>
        <v>-0.0000166666666666667</v>
      </c>
      <c r="AT34" t="str">
        <f t="shared" si="59"/>
        <v>3.08786841618771E-07i</v>
      </c>
      <c r="AU34">
        <f t="shared" si="84"/>
        <v>3.0878684161877099E-7</v>
      </c>
      <c r="AV34">
        <f t="shared" si="85"/>
        <v>1.5707963267948966</v>
      </c>
      <c r="AW34" t="str">
        <f t="shared" si="60"/>
        <v>1+0.000313808634544751i</v>
      </c>
      <c r="AX34">
        <f t="shared" si="86"/>
        <v>1.0000000492379284</v>
      </c>
      <c r="AY34">
        <f t="shared" si="87"/>
        <v>3.1380862424389334E-4</v>
      </c>
      <c r="AZ34" t="str">
        <f t="shared" si="61"/>
        <v>1+0.0106694935745215i</v>
      </c>
      <c r="BA34">
        <f t="shared" si="88"/>
        <v>1.0000569174267717</v>
      </c>
      <c r="BB34">
        <f t="shared" si="89"/>
        <v>1.0669088737238264E-2</v>
      </c>
      <c r="BC34" s="41" t="str">
        <f t="shared" si="90"/>
        <v>-0.558944581635653+53.9748414829174i</v>
      </c>
      <c r="BD34">
        <f t="shared" si="91"/>
        <v>34.644293221063116</v>
      </c>
      <c r="BE34" s="43">
        <f t="shared" si="92"/>
        <v>90.593313846150323</v>
      </c>
      <c r="BF34" s="41" t="str">
        <f t="shared" si="93"/>
        <v>10.3240206614981+1030.82753689618i</v>
      </c>
      <c r="BG34" s="20">
        <f t="shared" si="94"/>
        <v>60.264155830586631</v>
      </c>
      <c r="BH34" s="43">
        <f t="shared" si="95"/>
        <v>89.426186230168611</v>
      </c>
      <c r="BI34" s="41" t="str">
        <f t="shared" si="96"/>
        <v>21.037124754142+3753.70642260373i</v>
      </c>
      <c r="BJ34" s="20">
        <f t="shared" si="97"/>
        <v>71.489342473600971</v>
      </c>
      <c r="BK34" s="43">
        <f t="shared" si="98"/>
        <v>89.678897146818144</v>
      </c>
      <c r="BL34">
        <f t="shared" si="99"/>
        <v>60.264155830586631</v>
      </c>
      <c r="BM34" s="43">
        <f t="shared" si="100"/>
        <v>89.426186230168611</v>
      </c>
    </row>
    <row r="35" spans="1:65" x14ac:dyDescent="0.25">
      <c r="A35" t="s">
        <v>495</v>
      </c>
      <c r="B35">
        <f>1/((0.5-(1-(VIN_var/VOUT)))*(R_cs*Acs/(Lm*Fsw))+(Vsl*Acs/VOUT))</f>
        <v>43.01075268817204</v>
      </c>
      <c r="E35" t="s">
        <v>497</v>
      </c>
      <c r="N35" s="9">
        <v>17</v>
      </c>
      <c r="O35" s="34">
        <f t="shared" si="62"/>
        <v>14.791083881682074</v>
      </c>
      <c r="P35" s="33" t="str">
        <f t="shared" si="50"/>
        <v>19.1021967526266</v>
      </c>
      <c r="Q35" s="4" t="str">
        <f t="shared" si="63"/>
        <v>1+0.0208593633398488i</v>
      </c>
      <c r="R35" s="4">
        <f t="shared" si="64"/>
        <v>1.0002175328591993</v>
      </c>
      <c r="S35" s="4">
        <f t="shared" si="65"/>
        <v>2.08563387357786E-2</v>
      </c>
      <c r="T35" s="4" t="str">
        <f t="shared" si="51"/>
        <v>1+0.000349436054669147i</v>
      </c>
      <c r="U35" s="4">
        <f t="shared" si="66"/>
        <v>1.0000000610527764</v>
      </c>
      <c r="V35" s="4">
        <f t="shared" si="67"/>
        <v>3.4943604044645343E-4</v>
      </c>
      <c r="W35" t="str">
        <f t="shared" si="52"/>
        <v>1-0.000193614835255512i</v>
      </c>
      <c r="X35" s="4">
        <f t="shared" si="68"/>
        <v>1.000000018743352</v>
      </c>
      <c r="Y35" s="4">
        <f t="shared" si="69"/>
        <v>-1.9361483283618467E-4</v>
      </c>
      <c r="Z35" t="str">
        <f t="shared" si="53"/>
        <v>0.999999999781224+0.000144049437430101i</v>
      </c>
      <c r="AA35" s="4">
        <f t="shared" si="70"/>
        <v>1.000000010156344</v>
      </c>
      <c r="AB35" s="4">
        <f t="shared" si="71"/>
        <v>1.4404943646526209E-4</v>
      </c>
      <c r="AC35" s="47" t="str">
        <f t="shared" si="72"/>
        <v>19.0938947695737-0.398061621867184i</v>
      </c>
      <c r="AD35" s="20">
        <f t="shared" si="73"/>
        <v>25.619777623659296</v>
      </c>
      <c r="AE35" s="43">
        <f t="shared" si="74"/>
        <v>-1.1943057128513286</v>
      </c>
      <c r="AF35" t="str">
        <f t="shared" si="54"/>
        <v>69.5520360182888</v>
      </c>
      <c r="AG35" t="str">
        <f t="shared" si="55"/>
        <v>1+0.0166398121271023i</v>
      </c>
      <c r="AH35">
        <f t="shared" si="75"/>
        <v>1.0001384320920905</v>
      </c>
      <c r="AI35">
        <f t="shared" si="76"/>
        <v>1.6638276619892853E-2</v>
      </c>
      <c r="AJ35" t="str">
        <f t="shared" si="56"/>
        <v>1+0.000349436054669147i</v>
      </c>
      <c r="AK35">
        <f t="shared" si="77"/>
        <v>1.0000000610527764</v>
      </c>
      <c r="AL35">
        <f t="shared" si="78"/>
        <v>3.4943604044645343E-4</v>
      </c>
      <c r="AM35" t="str">
        <f t="shared" si="57"/>
        <v>1-0.0000424188850948362i</v>
      </c>
      <c r="AN35">
        <f t="shared" si="79"/>
        <v>1.0000000008996808</v>
      </c>
      <c r="AO35">
        <f t="shared" si="80"/>
        <v>-4.2418885069393893E-5</v>
      </c>
      <c r="AP35" s="41" t="str">
        <f t="shared" si="81"/>
        <v>69.533139801762-1.13566471367239i</v>
      </c>
      <c r="AQ35">
        <f t="shared" si="82"/>
        <v>36.844995170476153</v>
      </c>
      <c r="AR35" s="43">
        <f t="shared" si="83"/>
        <v>-0.93571224144983289</v>
      </c>
      <c r="AS35" t="str">
        <f t="shared" si="58"/>
        <v>-0.0000166666666666667</v>
      </c>
      <c r="AT35" t="str">
        <f t="shared" si="59"/>
        <v>3.15979411136995E-07i</v>
      </c>
      <c r="AU35">
        <f t="shared" si="84"/>
        <v>3.1597941113699501E-7</v>
      </c>
      <c r="AV35">
        <f t="shared" si="85"/>
        <v>1.5707963267948966</v>
      </c>
      <c r="AW35" t="str">
        <f t="shared" si="60"/>
        <v>1+0.000321118176646835i</v>
      </c>
      <c r="AX35">
        <f t="shared" si="86"/>
        <v>1.0000000515584404</v>
      </c>
      <c r="AY35">
        <f t="shared" si="87"/>
        <v>3.2111816560926714E-4</v>
      </c>
      <c r="AZ35" t="str">
        <f t="shared" si="61"/>
        <v>1+0.0109180180059924i</v>
      </c>
      <c r="BA35">
        <f t="shared" si="88"/>
        <v>1.0000595997825226</v>
      </c>
      <c r="BB35">
        <f t="shared" si="89"/>
        <v>1.0917584216424175E-2</v>
      </c>
      <c r="BC35" s="41" t="str">
        <f t="shared" si="90"/>
        <v>-0.55894457904158+52.7462321705534i</v>
      </c>
      <c r="BD35">
        <f t="shared" si="91"/>
        <v>34.444316498196152</v>
      </c>
      <c r="BE35" s="43">
        <f t="shared" si="92"/>
        <v>90.607132782465357</v>
      </c>
      <c r="BF35" s="41" t="str">
        <f t="shared" si="93"/>
        <v>10.3238217509499+1007.35350094172i</v>
      </c>
      <c r="BG35" s="20">
        <f t="shared" si="94"/>
        <v>60.064094121855476</v>
      </c>
      <c r="BH35" s="43">
        <f t="shared" si="95"/>
        <v>89.412827069614025</v>
      </c>
      <c r="BI35" s="41" t="str">
        <f t="shared" si="96"/>
        <v>21.0368630993337+3668.2459091666i</v>
      </c>
      <c r="BJ35" s="20">
        <f t="shared" si="97"/>
        <v>71.289311668672298</v>
      </c>
      <c r="BK35" s="43">
        <f t="shared" si="98"/>
        <v>89.671420541015536</v>
      </c>
      <c r="BL35">
        <f t="shared" si="99"/>
        <v>60.064094121855476</v>
      </c>
      <c r="BM35" s="43">
        <f t="shared" si="100"/>
        <v>89.412827069614025</v>
      </c>
    </row>
    <row r="36" spans="1:65" x14ac:dyDescent="0.25">
      <c r="A36" t="s">
        <v>496</v>
      </c>
      <c r="B36">
        <f>2+((VOUT*((VIN_var/VOUT)^2))/(IOUT_VAR*R_cs*Acs))*((1/Km)+(Kex/(VIN_var/VOUT)))</f>
        <v>2.7919999999999998</v>
      </c>
      <c r="E36" t="s">
        <v>497</v>
      </c>
      <c r="N36" s="9">
        <v>18</v>
      </c>
      <c r="O36" s="34">
        <f t="shared" si="62"/>
        <v>15.135612484362087</v>
      </c>
      <c r="P36" s="33" t="str">
        <f t="shared" si="50"/>
        <v>19.1021967526266</v>
      </c>
      <c r="Q36" s="4" t="str">
        <f t="shared" si="63"/>
        <v>1+0.0213452403291054i</v>
      </c>
      <c r="R36" s="4">
        <f t="shared" si="64"/>
        <v>1.0002277836996467</v>
      </c>
      <c r="S36" s="4">
        <f t="shared" si="65"/>
        <v>2.1341999447314009E-2</v>
      </c>
      <c r="T36" s="4" t="str">
        <f t="shared" si="51"/>
        <v>1+0.000357575465993173i</v>
      </c>
      <c r="U36" s="4">
        <f t="shared" si="66"/>
        <v>1.000000063930105</v>
      </c>
      <c r="V36" s="4">
        <f t="shared" si="67"/>
        <v>3.5757545075328231E-4</v>
      </c>
      <c r="W36" t="str">
        <f t="shared" si="52"/>
        <v>1-0.000198124704118558i</v>
      </c>
      <c r="X36" s="4">
        <f t="shared" si="68"/>
        <v>1.0000000196266989</v>
      </c>
      <c r="Y36" s="4">
        <f t="shared" si="69"/>
        <v>-1.9812470152620208E-4</v>
      </c>
      <c r="Z36" t="str">
        <f t="shared" si="53"/>
        <v>0.999999999770913+0.000147404779864207i</v>
      </c>
      <c r="AA36" s="4">
        <f t="shared" si="70"/>
        <v>1.0000000106349975</v>
      </c>
      <c r="AB36" s="4">
        <f t="shared" si="71"/>
        <v>1.4740477883036352E-4</v>
      </c>
      <c r="AC36" s="47" t="str">
        <f t="shared" si="72"/>
        <v>19.0935036873509-0.407325320417798i</v>
      </c>
      <c r="AD36" s="20">
        <f t="shared" si="73"/>
        <v>25.619688634318322</v>
      </c>
      <c r="AE36" s="43">
        <f t="shared" si="74"/>
        <v>-1.2221163114377609</v>
      </c>
      <c r="AF36" t="str">
        <f t="shared" si="54"/>
        <v>69.5520360182888</v>
      </c>
      <c r="AG36" t="str">
        <f t="shared" si="55"/>
        <v>1+0.0170274031425321i</v>
      </c>
      <c r="AH36">
        <f t="shared" si="75"/>
        <v>1.0001449557228084</v>
      </c>
      <c r="AI36">
        <f t="shared" si="76"/>
        <v>1.7025757829792793E-2</v>
      </c>
      <c r="AJ36" t="str">
        <f t="shared" si="56"/>
        <v>1+0.000357575465993173i</v>
      </c>
      <c r="AK36">
        <f t="shared" si="77"/>
        <v>1.000000063930105</v>
      </c>
      <c r="AL36">
        <f t="shared" si="78"/>
        <v>3.5757545075328231E-4</v>
      </c>
      <c r="AM36" t="str">
        <f t="shared" si="57"/>
        <v>1-0.0000434069478579084i</v>
      </c>
      <c r="AN36">
        <f t="shared" si="79"/>
        <v>1.0000000009420815</v>
      </c>
      <c r="AO36">
        <f t="shared" si="80"/>
        <v>-4.3406947830646473E-5</v>
      </c>
      <c r="AP36" s="41" t="str">
        <f t="shared" si="81"/>
        <v>69.5322495086383-1.16210258370156i</v>
      </c>
      <c r="AQ36">
        <f t="shared" si="82"/>
        <v>36.844938540327881</v>
      </c>
      <c r="AR36" s="43">
        <f t="shared" si="83"/>
        <v>-0.95750353738553418</v>
      </c>
      <c r="AS36" t="str">
        <f t="shared" si="58"/>
        <v>-0.0000166666666666667</v>
      </c>
      <c r="AT36" t="str">
        <f t="shared" si="59"/>
        <v>3.23339517121486E-07i</v>
      </c>
      <c r="AU36">
        <f t="shared" si="84"/>
        <v>3.23339517121486E-7</v>
      </c>
      <c r="AV36">
        <f t="shared" si="85"/>
        <v>1.5707963267948966</v>
      </c>
      <c r="AW36" t="str">
        <f t="shared" si="60"/>
        <v>1+0.00032859797985668i</v>
      </c>
      <c r="AX36">
        <f t="shared" si="86"/>
        <v>1.0000000539883147</v>
      </c>
      <c r="AY36">
        <f t="shared" si="87"/>
        <v>3.28597968029713E-4</v>
      </c>
      <c r="AZ36" t="str">
        <f t="shared" si="61"/>
        <v>1+0.0111723313151271i</v>
      </c>
      <c r="BA36">
        <f t="shared" si="88"/>
        <v>1.0000624085460943</v>
      </c>
      <c r="BB36">
        <f t="shared" si="89"/>
        <v>1.1171866502796933E-2</v>
      </c>
      <c r="BC36" s="41" t="str">
        <f t="shared" si="90"/>
        <v>-0.558944576325248+51.5455896086653i</v>
      </c>
      <c r="BD36">
        <f t="shared" si="91"/>
        <v>34.244340872212774</v>
      </c>
      <c r="BE36" s="43">
        <f t="shared" si="92"/>
        <v>90.621273523169151</v>
      </c>
      <c r="BF36" s="41" t="str">
        <f t="shared" si="93"/>
        <v>10.323613474383+984.413577538375i</v>
      </c>
      <c r="BG36" s="20">
        <f t="shared" si="94"/>
        <v>59.864029506531089</v>
      </c>
      <c r="BH36" s="43">
        <f t="shared" si="95"/>
        <v>89.399157211731406</v>
      </c>
      <c r="BI36" s="41" t="str">
        <f t="shared" si="96"/>
        <v>21.036589120103+3584.73034867588i</v>
      </c>
      <c r="BJ36" s="20">
        <f t="shared" si="97"/>
        <v>71.089279412540648</v>
      </c>
      <c r="BK36" s="43">
        <f t="shared" si="98"/>
        <v>89.663769985783631</v>
      </c>
      <c r="BL36">
        <f t="shared" si="99"/>
        <v>59.864029506531089</v>
      </c>
      <c r="BM36" s="43">
        <f t="shared" si="100"/>
        <v>89.399157211731406</v>
      </c>
    </row>
    <row r="37" spans="1:65" x14ac:dyDescent="0.25">
      <c r="N37" s="9">
        <v>19</v>
      </c>
      <c r="O37" s="34">
        <f t="shared" si="62"/>
        <v>15.488166189124817</v>
      </c>
      <c r="P37" s="33" t="str">
        <f t="shared" si="50"/>
        <v>19.1021967526266</v>
      </c>
      <c r="Q37" s="4" t="str">
        <f t="shared" si="63"/>
        <v>1+0.0218424348473221i</v>
      </c>
      <c r="R37" s="4">
        <f t="shared" si="64"/>
        <v>1.0002385175347226</v>
      </c>
      <c r="S37" s="4">
        <f t="shared" si="65"/>
        <v>2.1838962224639536E-2</v>
      </c>
      <c r="T37" s="4" t="str">
        <f t="shared" si="51"/>
        <v>1+0.000365904468562339i</v>
      </c>
      <c r="U37" s="4">
        <f t="shared" si="66"/>
        <v>1.0000000669430378</v>
      </c>
      <c r="V37" s="4">
        <f t="shared" si="67"/>
        <v>3.65904452232502E-4</v>
      </c>
      <c r="W37" t="str">
        <f t="shared" si="52"/>
        <v>1-0.000202739621322218i</v>
      </c>
      <c r="X37" s="4">
        <f t="shared" si="68"/>
        <v>1.0000000205516768</v>
      </c>
      <c r="Y37" s="4">
        <f t="shared" si="69"/>
        <v>-2.0273961854445858E-4</v>
      </c>
      <c r="Z37" t="str">
        <f t="shared" si="53"/>
        <v>0.999999999760117+0.00015083827826373i</v>
      </c>
      <c r="AA37" s="4">
        <f t="shared" si="70"/>
        <v>1.00000001113621</v>
      </c>
      <c r="AB37" s="4">
        <f t="shared" si="71"/>
        <v>1.5083827715594669E-4</v>
      </c>
      <c r="AC37" s="47" t="str">
        <f t="shared" si="72"/>
        <v>19.0930941911735-0.416804201578358i</v>
      </c>
      <c r="AD37" s="20">
        <f t="shared" si="73"/>
        <v>25.619595452994499</v>
      </c>
      <c r="AE37" s="43">
        <f t="shared" si="74"/>
        <v>-1.2505741047522592</v>
      </c>
      <c r="AF37" t="str">
        <f t="shared" si="54"/>
        <v>69.5520360182888</v>
      </c>
      <c r="AG37" t="str">
        <f t="shared" si="55"/>
        <v>1+0.0174240223124924i</v>
      </c>
      <c r="AH37">
        <f t="shared" si="75"/>
        <v>1.0001517867571632</v>
      </c>
      <c r="AI37">
        <f t="shared" si="76"/>
        <v>1.7422259342579217E-2</v>
      </c>
      <c r="AJ37" t="str">
        <f t="shared" si="56"/>
        <v>1+0.000365904468562339i</v>
      </c>
      <c r="AK37">
        <f t="shared" si="77"/>
        <v>1.0000000669430378</v>
      </c>
      <c r="AL37">
        <f t="shared" si="78"/>
        <v>3.65904452232502E-4</v>
      </c>
      <c r="AM37" t="str">
        <f t="shared" si="57"/>
        <v>1-0.0000444180255592938i</v>
      </c>
      <c r="AN37">
        <f t="shared" si="79"/>
        <v>1.0000000009864805</v>
      </c>
      <c r="AO37">
        <f t="shared" si="80"/>
        <v>-4.4418025530082118E-5</v>
      </c>
      <c r="AP37" s="41" t="str">
        <f t="shared" si="81"/>
        <v>69.5313172821882-1.1891551870787i</v>
      </c>
      <c r="AQ37">
        <f t="shared" si="82"/>
        <v>36.844879242075102</v>
      </c>
      <c r="AR37" s="43">
        <f t="shared" si="83"/>
        <v>-0.97980211449137011</v>
      </c>
      <c r="AS37" t="str">
        <f t="shared" si="58"/>
        <v>-0.0000166666666666667</v>
      </c>
      <c r="AT37" t="str">
        <f t="shared" si="59"/>
        <v>3.3087106199786E-07i</v>
      </c>
      <c r="AU37">
        <f t="shared" si="84"/>
        <v>3.3087106199786001E-7</v>
      </c>
      <c r="AV37">
        <f t="shared" si="85"/>
        <v>1.5707963267948966</v>
      </c>
      <c r="AW37" t="str">
        <f t="shared" si="60"/>
        <v>1+0.000336252010064953i</v>
      </c>
      <c r="AX37">
        <f t="shared" si="86"/>
        <v>1.0000000565327056</v>
      </c>
      <c r="AY37">
        <f t="shared" si="87"/>
        <v>3.3625199739212958E-4</v>
      </c>
      <c r="AZ37" t="str">
        <f t="shared" si="61"/>
        <v>1+0.0114325683422084i</v>
      </c>
      <c r="BA37">
        <f t="shared" si="88"/>
        <v>1.0000653496741596</v>
      </c>
      <c r="BB37">
        <f t="shared" si="89"/>
        <v>1.143207028858105E-2</v>
      </c>
      <c r="BC37" s="41" t="str">
        <f t="shared" si="90"/>
        <v>-0.558944573480901+50.3722772006738i</v>
      </c>
      <c r="BD37">
        <f t="shared" si="91"/>
        <v>34.044366394794466</v>
      </c>
      <c r="BE37" s="43">
        <f t="shared" si="92"/>
        <v>90.635743558329182</v>
      </c>
      <c r="BF37" s="41" t="str">
        <f t="shared" si="93"/>
        <v>10.3233953911944+961.995603663043i</v>
      </c>
      <c r="BG37" s="20">
        <f t="shared" si="94"/>
        <v>59.663961847788968</v>
      </c>
      <c r="BH37" s="43">
        <f t="shared" si="95"/>
        <v>89.385169453576935</v>
      </c>
      <c r="BI37" s="41" t="str">
        <f t="shared" si="96"/>
        <v>21.0363022362895+3503.11546010523i</v>
      </c>
      <c r="BJ37" s="20">
        <f t="shared" si="97"/>
        <v>70.88924563686956</v>
      </c>
      <c r="BK37" s="43">
        <f t="shared" si="98"/>
        <v>89.655941443837818</v>
      </c>
      <c r="BL37">
        <f t="shared" si="99"/>
        <v>59.663961847788968</v>
      </c>
      <c r="BM37" s="43">
        <f t="shared" si="100"/>
        <v>89.385169453576935</v>
      </c>
    </row>
    <row r="38" spans="1:65" x14ac:dyDescent="0.25">
      <c r="A38" t="s">
        <v>200</v>
      </c>
      <c r="B38" s="16">
        <f>(Gcomp*(VIN_var/VOUT)*(VOUT/IOUT))/(Kd*R_cs*Acs/Np)</f>
        <v>19.102196752626551</v>
      </c>
      <c r="C38" t="s">
        <v>150</v>
      </c>
      <c r="E38" t="s">
        <v>204</v>
      </c>
      <c r="N38" s="9">
        <v>20</v>
      </c>
      <c r="O38" s="34">
        <f t="shared" si="62"/>
        <v>15.848931924611136</v>
      </c>
      <c r="P38" s="33" t="str">
        <f t="shared" si="50"/>
        <v>19.1021967526266</v>
      </c>
      <c r="Q38" s="4" t="str">
        <f t="shared" si="63"/>
        <v>1+0.0223512105136136i</v>
      </c>
      <c r="R38" s="4">
        <f t="shared" si="64"/>
        <v>1.0002497571164033</v>
      </c>
      <c r="S38" s="4">
        <f t="shared" si="65"/>
        <v>2.2347489581547777E-2</v>
      </c>
      <c r="T38" s="4" t="str">
        <f t="shared" si="51"/>
        <v>1+0.000374427478524055i</v>
      </c>
      <c r="U38" s="4">
        <f t="shared" si="66"/>
        <v>1.0000000700979659</v>
      </c>
      <c r="V38" s="4">
        <f t="shared" si="67"/>
        <v>3.7442746102631943E-4</v>
      </c>
      <c r="W38" t="str">
        <f t="shared" si="52"/>
        <v>1-0.00020746203375668i</v>
      </c>
      <c r="X38" s="4">
        <f t="shared" si="68"/>
        <v>1.0000000215202474</v>
      </c>
      <c r="Y38" s="4">
        <f t="shared" si="69"/>
        <v>-2.0746203078025717E-4</v>
      </c>
      <c r="Z38" t="str">
        <f t="shared" si="53"/>
        <v>0.999999999748811+0.00015435175311497i</v>
      </c>
      <c r="AA38" s="4">
        <f t="shared" si="70"/>
        <v>1.0000000116610428</v>
      </c>
      <c r="AB38" s="4">
        <f t="shared" si="71"/>
        <v>1.5435175192795889E-4</v>
      </c>
      <c r="AC38" s="47" t="str">
        <f t="shared" si="72"/>
        <v>19.092665414875-0.426503234969595i</v>
      </c>
      <c r="AD38" s="20">
        <f t="shared" si="73"/>
        <v>25.619497882314306</v>
      </c>
      <c r="AE38" s="43">
        <f t="shared" si="74"/>
        <v>-1.2796941252035032</v>
      </c>
      <c r="AF38" t="str">
        <f t="shared" si="54"/>
        <v>69.5520360182888</v>
      </c>
      <c r="AG38" t="str">
        <f t="shared" si="55"/>
        <v>1+0.0178298799297169i</v>
      </c>
      <c r="AH38">
        <f t="shared" si="75"/>
        <v>1.0001589396782433</v>
      </c>
      <c r="AI38">
        <f t="shared" si="76"/>
        <v>1.7827990889633372E-2</v>
      </c>
      <c r="AJ38" t="str">
        <f t="shared" si="56"/>
        <v>1+0.000374427478524055i</v>
      </c>
      <c r="AK38">
        <f t="shared" si="77"/>
        <v>1.0000000700979659</v>
      </c>
      <c r="AL38">
        <f t="shared" si="78"/>
        <v>3.7442746102631943E-4</v>
      </c>
      <c r="AM38" t="str">
        <f t="shared" si="57"/>
        <v>1-0.0000454526542857728i</v>
      </c>
      <c r="AN38">
        <f t="shared" si="79"/>
        <v>1.0000000010329719</v>
      </c>
      <c r="AO38">
        <f t="shared" si="80"/>
        <v>-4.5452654254471927E-5</v>
      </c>
      <c r="AP38" s="41" t="str">
        <f t="shared" si="81"/>
        <v>69.5303411485557-1.21683676532647i</v>
      </c>
      <c r="AQ38">
        <f t="shared" si="82"/>
        <v>36.844817150050318</v>
      </c>
      <c r="AR38" s="43">
        <f t="shared" si="83"/>
        <v>-1.0026197671795143</v>
      </c>
      <c r="AS38" t="str">
        <f t="shared" si="58"/>
        <v>-0.0000166666666666667</v>
      </c>
      <c r="AT38" t="str">
        <f t="shared" si="59"/>
        <v>3.38578039090901E-07i</v>
      </c>
      <c r="AU38">
        <f t="shared" si="84"/>
        <v>3.3857803909090102E-7</v>
      </c>
      <c r="AV38">
        <f t="shared" si="85"/>
        <v>1.5707963267948966</v>
      </c>
      <c r="AW38" t="str">
        <f t="shared" si="60"/>
        <v>1+0.000344084325539784i</v>
      </c>
      <c r="AX38">
        <f t="shared" si="86"/>
        <v>1.0000000591970097</v>
      </c>
      <c r="AY38">
        <f t="shared" si="87"/>
        <v>3.4408431196060913E-4</v>
      </c>
      <c r="AZ38" t="str">
        <f t="shared" si="61"/>
        <v>1+0.0116988670683527i</v>
      </c>
      <c r="BA38">
        <f t="shared" si="88"/>
        <v>1.0000684294040498</v>
      </c>
      <c r="BB38">
        <f t="shared" si="89"/>
        <v>1.1698333396248147E-2</v>
      </c>
      <c r="BC38" s="41" t="str">
        <f t="shared" si="90"/>
        <v>-0.558944570502508+49.2256728408101i</v>
      </c>
      <c r="BD38">
        <f t="shared" si="91"/>
        <v>33.844393120057376</v>
      </c>
      <c r="BE38" s="43">
        <f t="shared" si="92"/>
        <v>90.650550552069959</v>
      </c>
      <c r="BF38" s="41" t="str">
        <f t="shared" si="93"/>
        <v>10.323167040095+940.087693039175i</v>
      </c>
      <c r="BG38" s="20">
        <f t="shared" si="94"/>
        <v>59.463891002371689</v>
      </c>
      <c r="BH38" s="43">
        <f t="shared" si="95"/>
        <v>89.370856426866453</v>
      </c>
      <c r="BI38" s="41" t="str">
        <f t="shared" si="96"/>
        <v>21.0360018404581+3423.35797019189i</v>
      </c>
      <c r="BJ38" s="20">
        <f t="shared" si="97"/>
        <v>70.689210270107708</v>
      </c>
      <c r="BK38" s="43">
        <f t="shared" si="98"/>
        <v>89.647930784890448</v>
      </c>
      <c r="BL38">
        <f t="shared" si="99"/>
        <v>59.463891002371689</v>
      </c>
      <c r="BM38" s="43">
        <f t="shared" si="100"/>
        <v>89.370856426866453</v>
      </c>
    </row>
    <row r="39" spans="1:65" x14ac:dyDescent="0.25">
      <c r="A39" t="s">
        <v>217</v>
      </c>
      <c r="B39" s="18">
        <f>Kd/(Cout*(VOUT/IOUT_VAR))</f>
        <v>4455.3191489361698</v>
      </c>
      <c r="C39" t="s">
        <v>216</v>
      </c>
      <c r="E39" t="s">
        <v>207</v>
      </c>
      <c r="N39" s="9">
        <v>21</v>
      </c>
      <c r="O39" s="34">
        <f t="shared" si="62"/>
        <v>16.218100973589298</v>
      </c>
      <c r="P39" s="33" t="str">
        <f t="shared" si="50"/>
        <v>19.1021967526266</v>
      </c>
      <c r="Q39" s="4" t="str">
        <f t="shared" si="63"/>
        <v>1+0.0228718370875727i</v>
      </c>
      <c r="R39" s="4">
        <f t="shared" si="64"/>
        <v>1.0002615262678858</v>
      </c>
      <c r="S39" s="4">
        <f t="shared" si="65"/>
        <v>2.2867850093329884E-2</v>
      </c>
      <c r="T39" s="4" t="str">
        <f t="shared" si="51"/>
        <v>1+0.000383149014891017i</v>
      </c>
      <c r="U39" s="4">
        <f t="shared" si="66"/>
        <v>1.000000073401581</v>
      </c>
      <c r="V39" s="4">
        <f t="shared" si="67"/>
        <v>3.8314899614185567E-4</v>
      </c>
      <c r="W39" t="str">
        <f t="shared" si="52"/>
        <v>1-0.000212294445307523i</v>
      </c>
      <c r="X39" s="4">
        <f t="shared" si="68"/>
        <v>1.0000000225344654</v>
      </c>
      <c r="Y39" s="4">
        <f t="shared" si="69"/>
        <v>-2.1229444211822847E-4</v>
      </c>
      <c r="Z39" t="str">
        <f t="shared" si="53"/>
        <v>0.999999999736973+0.000157947067308797i</v>
      </c>
      <c r="AA39" s="4">
        <f t="shared" si="70"/>
        <v>1.0000000122106107</v>
      </c>
      <c r="AB39" s="4">
        <f t="shared" si="71"/>
        <v>1.5794706603689166E-4</v>
      </c>
      <c r="AC39" s="47" t="str">
        <f t="shared" si="72"/>
        <v>19.0922164516277-0.436427502926562i</v>
      </c>
      <c r="AD39" s="20">
        <f t="shared" si="73"/>
        <v>25.619395715620609</v>
      </c>
      <c r="AE39" s="43">
        <f t="shared" si="74"/>
        <v>-1.3094917522998901</v>
      </c>
      <c r="AF39" t="str">
        <f t="shared" si="54"/>
        <v>69.5520360182888</v>
      </c>
      <c r="AG39" t="str">
        <f t="shared" si="55"/>
        <v>1+0.0182451911852866i</v>
      </c>
      <c r="AH39">
        <f t="shared" si="75"/>
        <v>1.0001664296512793</v>
      </c>
      <c r="AI39">
        <f t="shared" si="76"/>
        <v>1.8243167060559635E-2</v>
      </c>
      <c r="AJ39" t="str">
        <f t="shared" si="56"/>
        <v>1+0.000383149014891017i</v>
      </c>
      <c r="AK39">
        <f t="shared" si="77"/>
        <v>1.000000073401581</v>
      </c>
      <c r="AL39">
        <f t="shared" si="78"/>
        <v>3.8314899614185567E-4</v>
      </c>
      <c r="AM39" t="str">
        <f t="shared" si="57"/>
        <v>1-0.0000465113826111909i</v>
      </c>
      <c r="AN39">
        <f t="shared" si="79"/>
        <v>1.0000000010816543</v>
      </c>
      <c r="AO39">
        <f t="shared" si="80"/>
        <v>-4.6511382577651405E-5</v>
      </c>
      <c r="AP39" s="41" t="str">
        <f t="shared" si="81"/>
        <v>69.5293190410914-1.24516188616206i</v>
      </c>
      <c r="AQ39">
        <f t="shared" si="82"/>
        <v>36.844752132670891</v>
      </c>
      <c r="AR39" s="43">
        <f t="shared" si="83"/>
        <v>-1.0259685630395641</v>
      </c>
      <c r="AS39" t="str">
        <f t="shared" si="58"/>
        <v>-0.0000166666666666667</v>
      </c>
      <c r="AT39" t="str">
        <f t="shared" si="59"/>
        <v>3.46464534741878E-07i</v>
      </c>
      <c r="AU39">
        <f t="shared" si="84"/>
        <v>3.4646453474187802E-7</v>
      </c>
      <c r="AV39">
        <f t="shared" si="85"/>
        <v>1.5707963267948966</v>
      </c>
      <c r="AW39" t="str">
        <f t="shared" si="60"/>
        <v>1+0.00035209907907851i</v>
      </c>
      <c r="AX39">
        <f t="shared" si="86"/>
        <v>1.0000000619868787</v>
      </c>
      <c r="AY39">
        <f t="shared" si="87"/>
        <v>3.5209906452816198E-4</v>
      </c>
      <c r="AZ39" t="str">
        <f t="shared" si="61"/>
        <v>1+0.0119713686886693i</v>
      </c>
      <c r="BA39">
        <f t="shared" si="88"/>
        <v>1.000071654266973</v>
      </c>
      <c r="BB39">
        <f t="shared" si="89"/>
        <v>1.1970796850919426E-2</v>
      </c>
      <c r="BC39" s="41" t="str">
        <f t="shared" si="90"/>
        <v>-0.558944567383738+48.1051685842653i</v>
      </c>
      <c r="BD39">
        <f t="shared" si="91"/>
        <v>33.644421104666542</v>
      </c>
      <c r="BE39" s="43">
        <f t="shared" si="92"/>
        <v>90.665702346598209</v>
      </c>
      <c r="BF39" s="41" t="str">
        <f t="shared" si="93"/>
        <v>10.3229279381405+918.678229834652i</v>
      </c>
      <c r="BG39" s="20">
        <f t="shared" si="94"/>
        <v>59.263816820287154</v>
      </c>
      <c r="BH39" s="43">
        <f t="shared" si="95"/>
        <v>89.356210594298318</v>
      </c>
      <c r="BI39" s="41" t="str">
        <f t="shared" si="96"/>
        <v>21.0356872966189+3345.41559049265i</v>
      </c>
      <c r="BJ39" s="20">
        <f t="shared" si="97"/>
        <v>70.48917323733744</v>
      </c>
      <c r="BK39" s="43">
        <f t="shared" si="98"/>
        <v>89.639733783558654</v>
      </c>
      <c r="BL39">
        <f t="shared" si="99"/>
        <v>59.263816820287154</v>
      </c>
      <c r="BM39" s="43">
        <f t="shared" si="100"/>
        <v>89.356210594298318</v>
      </c>
    </row>
    <row r="40" spans="1:65" x14ac:dyDescent="0.25">
      <c r="B40" s="17">
        <f>wp_lf/(2*PI())</f>
        <v>709.08606560516773</v>
      </c>
      <c r="C40" t="s">
        <v>65</v>
      </c>
      <c r="N40" s="9">
        <v>22</v>
      </c>
      <c r="O40" s="34">
        <f t="shared" si="62"/>
        <v>16.595869074375614</v>
      </c>
      <c r="P40" s="33" t="str">
        <f t="shared" si="50"/>
        <v>19.1021967526266</v>
      </c>
      <c r="Q40" s="4" t="str">
        <f t="shared" si="63"/>
        <v>1+0.0234045906123002i</v>
      </c>
      <c r="R40" s="4">
        <f t="shared" si="64"/>
        <v>1.0002738499339714</v>
      </c>
      <c r="S40" s="4">
        <f t="shared" si="65"/>
        <v>2.3400318534165701E-2</v>
      </c>
      <c r="T40" s="4" t="str">
        <f t="shared" si="51"/>
        <v>1+0.000392073701937253i</v>
      </c>
      <c r="U40" s="4">
        <f t="shared" si="66"/>
        <v>1.000000076860891</v>
      </c>
      <c r="V40" s="4">
        <f t="shared" si="67"/>
        <v>3.9207368184716472E-4</v>
      </c>
      <c r="W40" t="str">
        <f t="shared" si="52"/>
        <v>1-0.000217239418183319i</v>
      </c>
      <c r="X40" s="4">
        <f t="shared" si="68"/>
        <v>1.0000000235964821</v>
      </c>
      <c r="Y40" s="4">
        <f t="shared" si="69"/>
        <v>-2.1723941476592837E-4</v>
      </c>
      <c r="Z40" t="str">
        <f t="shared" si="53"/>
        <v>0.999999999724577+0.000161626127128389i</v>
      </c>
      <c r="AA40" s="4">
        <f t="shared" si="70"/>
        <v>1.0000000127860795</v>
      </c>
      <c r="AB40" s="4">
        <f t="shared" si="71"/>
        <v>1.6162612576551787E-4</v>
      </c>
      <c r="AC40" s="47" t="str">
        <f t="shared" si="72"/>
        <v>19.0917463520409-0.446582202907131i</v>
      </c>
      <c r="AD40" s="20">
        <f t="shared" si="73"/>
        <v>25.619288736536518</v>
      </c>
      <c r="AE40" s="43">
        <f t="shared" si="74"/>
        <v>-1.3399827205168484</v>
      </c>
      <c r="AF40" t="str">
        <f t="shared" si="54"/>
        <v>69.5520360182888</v>
      </c>
      <c r="AG40" t="str">
        <f t="shared" si="55"/>
        <v>1+0.0186701762827264i</v>
      </c>
      <c r="AH40">
        <f t="shared" si="75"/>
        <v>1.0001742725557523</v>
      </c>
      <c r="AI40">
        <f t="shared" si="76"/>
        <v>1.8668007414415336E-2</v>
      </c>
      <c r="AJ40" t="str">
        <f t="shared" si="56"/>
        <v>1+0.000392073701937253i</v>
      </c>
      <c r="AK40">
        <f t="shared" si="77"/>
        <v>1.000000076860891</v>
      </c>
      <c r="AL40">
        <f t="shared" si="78"/>
        <v>3.9207368184716472E-4</v>
      </c>
      <c r="AM40" t="str">
        <f t="shared" si="57"/>
        <v>1-0.0000475947718873208i</v>
      </c>
      <c r="AN40">
        <f t="shared" si="79"/>
        <v>1.0000000011326311</v>
      </c>
      <c r="AO40">
        <f t="shared" si="80"/>
        <v>-4.7594771851382591E-5</v>
      </c>
      <c r="AP40" s="41" t="str">
        <f t="shared" si="81"/>
        <v>69.5282487960012-1.27414545070023i</v>
      </c>
      <c r="AQ40">
        <f t="shared" si="82"/>
        <v>36.84468405216095</v>
      </c>
      <c r="AR40" s="43">
        <f t="shared" si="83"/>
        <v>-1.049860849090904</v>
      </c>
      <c r="AS40" t="str">
        <f t="shared" si="58"/>
        <v>-0.0000166666666666667</v>
      </c>
      <c r="AT40" t="str">
        <f t="shared" si="59"/>
        <v>3.54534730475176E-07i</v>
      </c>
      <c r="AU40">
        <f t="shared" si="84"/>
        <v>3.54534730475176E-7</v>
      </c>
      <c r="AV40">
        <f t="shared" si="85"/>
        <v>1.5707963267948966</v>
      </c>
      <c r="AW40" t="str">
        <f t="shared" si="60"/>
        <v>1+0.000360300520209548i</v>
      </c>
      <c r="AX40">
        <f t="shared" si="86"/>
        <v>1.0000000649082303</v>
      </c>
      <c r="AY40">
        <f t="shared" si="87"/>
        <v>3.6030050461856929E-4</v>
      </c>
      <c r="AZ40" t="str">
        <f t="shared" si="61"/>
        <v>1+0.0122502176871246i</v>
      </c>
      <c r="BA40">
        <f t="shared" si="88"/>
        <v>1.0000750311018578</v>
      </c>
      <c r="BB40">
        <f t="shared" si="89"/>
        <v>1.2249604954418947E-2</v>
      </c>
      <c r="BC40" s="41" t="str">
        <f t="shared" si="90"/>
        <v>-0.558944564117994+47.0101703248508i</v>
      </c>
      <c r="BD40">
        <f t="shared" si="91"/>
        <v>33.444450407956076</v>
      </c>
      <c r="BE40" s="43">
        <f t="shared" si="92"/>
        <v>90.681206966319664</v>
      </c>
      <c r="BF40" s="41" t="str">
        <f t="shared" si="93"/>
        <v>10.3226775797185+897.755862503038i</v>
      </c>
      <c r="BG40" s="20">
        <f t="shared" si="94"/>
        <v>59.063739144492587</v>
      </c>
      <c r="BH40" s="43">
        <f t="shared" si="95"/>
        <v>89.341224245802835</v>
      </c>
      <c r="BI40" s="41" t="str">
        <f t="shared" si="96"/>
        <v>21.0353579388833+3269.24699496218i</v>
      </c>
      <c r="BJ40" s="20">
        <f t="shared" si="97"/>
        <v>70.289134460117012</v>
      </c>
      <c r="BK40" s="43">
        <f t="shared" si="98"/>
        <v>89.631346117228773</v>
      </c>
      <c r="BL40">
        <f t="shared" si="99"/>
        <v>59.063739144492587</v>
      </c>
      <c r="BM40" s="43">
        <f t="shared" si="100"/>
        <v>89.341224245802835</v>
      </c>
    </row>
    <row r="41" spans="1:65" x14ac:dyDescent="0.25">
      <c r="B41" s="1"/>
      <c r="C41" t="s">
        <v>237</v>
      </c>
      <c r="E41" t="s">
        <v>236</v>
      </c>
      <c r="N41" s="9">
        <v>23</v>
      </c>
      <c r="O41" s="34">
        <f t="shared" si="62"/>
        <v>16.982436524617448</v>
      </c>
      <c r="P41" s="33" t="str">
        <f t="shared" si="50"/>
        <v>19.1021967526266</v>
      </c>
      <c r="Q41" s="4" t="str">
        <f t="shared" si="63"/>
        <v>1+0.0239497535607667i</v>
      </c>
      <c r="R41" s="4">
        <f t="shared" si="64"/>
        <v>1.0002867542338154</v>
      </c>
      <c r="S41" s="4">
        <f t="shared" si="65"/>
        <v>2.3945176017443587E-2</v>
      </c>
      <c r="T41" s="4" t="str">
        <f t="shared" si="51"/>
        <v>1+0.000401206271649963i</v>
      </c>
      <c r="U41" s="4">
        <f t="shared" si="66"/>
        <v>1.000000080483233</v>
      </c>
      <c r="V41" s="4">
        <f t="shared" si="67"/>
        <v>4.0120625012304563E-4</v>
      </c>
      <c r="W41" t="str">
        <f t="shared" si="52"/>
        <v>1-0.000222299574274138i</v>
      </c>
      <c r="X41" s="4">
        <f t="shared" si="68"/>
        <v>1.0000000247085501</v>
      </c>
      <c r="Y41" s="4">
        <f t="shared" si="69"/>
        <v>-2.2229957061233797E-4</v>
      </c>
      <c r="Z41" t="str">
        <f t="shared" si="53"/>
        <v>0.999999999711597+0.000165390883259958i</v>
      </c>
      <c r="AA41" s="4">
        <f t="shared" si="70"/>
        <v>1.0000000133886691</v>
      </c>
      <c r="AB41" s="4">
        <f t="shared" si="71"/>
        <v>1.6539088179961522E-4</v>
      </c>
      <c r="AC41" s="47" t="str">
        <f t="shared" si="72"/>
        <v>19.0912541221729-0.456972649941172i</v>
      </c>
      <c r="AD41" s="20">
        <f t="shared" si="73"/>
        <v>25.619176718509689</v>
      </c>
      <c r="AE41" s="43">
        <f t="shared" si="74"/>
        <v>-1.3711831273317951</v>
      </c>
      <c r="AF41" t="str">
        <f t="shared" si="54"/>
        <v>69.5520360182888</v>
      </c>
      <c r="AG41" t="str">
        <f t="shared" si="55"/>
        <v>1+0.0191050605547602i</v>
      </c>
      <c r="AH41">
        <f t="shared" si="75"/>
        <v>1.0001824850190093</v>
      </c>
      <c r="AI41">
        <f t="shared" si="76"/>
        <v>1.9102736593394339E-2</v>
      </c>
      <c r="AJ41" t="str">
        <f t="shared" si="56"/>
        <v>1+0.000401206271649963i</v>
      </c>
      <c r="AK41">
        <f t="shared" si="77"/>
        <v>1.000000080483233</v>
      </c>
      <c r="AL41">
        <f t="shared" si="78"/>
        <v>4.0120625012304563E-4</v>
      </c>
      <c r="AM41" t="str">
        <f t="shared" si="57"/>
        <v>1-0.0000487033965414962i</v>
      </c>
      <c r="AN41">
        <f t="shared" si="79"/>
        <v>1.0000000011860104</v>
      </c>
      <c r="AO41">
        <f t="shared" si="80"/>
        <v>-4.8703396502987708E-5</v>
      </c>
      <c r="AP41" s="41" t="str">
        <f t="shared" si="81"/>
        <v>69.5271281477929-1.30380270079606i</v>
      </c>
      <c r="AQ41">
        <f t="shared" si="82"/>
        <v>36.844612764260283</v>
      </c>
      <c r="AR41" s="43">
        <f t="shared" si="83"/>
        <v>-1.0743092581728633</v>
      </c>
      <c r="AS41" t="str">
        <f t="shared" si="58"/>
        <v>-0.0000166666666666667</v>
      </c>
      <c r="AT41" t="str">
        <f t="shared" si="59"/>
        <v>3.62792905215393E-07i</v>
      </c>
      <c r="AU41">
        <f t="shared" si="84"/>
        <v>3.62792905215393E-7</v>
      </c>
      <c r="AV41">
        <f t="shared" si="85"/>
        <v>1.5707963267948966</v>
      </c>
      <c r="AW41" t="str">
        <f t="shared" si="60"/>
        <v>1+0.000368692997445539i</v>
      </c>
      <c r="AX41">
        <f t="shared" si="86"/>
        <v>1.0000000679672609</v>
      </c>
      <c r="AY41">
        <f t="shared" si="87"/>
        <v>3.6869298073950436E-4</v>
      </c>
      <c r="AZ41" t="str">
        <f t="shared" si="61"/>
        <v>1+0.0125355619131483i</v>
      </c>
      <c r="BA41">
        <f t="shared" si="88"/>
        <v>1.0000785670698469</v>
      </c>
      <c r="BB41">
        <f t="shared" si="89"/>
        <v>1.2534905361010967E-2</v>
      </c>
      <c r="BC41" s="41" t="str">
        <f t="shared" si="90"/>
        <v>-0.558944560698336+45.9400974799958i</v>
      </c>
      <c r="BD41">
        <f t="shared" si="91"/>
        <v>33.244481092054855</v>
      </c>
      <c r="BE41" s="43">
        <f t="shared" si="92"/>
        <v>90.697072622049362</v>
      </c>
      <c r="BF41" s="41" t="str">
        <f t="shared" si="93"/>
        <v>10.3224154354912+877.309497765067i</v>
      </c>
      <c r="BG41" s="20">
        <f t="shared" si="94"/>
        <v>58.863657810564547</v>
      </c>
      <c r="BH41" s="43">
        <f t="shared" si="95"/>
        <v>89.325889494717572</v>
      </c>
      <c r="BI41" s="41" t="str">
        <f t="shared" si="96"/>
        <v>21.0350130700678+3194.8117980416i</v>
      </c>
      <c r="BJ41" s="20">
        <f t="shared" si="97"/>
        <v>70.089093856315145</v>
      </c>
      <c r="BK41" s="43">
        <f t="shared" si="98"/>
        <v>89.622763363876501</v>
      </c>
      <c r="BL41">
        <f t="shared" si="99"/>
        <v>58.863657810564547</v>
      </c>
      <c r="BM41" s="43">
        <f t="shared" si="100"/>
        <v>89.325889494717572</v>
      </c>
    </row>
    <row r="42" spans="1:65" x14ac:dyDescent="0.25">
      <c r="A42" t="s">
        <v>218</v>
      </c>
      <c r="B42" s="18">
        <f>((VOUT/IOUT)*((VIN_var/VOUT)^2))/(Lm)</f>
        <v>480000</v>
      </c>
      <c r="C42" t="s">
        <v>216</v>
      </c>
      <c r="E42" t="s">
        <v>208</v>
      </c>
      <c r="N42" s="9">
        <v>24</v>
      </c>
      <c r="O42" s="34">
        <f t="shared" si="62"/>
        <v>17.378008287493756</v>
      </c>
      <c r="P42" s="33" t="str">
        <f t="shared" si="50"/>
        <v>19.1021967526266</v>
      </c>
      <c r="Q42" s="4" t="str">
        <f t="shared" si="63"/>
        <v>1+0.0245076149855837i</v>
      </c>
      <c r="R42" s="4">
        <f t="shared" si="64"/>
        <v>1.0003002665161504</v>
      </c>
      <c r="S42" s="4">
        <f t="shared" si="65"/>
        <v>2.4502710139058536E-2</v>
      </c>
      <c r="T42" s="4" t="str">
        <f t="shared" si="51"/>
        <v>1+0.000410551566238497i</v>
      </c>
      <c r="U42" s="4">
        <f t="shared" si="66"/>
        <v>1.0000000842762908</v>
      </c>
      <c r="V42" s="4">
        <f t="shared" si="67"/>
        <v>4.1055154317198958E-4</v>
      </c>
      <c r="W42" t="str">
        <f t="shared" si="52"/>
        <v>1-0.000227477596541721i</v>
      </c>
      <c r="X42" s="4">
        <f t="shared" si="68"/>
        <v>1.0000000258730282</v>
      </c>
      <c r="Y42" s="4">
        <f t="shared" si="69"/>
        <v>-2.2747759261803157E-4</v>
      </c>
      <c r="Z42" t="str">
        <f t="shared" si="53"/>
        <v>0.999999999698005+0.00016924333182704i</v>
      </c>
      <c r="AA42" s="4">
        <f t="shared" si="70"/>
        <v>1.0000000140196574</v>
      </c>
      <c r="AB42" s="4">
        <f t="shared" si="71"/>
        <v>1.6924333026225455E-4</v>
      </c>
      <c r="AC42" s="47" t="str">
        <f t="shared" si="72"/>
        <v>19.0907387214491-0.467604279120237i</v>
      </c>
      <c r="AD42" s="20">
        <f t="shared" si="73"/>
        <v>25.619059424334591</v>
      </c>
      <c r="AE42" s="43">
        <f t="shared" si="74"/>
        <v>-1.4031094414297007</v>
      </c>
      <c r="AF42" t="str">
        <f t="shared" si="54"/>
        <v>69.5520360182888</v>
      </c>
      <c r="AG42" t="str">
        <f t="shared" si="55"/>
        <v>1+0.0195500745827856i</v>
      </c>
      <c r="AH42">
        <f t="shared" si="75"/>
        <v>1.0001910844514623</v>
      </c>
      <c r="AI42">
        <f t="shared" si="76"/>
        <v>1.9547584439011022E-2</v>
      </c>
      <c r="AJ42" t="str">
        <f t="shared" si="56"/>
        <v>1+0.000410551566238497i</v>
      </c>
      <c r="AK42">
        <f t="shared" si="77"/>
        <v>1.0000000842762908</v>
      </c>
      <c r="AL42">
        <f t="shared" si="78"/>
        <v>4.1055154317198958E-4</v>
      </c>
      <c r="AM42" t="str">
        <f t="shared" si="57"/>
        <v>1-0.000049837844381184i</v>
      </c>
      <c r="AN42">
        <f t="shared" si="79"/>
        <v>1.0000000012419052</v>
      </c>
      <c r="AO42">
        <f t="shared" si="80"/>
        <v>-4.9837844339921409E-5</v>
      </c>
      <c r="AP42" s="41" t="str">
        <f t="shared" si="81"/>
        <v>69.5259547245102-1.33414922652864i</v>
      </c>
      <c r="AQ42">
        <f t="shared" si="82"/>
        <v>36.844538117919669</v>
      </c>
      <c r="AR42" s="43">
        <f t="shared" si="83"/>
        <v>-1.0993267154753052</v>
      </c>
      <c r="AS42" t="str">
        <f t="shared" si="58"/>
        <v>-0.0000166666666666667</v>
      </c>
      <c r="AT42" t="str">
        <f t="shared" si="59"/>
        <v>3.71243437556088E-07i</v>
      </c>
      <c r="AU42">
        <f t="shared" si="84"/>
        <v>3.7124343755608799E-7</v>
      </c>
      <c r="AV42">
        <f t="shared" si="85"/>
        <v>1.5707963267948966</v>
      </c>
      <c r="AW42" t="str">
        <f t="shared" si="60"/>
        <v>1+0.000377280960589007i</v>
      </c>
      <c r="AX42">
        <f t="shared" si="86"/>
        <v>1.0000000711704591</v>
      </c>
      <c r="AY42">
        <f t="shared" si="87"/>
        <v>3.7728094268816849E-4</v>
      </c>
      <c r="AZ42" t="str">
        <f t="shared" si="61"/>
        <v>1+0.0128275526600263i</v>
      </c>
      <c r="BA42">
        <f t="shared" si="88"/>
        <v>1.0000822696694736</v>
      </c>
      <c r="BB42">
        <f t="shared" si="89"/>
        <v>1.282684915486185E-2</v>
      </c>
      <c r="BC42" s="41" t="str">
        <f t="shared" si="90"/>
        <v>-0.55894455711752+44.8943826829136i</v>
      </c>
      <c r="BD42">
        <f t="shared" si="91"/>
        <v>33.044513222017898</v>
      </c>
      <c r="BE42" s="43">
        <f t="shared" si="92"/>
        <v>90.713307715317782</v>
      </c>
      <c r="BF42" s="41" t="str">
        <f t="shared" si="93"/>
        <v>10.3221409512852+857.328294726952i</v>
      </c>
      <c r="BG42" s="20">
        <f t="shared" si="94"/>
        <v>58.663572646352485</v>
      </c>
      <c r="BH42" s="43">
        <f t="shared" si="95"/>
        <v>89.310198273888076</v>
      </c>
      <c r="BI42" s="41" t="str">
        <f t="shared" si="96"/>
        <v>21.0346519602259+3122.07053324564i</v>
      </c>
      <c r="BJ42" s="20">
        <f t="shared" si="97"/>
        <v>69.889051339937566</v>
      </c>
      <c r="BK42" s="43">
        <f t="shared" si="98"/>
        <v>89.613980999842482</v>
      </c>
      <c r="BL42">
        <f t="shared" si="99"/>
        <v>58.663572646352485</v>
      </c>
      <c r="BM42" s="43">
        <f t="shared" si="100"/>
        <v>89.310198273888076</v>
      </c>
    </row>
    <row r="43" spans="1:65" x14ac:dyDescent="0.25">
      <c r="B43" s="1">
        <f>wz_rhp/(2*PI())</f>
        <v>76394.372684109767</v>
      </c>
      <c r="C43" t="s">
        <v>65</v>
      </c>
      <c r="N43" s="9">
        <v>25</v>
      </c>
      <c r="O43" s="34">
        <f t="shared" si="62"/>
        <v>17.782794100389236</v>
      </c>
      <c r="P43" s="33" t="str">
        <f t="shared" si="50"/>
        <v>19.1021967526266</v>
      </c>
      <c r="Q43" s="4" t="str">
        <f t="shared" si="63"/>
        <v>1+0.0250784706722624i</v>
      </c>
      <c r="R43" s="4">
        <f t="shared" si="64"/>
        <v>1.0003144154171026</v>
      </c>
      <c r="S43" s="4">
        <f t="shared" si="65"/>
        <v>2.5073215123736482E-2</v>
      </c>
      <c r="T43" s="4" t="str">
        <f t="shared" si="51"/>
        <v>1+0.00042011454070174i</v>
      </c>
      <c r="U43" s="4">
        <f t="shared" si="66"/>
        <v>1.0000000882481097</v>
      </c>
      <c r="V43" s="4">
        <f t="shared" si="67"/>
        <v>4.2011451598553216E-4</v>
      </c>
      <c r="W43" t="str">
        <f t="shared" si="52"/>
        <v>1-0.00023277623044201i</v>
      </c>
      <c r="X43" s="4">
        <f t="shared" si="68"/>
        <v>1.0000000270923863</v>
      </c>
      <c r="Y43" s="4">
        <f t="shared" si="69"/>
        <v>-2.3277622623770104E-4</v>
      </c>
      <c r="Z43" t="str">
        <f t="shared" si="53"/>
        <v>0.999999999683772+0.000173185515448856i</v>
      </c>
      <c r="AA43" s="4">
        <f t="shared" si="70"/>
        <v>1.0000000146803831</v>
      </c>
      <c r="AB43" s="4">
        <f t="shared" si="71"/>
        <v>1.7318551377215824E-4</v>
      </c>
      <c r="AC43" s="47" t="str">
        <f t="shared" si="72"/>
        <v>19.0901990604846-0.478482648127525i</v>
      </c>
      <c r="AD43" s="20">
        <f t="shared" si="73"/>
        <v>25.618936605652717</v>
      </c>
      <c r="AE43" s="43">
        <f t="shared" si="74"/>
        <v>-1.435778511081881</v>
      </c>
      <c r="AF43" t="str">
        <f t="shared" si="54"/>
        <v>69.5520360182888</v>
      </c>
      <c r="AG43" t="str">
        <f t="shared" si="55"/>
        <v>1+0.0200054543191305i</v>
      </c>
      <c r="AH43">
        <f t="shared" si="75"/>
        <v>1.0002000890834368</v>
      </c>
      <c r="AI43">
        <f t="shared" si="76"/>
        <v>2.0002786110831151E-2</v>
      </c>
      <c r="AJ43" t="str">
        <f t="shared" si="56"/>
        <v>1+0.00042011454070174i</v>
      </c>
      <c r="AK43">
        <f t="shared" si="77"/>
        <v>1.0000000882481097</v>
      </c>
      <c r="AL43">
        <f t="shared" si="78"/>
        <v>4.2011451598553216E-4</v>
      </c>
      <c r="AM43" t="str">
        <f t="shared" si="57"/>
        <v>1-0.000050998716905644i</v>
      </c>
      <c r="AN43">
        <f t="shared" si="79"/>
        <v>1.0000000013004344</v>
      </c>
      <c r="AO43">
        <f t="shared" si="80"/>
        <v>-5.099871686143034E-5</v>
      </c>
      <c r="AP43" s="41" t="str">
        <f t="shared" si="81"/>
        <v>69.5247260427439-1.36520097382659i</v>
      </c>
      <c r="AQ43">
        <f t="shared" si="82"/>
        <v>36.844459954981744</v>
      </c>
      <c r="AR43" s="43">
        <f t="shared" si="83"/>
        <v>-1.1249264452121182</v>
      </c>
      <c r="AS43" t="str">
        <f t="shared" si="58"/>
        <v>-0.0000166666666666667</v>
      </c>
      <c r="AT43" t="str">
        <f t="shared" si="59"/>
        <v>3.79890808081363E-07i</v>
      </c>
      <c r="AU43">
        <f t="shared" si="84"/>
        <v>3.7989080808136298E-7</v>
      </c>
      <c r="AV43">
        <f t="shared" si="85"/>
        <v>1.5707963267948966</v>
      </c>
      <c r="AW43" t="str">
        <f t="shared" si="60"/>
        <v>1+0.000386068963091681i</v>
      </c>
      <c r="AX43">
        <f t="shared" si="86"/>
        <v>1.0000000745246194</v>
      </c>
      <c r="AY43">
        <f t="shared" si="87"/>
        <v>3.86068943910587E-4</v>
      </c>
      <c r="AZ43" t="str">
        <f t="shared" si="61"/>
        <v>1+0.0131263447451171i</v>
      </c>
      <c r="BA43">
        <f t="shared" si="88"/>
        <v>1.0000861467525524</v>
      </c>
      <c r="BB43">
        <f t="shared" si="89"/>
        <v>1.3125590929258999E-2</v>
      </c>
      <c r="BC43" s="41" t="str">
        <f t="shared" si="90"/>
        <v>-0.558944553367933+43.8724714817771i</v>
      </c>
      <c r="BD43">
        <f t="shared" si="91"/>
        <v>32.844546865964212</v>
      </c>
      <c r="BE43" s="43">
        <f t="shared" si="92"/>
        <v>90.72992084277459</v>
      </c>
      <c r="BF43" s="41" t="str">
        <f t="shared" si="93"/>
        <v>10.3218535469325+837.80165913261i</v>
      </c>
      <c r="BG43" s="20">
        <f t="shared" si="94"/>
        <v>58.463483471616925</v>
      </c>
      <c r="BH43" s="43">
        <f t="shared" si="95"/>
        <v>89.294142331692697</v>
      </c>
      <c r="BI43" s="41" t="str">
        <f t="shared" si="96"/>
        <v>21.034273845112+3050.98463223722i</v>
      </c>
      <c r="BJ43" s="20">
        <f t="shared" si="97"/>
        <v>69.689006820945963</v>
      </c>
      <c r="BK43" s="43">
        <f t="shared" si="98"/>
        <v>89.604994397562464</v>
      </c>
      <c r="BL43">
        <f t="shared" si="99"/>
        <v>58.463483471616925</v>
      </c>
      <c r="BM43" s="43">
        <f t="shared" si="100"/>
        <v>89.294142331692697</v>
      </c>
    </row>
    <row r="44" spans="1:65" x14ac:dyDescent="0.25">
      <c r="B44" s="1"/>
      <c r="N44" s="9">
        <v>26</v>
      </c>
      <c r="O44" s="34">
        <f t="shared" si="62"/>
        <v>18.197008586099841</v>
      </c>
      <c r="P44" s="33" t="str">
        <f t="shared" si="50"/>
        <v>19.1021967526266</v>
      </c>
      <c r="Q44" s="4" t="str">
        <f t="shared" si="63"/>
        <v>1+0.0256626232960446i</v>
      </c>
      <c r="R44" s="4">
        <f t="shared" si="64"/>
        <v>1.0003292309207177</v>
      </c>
      <c r="S44" s="4">
        <f t="shared" si="65"/>
        <v>2.5656991974436227E-2</v>
      </c>
      <c r="T44" s="4" t="str">
        <f t="shared" si="51"/>
        <v>1+0.000429900265455339i</v>
      </c>
      <c r="U44" s="4">
        <f t="shared" si="66"/>
        <v>1.0000000924071148</v>
      </c>
      <c r="V44" s="4">
        <f t="shared" si="67"/>
        <v>4.2990023897144527E-4</v>
      </c>
      <c r="W44" t="str">
        <f t="shared" si="52"/>
        <v>1-0.00023819828538084i</v>
      </c>
      <c r="X44" s="4">
        <f t="shared" si="68"/>
        <v>1.0000000283692112</v>
      </c>
      <c r="Y44" s="4">
        <f t="shared" si="69"/>
        <v>-2.381982808758418E-4</v>
      </c>
      <c r="Z44" t="str">
        <f t="shared" si="53"/>
        <v>0.999999999668869+0.000177219524323345i</v>
      </c>
      <c r="AA44" s="4">
        <f t="shared" si="70"/>
        <v>1.0000000153722486</v>
      </c>
      <c r="AB44" s="4">
        <f t="shared" si="71"/>
        <v>1.7721952252673089E-4</v>
      </c>
      <c r="AC44" s="47" t="str">
        <f t="shared" si="72"/>
        <v>19.0896339988063-0.489613439807888i</v>
      </c>
      <c r="AD44" s="20">
        <f t="shared" si="73"/>
        <v>25.61880800242966</v>
      </c>
      <c r="AE44" s="43">
        <f t="shared" si="74"/>
        <v>-1.4692075727010547</v>
      </c>
      <c r="AF44" t="str">
        <f t="shared" si="54"/>
        <v>69.5520360182888</v>
      </c>
      <c r="AG44" t="str">
        <f t="shared" si="55"/>
        <v>1+0.020471441212159i</v>
      </c>
      <c r="AH44">
        <f t="shared" si="75"/>
        <v>1.0002095180037545</v>
      </c>
      <c r="AI44">
        <f t="shared" si="76"/>
        <v>2.046858220780047E-2</v>
      </c>
      <c r="AJ44" t="str">
        <f t="shared" si="56"/>
        <v>1+0.000429900265455339i</v>
      </c>
      <c r="AK44">
        <f t="shared" si="77"/>
        <v>1.0000000924071148</v>
      </c>
      <c r="AL44">
        <f t="shared" si="78"/>
        <v>4.2990023897144527E-4</v>
      </c>
      <c r="AM44" t="str">
        <f t="shared" si="57"/>
        <v>1-0.0000521866296248557i</v>
      </c>
      <c r="AN44">
        <f t="shared" si="79"/>
        <v>1.0000000013617221</v>
      </c>
      <c r="AO44">
        <f t="shared" si="80"/>
        <v>-5.218662957747991E-5</v>
      </c>
      <c r="AP44" s="41" t="str">
        <f t="shared" si="81"/>
        <v>69.5234395024123-1.39697425223685i</v>
      </c>
      <c r="AQ44">
        <f t="shared" si="82"/>
        <v>36.844378109847128</v>
      </c>
      <c r="AR44" s="43">
        <f t="shared" si="83"/>
        <v>-1.1511219774406123</v>
      </c>
      <c r="AS44" t="str">
        <f t="shared" si="58"/>
        <v>-0.0000166666666666667</v>
      </c>
      <c r="AT44" t="str">
        <f t="shared" si="59"/>
        <v>3.88739601741531E-07i</v>
      </c>
      <c r="AU44">
        <f t="shared" si="84"/>
        <v>3.8873960174153098E-7</v>
      </c>
      <c r="AV44">
        <f t="shared" si="85"/>
        <v>1.5707963267948966</v>
      </c>
      <c r="AW44" t="str">
        <f t="shared" si="60"/>
        <v>1+0.000395061664468815i</v>
      </c>
      <c r="AX44">
        <f t="shared" si="86"/>
        <v>1.0000000780368563</v>
      </c>
      <c r="AY44">
        <f t="shared" si="87"/>
        <v>3.9506164391590252E-4</v>
      </c>
      <c r="AZ44" t="str">
        <f t="shared" si="61"/>
        <v>1+0.0134320965919397i</v>
      </c>
      <c r="BA44">
        <f t="shared" si="88"/>
        <v>1.0000902065408177</v>
      </c>
      <c r="BB44">
        <f t="shared" si="89"/>
        <v>1.343128886762996E-2</v>
      </c>
      <c r="BC44" s="41" t="str">
        <f t="shared" si="90"/>
        <v>-0.558944549441646+42.8738220457409i</v>
      </c>
      <c r="BD44">
        <f t="shared" si="91"/>
        <v>32.64458209522104</v>
      </c>
      <c r="BE44" s="43">
        <f t="shared" si="92"/>
        <v>90.746920800692351</v>
      </c>
      <c r="BF44" s="41" t="str">
        <f t="shared" si="93"/>
        <v>10.3215526150578+818.719237746661i</v>
      </c>
      <c r="BG44" s="20">
        <f t="shared" si="94"/>
        <v>58.263390097650706</v>
      </c>
      <c r="BH44" s="43">
        <f t="shared" si="95"/>
        <v>89.277713227991299</v>
      </c>
      <c r="BI44" s="41" t="str">
        <f t="shared" si="96"/>
        <v>21.0338779245753+2981.51640437826i</v>
      </c>
      <c r="BJ44" s="20">
        <f t="shared" si="97"/>
        <v>69.488960205068182</v>
      </c>
      <c r="BK44" s="43">
        <f t="shared" si="98"/>
        <v>89.595798823251755</v>
      </c>
      <c r="BL44">
        <f t="shared" si="99"/>
        <v>58.263390097650706</v>
      </c>
      <c r="BM44" s="43">
        <f t="shared" si="100"/>
        <v>89.277713227991299</v>
      </c>
    </row>
    <row r="45" spans="1:65" x14ac:dyDescent="0.25">
      <c r="A45" t="s">
        <v>219</v>
      </c>
      <c r="B45" s="18">
        <f>1/(Cout*Resr)</f>
        <v>265957.44680851063</v>
      </c>
      <c r="C45" t="s">
        <v>216</v>
      </c>
      <c r="E45" t="s">
        <v>209</v>
      </c>
      <c r="N45" s="9">
        <v>27</v>
      </c>
      <c r="O45" s="34">
        <f t="shared" si="62"/>
        <v>18.62087136662868</v>
      </c>
      <c r="P45" s="33" t="str">
        <f t="shared" si="50"/>
        <v>19.1021967526266</v>
      </c>
      <c r="Q45" s="4" t="str">
        <f t="shared" si="63"/>
        <v>1+0.0262603825823833i</v>
      </c>
      <c r="R45" s="4">
        <f t="shared" si="64"/>
        <v>1.0003447444223281</v>
      </c>
      <c r="S45" s="4">
        <f t="shared" si="65"/>
        <v>2.6254348624871471E-2</v>
      </c>
      <c r="T45" s="4" t="str">
        <f t="shared" si="51"/>
        <v>1+0.000439913929020084i</v>
      </c>
      <c r="U45" s="4">
        <f t="shared" si="66"/>
        <v>1.0000000967621276</v>
      </c>
      <c r="V45" s="4">
        <f t="shared" si="67"/>
        <v>4.3991390064208072E-4</v>
      </c>
      <c r="W45" t="str">
        <f t="shared" si="52"/>
        <v>1-0.000243746636203504i</v>
      </c>
      <c r="X45" s="4">
        <f t="shared" si="68"/>
        <v>1.000000029706211</v>
      </c>
      <c r="Y45" s="4">
        <f t="shared" si="69"/>
        <v>-2.4374663137631146E-4</v>
      </c>
      <c r="Z45" t="str">
        <f t="shared" si="53"/>
        <v>0.999999999653263+0.000181347497335407i</v>
      </c>
      <c r="AA45" s="4">
        <f t="shared" si="70"/>
        <v>1.0000000160967202</v>
      </c>
      <c r="AB45" s="4">
        <f t="shared" si="71"/>
        <v>1.8134749541030037E-4</v>
      </c>
      <c r="AC45" s="47" t="str">
        <f t="shared" si="72"/>
        <v>19.0890423424696-0.501002464777315i</v>
      </c>
      <c r="AD45" s="20">
        <f t="shared" si="73"/>
        <v>25.618673342407618</v>
      </c>
      <c r="AE45" s="43">
        <f t="shared" si="74"/>
        <v>-1.5034142595749764</v>
      </c>
      <c r="AF45" t="str">
        <f t="shared" si="54"/>
        <v>69.5520360182888</v>
      </c>
      <c r="AG45" t="str">
        <f t="shared" si="55"/>
        <v>1+0.0209482823342897i</v>
      </c>
      <c r="AH45">
        <f t="shared" si="75"/>
        <v>1.0002193912001291</v>
      </c>
      <c r="AI45">
        <f t="shared" si="76"/>
        <v>2.0945218892216039E-2</v>
      </c>
      <c r="AJ45" t="str">
        <f t="shared" si="56"/>
        <v>1+0.000439913929020084i</v>
      </c>
      <c r="AK45">
        <f t="shared" si="77"/>
        <v>1.0000000967621276</v>
      </c>
      <c r="AL45">
        <f t="shared" si="78"/>
        <v>4.3991390064208072E-4</v>
      </c>
      <c r="AM45" t="str">
        <f t="shared" si="57"/>
        <v>1-0.000053402212385866i</v>
      </c>
      <c r="AN45">
        <f t="shared" si="79"/>
        <v>1.0000000014258981</v>
      </c>
      <c r="AO45">
        <f t="shared" si="80"/>
        <v>-5.3402212335101929E-5</v>
      </c>
      <c r="AP45" s="41" t="str">
        <f t="shared" si="81"/>
        <v>69.5220923812977-1.42948574283716i</v>
      </c>
      <c r="AQ45">
        <f t="shared" si="82"/>
        <v>36.844292409124783</v>
      </c>
      <c r="AR45" s="43">
        <f t="shared" si="83"/>
        <v>-1.1779271550291894</v>
      </c>
      <c r="AS45" t="str">
        <f t="shared" si="58"/>
        <v>-0.0000166666666666667</v>
      </c>
      <c r="AT45" t="str">
        <f t="shared" si="59"/>
        <v>3.9779451028412E-07i</v>
      </c>
      <c r="AU45">
        <f t="shared" si="84"/>
        <v>3.9779451028412002E-7</v>
      </c>
      <c r="AV45">
        <f t="shared" si="85"/>
        <v>1.5707963267948966</v>
      </c>
      <c r="AW45" t="str">
        <f t="shared" si="60"/>
        <v>1+0.000404263832769708i</v>
      </c>
      <c r="AX45">
        <f t="shared" si="86"/>
        <v>1.00000008171462</v>
      </c>
      <c r="AY45">
        <f t="shared" si="87"/>
        <v>4.0426381074686561E-4</v>
      </c>
      <c r="AZ45" t="str">
        <f t="shared" si="61"/>
        <v>1+0.0137449703141701i</v>
      </c>
      <c r="BA45">
        <f t="shared" si="88"/>
        <v>1.0000944576433455</v>
      </c>
      <c r="BB45">
        <f t="shared" si="89"/>
        <v>1.374410482639378E-2</v>
      </c>
      <c r="BC45" s="41" t="str">
        <f t="shared" si="90"/>
        <v>-0.558944545330315+41.8979048776554i</v>
      </c>
      <c r="BD45">
        <f t="shared" si="91"/>
        <v>32.444618984474786</v>
      </c>
      <c r="BE45" s="43">
        <f t="shared" si="92"/>
        <v>90.764316589572076</v>
      </c>
      <c r="BF45" s="41" t="str">
        <f t="shared" si="93"/>
        <v>10.321237519808+800.070912865212i</v>
      </c>
      <c r="BG45" s="20">
        <f t="shared" si="94"/>
        <v>58.063292326882404</v>
      </c>
      <c r="BH45" s="43">
        <f t="shared" si="95"/>
        <v>89.260902329997108</v>
      </c>
      <c r="BI45" s="41" t="str">
        <f t="shared" si="96"/>
        <v>21.0334633608793+2913.62901674577i</v>
      </c>
      <c r="BJ45" s="20">
        <f t="shared" si="97"/>
        <v>69.288911393599577</v>
      </c>
      <c r="BK45" s="43">
        <f t="shared" si="98"/>
        <v>89.586389434542895</v>
      </c>
      <c r="BL45">
        <f t="shared" si="99"/>
        <v>58.063292326882404</v>
      </c>
      <c r="BM45" s="43">
        <f t="shared" si="100"/>
        <v>89.260902329997108</v>
      </c>
    </row>
    <row r="46" spans="1:65" x14ac:dyDescent="0.25">
      <c r="B46" s="18">
        <f>wz_esr/(2*PI())</f>
        <v>42328.442311674291</v>
      </c>
      <c r="C46" t="s">
        <v>65</v>
      </c>
      <c r="N46" s="9">
        <v>28</v>
      </c>
      <c r="O46" s="34">
        <f t="shared" si="62"/>
        <v>19.054607179632477</v>
      </c>
      <c r="P46" s="33" t="str">
        <f t="shared" si="50"/>
        <v>19.1021967526266</v>
      </c>
      <c r="Q46" s="4" t="str">
        <f t="shared" si="63"/>
        <v>1+0.0268720654711644i</v>
      </c>
      <c r="R46" s="4">
        <f t="shared" si="64"/>
        <v>1.0003609887948881</v>
      </c>
      <c r="S46" s="4">
        <f t="shared" si="65"/>
        <v>2.6865600095206676E-2</v>
      </c>
      <c r="T46" s="4" t="str">
        <f t="shared" si="51"/>
        <v>1+0.000450160840772945i</v>
      </c>
      <c r="U46" s="4">
        <f t="shared" si="66"/>
        <v>1.000000101322386</v>
      </c>
      <c r="V46" s="4">
        <f t="shared" si="67"/>
        <v>4.5016081036536678E-4</v>
      </c>
      <c r="W46" t="str">
        <f t="shared" si="52"/>
        <v>1-0.000249424224719052i</v>
      </c>
      <c r="X46" s="4">
        <f t="shared" si="68"/>
        <v>1.0000000311062214</v>
      </c>
      <c r="Y46" s="4">
        <f t="shared" si="69"/>
        <v>-2.4942421954662203E-4</v>
      </c>
      <c r="Z46" t="str">
        <f t="shared" si="53"/>
        <v>0.999999999636922+0.000185571623190975i</v>
      </c>
      <c r="AA46" s="4">
        <f t="shared" si="70"/>
        <v>1.0000000168553356</v>
      </c>
      <c r="AB46" s="4">
        <f t="shared" si="71"/>
        <v>1.8557162112818604E-4</v>
      </c>
      <c r="AC46" s="47" t="str">
        <f t="shared" si="72"/>
        <v>19.0884228415644-0.512655664071542i</v>
      </c>
      <c r="AD46" s="20">
        <f t="shared" si="73"/>
        <v>25.618532340532081</v>
      </c>
      <c r="AE46" s="43">
        <f t="shared" si="74"/>
        <v>-1.5384166107818884</v>
      </c>
      <c r="AF46" t="str">
        <f t="shared" si="54"/>
        <v>69.5520360182888</v>
      </c>
      <c r="AG46" t="str">
        <f t="shared" si="55"/>
        <v>1+0.0214362305129974i</v>
      </c>
      <c r="AH46">
        <f t="shared" si="75"/>
        <v>1.0002297296014584</v>
      </c>
      <c r="AI46">
        <f t="shared" si="76"/>
        <v>2.1432948016392159E-2</v>
      </c>
      <c r="AJ46" t="str">
        <f t="shared" si="56"/>
        <v>1+0.000450160840772945i</v>
      </c>
      <c r="AK46">
        <f t="shared" si="77"/>
        <v>1.000000101322386</v>
      </c>
      <c r="AL46">
        <f t="shared" si="78"/>
        <v>4.5016081036536678E-4</v>
      </c>
      <c r="AM46" t="str">
        <f t="shared" si="57"/>
        <v>1-0.0000546461097067451i</v>
      </c>
      <c r="AN46">
        <f t="shared" si="79"/>
        <v>1.0000000014930985</v>
      </c>
      <c r="AO46">
        <f t="shared" si="80"/>
        <v>-5.464610965235041E-5</v>
      </c>
      <c r="AP46" s="41" t="str">
        <f t="shared" si="81"/>
        <v>69.5206818293284-1.46275250629335i</v>
      </c>
      <c r="AQ46">
        <f t="shared" si="82"/>
        <v>36.844202671265982</v>
      </c>
      <c r="AR46" s="43">
        <f t="shared" si="83"/>
        <v>-1.205356140776322</v>
      </c>
      <c r="AS46" t="str">
        <f t="shared" si="58"/>
        <v>-0.0000166666666666667</v>
      </c>
      <c r="AT46" t="str">
        <f t="shared" si="59"/>
        <v>4.07060334741494E-07i</v>
      </c>
      <c r="AU46">
        <f t="shared" si="84"/>
        <v>4.0706033474149401E-7</v>
      </c>
      <c r="AV46">
        <f t="shared" si="85"/>
        <v>1.5707963267948966</v>
      </c>
      <c r="AW46" t="str">
        <f t="shared" si="60"/>
        <v>1+0.000413680347105801i</v>
      </c>
      <c r="AX46">
        <f t="shared" si="86"/>
        <v>1.0000000855657112</v>
      </c>
      <c r="AY46">
        <f t="shared" si="87"/>
        <v>4.1368032350790036E-4</v>
      </c>
      <c r="AZ46" t="str">
        <f t="shared" si="61"/>
        <v>1+0.0140651318015972i</v>
      </c>
      <c r="BA46">
        <f t="shared" si="88"/>
        <v>1.0000989090747956</v>
      </c>
      <c r="BB46">
        <f t="shared" si="89"/>
        <v>1.4064204419689938E-2</v>
      </c>
      <c r="BC46" s="41" t="str">
        <f t="shared" si="90"/>
        <v>-0.55894454102522+40.9442025333203i</v>
      </c>
      <c r="BD46">
        <f t="shared" si="91"/>
        <v>32.2446576119291</v>
      </c>
      <c r="BE46" s="43">
        <f t="shared" si="92"/>
        <v>90.782117418852863</v>
      </c>
      <c r="BF46" s="41" t="str">
        <f t="shared" si="93"/>
        <v>10.3209075955255+781.846796951529i</v>
      </c>
      <c r="BG46" s="20">
        <f t="shared" si="94"/>
        <v>57.863189952461184</v>
      </c>
      <c r="BH46" s="43">
        <f t="shared" si="95"/>
        <v>89.243700808070983</v>
      </c>
      <c r="BI46" s="41" t="str">
        <f t="shared" si="96"/>
        <v>21.0330292769425+2847.28647460281i</v>
      </c>
      <c r="BJ46" s="20">
        <f t="shared" si="97"/>
        <v>69.088860283195089</v>
      </c>
      <c r="BK46" s="43">
        <f t="shared" si="98"/>
        <v>89.576761278076532</v>
      </c>
      <c r="BL46">
        <f t="shared" si="99"/>
        <v>57.863189952461184</v>
      </c>
      <c r="BM46" s="43">
        <f t="shared" si="100"/>
        <v>89.243700808070983</v>
      </c>
    </row>
    <row r="47" spans="1:65" x14ac:dyDescent="0.25">
      <c r="B47" s="1"/>
      <c r="N47" s="9">
        <v>29</v>
      </c>
      <c r="O47" s="34">
        <f t="shared" si="62"/>
        <v>19.498445997580465</v>
      </c>
      <c r="P47" s="33" t="str">
        <f t="shared" si="50"/>
        <v>19.1021967526266</v>
      </c>
      <c r="Q47" s="4" t="str">
        <f t="shared" si="63"/>
        <v>1+0.0274979962847522i</v>
      </c>
      <c r="R47" s="4">
        <f t="shared" si="64"/>
        <v>1.0003779984584209</v>
      </c>
      <c r="S47" s="4">
        <f t="shared" si="65"/>
        <v>2.749106865096906E-2</v>
      </c>
      <c r="T47" s="4" t="str">
        <f t="shared" si="51"/>
        <v>1+0.000460646433762168i</v>
      </c>
      <c r="U47" s="4">
        <f t="shared" si="66"/>
        <v>1.000000106097563</v>
      </c>
      <c r="V47" s="4">
        <f t="shared" si="67"/>
        <v>4.6064640117986114E-4</v>
      </c>
      <c r="W47" t="str">
        <f t="shared" si="52"/>
        <v>1-0.000255234061260067i</v>
      </c>
      <c r="X47" s="4">
        <f t="shared" si="68"/>
        <v>1.0000000325722125</v>
      </c>
      <c r="Y47" s="4">
        <f t="shared" si="69"/>
        <v>-2.5523405571770846E-4</v>
      </c>
      <c r="Z47" t="str">
        <f t="shared" si="53"/>
        <v>0.999999999619811+0.00018989414157749i</v>
      </c>
      <c r="AA47" s="4">
        <f t="shared" si="70"/>
        <v>1.0000000176497033</v>
      </c>
      <c r="AB47" s="4">
        <f t="shared" si="71"/>
        <v>1.8989413936717174E-4</v>
      </c>
      <c r="AC47" s="47" t="str">
        <f t="shared" si="72"/>
        <v>19.0877741876076-0.524579111833087i</v>
      </c>
      <c r="AD47" s="20">
        <f t="shared" si="73"/>
        <v>25.618384698352486</v>
      </c>
      <c r="AE47" s="43">
        <f t="shared" si="74"/>
        <v>-1.5742330802900784</v>
      </c>
      <c r="AF47" t="str">
        <f t="shared" si="54"/>
        <v>69.5520360182888</v>
      </c>
      <c r="AG47" t="str">
        <f t="shared" si="55"/>
        <v>1+0.0219355444648652i</v>
      </c>
      <c r="AH47">
        <f t="shared" si="75"/>
        <v>1.0002405551221016</v>
      </c>
      <c r="AI47">
        <f t="shared" si="76"/>
        <v>2.1932027252067339E-2</v>
      </c>
      <c r="AJ47" t="str">
        <f t="shared" si="56"/>
        <v>1+0.000460646433762168i</v>
      </c>
      <c r="AK47">
        <f t="shared" si="77"/>
        <v>1.000000106097563</v>
      </c>
      <c r="AL47">
        <f t="shared" si="78"/>
        <v>4.6064640117986114E-4</v>
      </c>
      <c r="AM47" t="str">
        <f t="shared" si="57"/>
        <v>1-0.0000559189811183177i</v>
      </c>
      <c r="AN47">
        <f t="shared" si="79"/>
        <v>1.0000000015634662</v>
      </c>
      <c r="AO47">
        <f t="shared" si="80"/>
        <v>-5.5918981060032741E-5</v>
      </c>
      <c r="AP47" s="41" t="str">
        <f t="shared" si="81"/>
        <v>69.5192048625967-1.49679199106169i</v>
      </c>
      <c r="AQ47">
        <f t="shared" si="82"/>
        <v>36.844108706181331</v>
      </c>
      <c r="AR47" s="43">
        <f t="shared" si="83"/>
        <v>-1.2334234246832809</v>
      </c>
      <c r="AS47" t="str">
        <f t="shared" si="58"/>
        <v>-0.0000166666666666667</v>
      </c>
      <c r="AT47" t="str">
        <f t="shared" si="59"/>
        <v>4.16541987976429E-07i</v>
      </c>
      <c r="AU47">
        <f t="shared" si="84"/>
        <v>4.1654198797642899E-7</v>
      </c>
      <c r="AV47">
        <f t="shared" si="85"/>
        <v>1.5707963267948966</v>
      </c>
      <c r="AW47" t="str">
        <f t="shared" si="60"/>
        <v>1+0.000423316200237637i</v>
      </c>
      <c r="AX47">
        <f t="shared" si="86"/>
        <v>1.0000000895982986</v>
      </c>
      <c r="AY47">
        <f t="shared" si="87"/>
        <v>4.2331617495203102E-4</v>
      </c>
      <c r="AZ47" t="str">
        <f t="shared" si="61"/>
        <v>1+0.0143927508080797i</v>
      </c>
      <c r="BA47">
        <f t="shared" si="88"/>
        <v>1.0001035702745109</v>
      </c>
      <c r="BB47">
        <f t="shared" si="89"/>
        <v>1.4391757106020598E-2</v>
      </c>
      <c r="BC47" s="41" t="str">
        <f t="shared" si="90"/>
        <v>-0.558944536517239+40.0122093471286i</v>
      </c>
      <c r="BD47">
        <f t="shared" si="91"/>
        <v>32.044698059470342</v>
      </c>
      <c r="BE47" s="43">
        <f t="shared" si="92"/>
        <v>90.800332711728018</v>
      </c>
      <c r="BF47" s="41" t="str">
        <f t="shared" si="93"/>
        <v>10.3205621453582+764.037227393803i</v>
      </c>
      <c r="BG47" s="20">
        <f t="shared" si="94"/>
        <v>57.663082757822828</v>
      </c>
      <c r="BH47" s="43">
        <f t="shared" si="95"/>
        <v>89.226099631437947</v>
      </c>
      <c r="BI47" s="41" t="str">
        <f t="shared" si="96"/>
        <v>21.0325747544947+2782.45360231385i</v>
      </c>
      <c r="BJ47" s="20">
        <f t="shared" si="97"/>
        <v>68.88880676565168</v>
      </c>
      <c r="BK47" s="43">
        <f t="shared" si="98"/>
        <v>89.566909287044751</v>
      </c>
      <c r="BL47">
        <f t="shared" si="99"/>
        <v>57.663082757822828</v>
      </c>
      <c r="BM47" s="43">
        <f t="shared" si="100"/>
        <v>89.226099631437947</v>
      </c>
    </row>
    <row r="48" spans="1:65" x14ac:dyDescent="0.25">
      <c r="A48" t="s">
        <v>212</v>
      </c>
      <c r="B48" s="1">
        <f>(Vsl*Fsw)</f>
        <v>90000</v>
      </c>
      <c r="C48" t="s">
        <v>150</v>
      </c>
      <c r="E48" t="s">
        <v>213</v>
      </c>
      <c r="N48" s="9">
        <v>30</v>
      </c>
      <c r="O48" s="34">
        <f t="shared" si="62"/>
        <v>19.952623149688804</v>
      </c>
      <c r="P48" s="33" t="str">
        <f t="shared" si="50"/>
        <v>19.1021967526266</v>
      </c>
      <c r="Q48" s="4" t="str">
        <f t="shared" si="63"/>
        <v>1+0.0281385068999492i</v>
      </c>
      <c r="R48" s="4">
        <f t="shared" si="64"/>
        <v>1.0003958094527179</v>
      </c>
      <c r="S48" s="4">
        <f t="shared" si="65"/>
        <v>2.8131083965224134E-2</v>
      </c>
      <c r="T48" s="4" t="str">
        <f t="shared" si="51"/>
        <v>1+0.000471376267587948i</v>
      </c>
      <c r="U48" s="4">
        <f t="shared" si="66"/>
        <v>1.0000001110977867</v>
      </c>
      <c r="V48" s="4">
        <f t="shared" si="67"/>
        <v>4.7137623267537741E-4</v>
      </c>
      <c r="W48" t="str">
        <f t="shared" si="52"/>
        <v>1-0.000261179226278783i</v>
      </c>
      <c r="X48" s="4">
        <f t="shared" si="68"/>
        <v>1.0000000341072934</v>
      </c>
      <c r="Y48" s="4">
        <f t="shared" si="69"/>
        <v>-2.6117922034003875E-4</v>
      </c>
      <c r="Z48" t="str">
        <f t="shared" si="53"/>
        <v>0.999999999601893+0.000194317344351415i</v>
      </c>
      <c r="AA48" s="4">
        <f t="shared" si="70"/>
        <v>1.0000000184815079</v>
      </c>
      <c r="AB48" s="4">
        <f t="shared" si="71"/>
        <v>1.9431734198301637E-4</v>
      </c>
      <c r="AC48" s="47" t="str">
        <f t="shared" si="72"/>
        <v>19.087095010814-0.536779018035913i</v>
      </c>
      <c r="AD48" s="20">
        <f t="shared" si="73"/>
        <v>25.618230103394176</v>
      </c>
      <c r="AE48" s="43">
        <f t="shared" si="74"/>
        <v>-1.6108825462442447</v>
      </c>
      <c r="AF48" t="str">
        <f t="shared" si="54"/>
        <v>69.5520360182888</v>
      </c>
      <c r="AG48" t="str">
        <f t="shared" si="55"/>
        <v>1+0.0224464889327595i</v>
      </c>
      <c r="AH48">
        <f t="shared" si="75"/>
        <v>1.0002518907082398</v>
      </c>
      <c r="AI48">
        <f t="shared" si="76"/>
        <v>2.2442720222602661E-2</v>
      </c>
      <c r="AJ48" t="str">
        <f t="shared" si="56"/>
        <v>1+0.000471376267587948i</v>
      </c>
      <c r="AK48">
        <f t="shared" si="77"/>
        <v>1.0000001110977867</v>
      </c>
      <c r="AL48">
        <f t="shared" si="78"/>
        <v>4.7137623267537741E-4</v>
      </c>
      <c r="AM48" t="str">
        <f t="shared" si="57"/>
        <v>1-0.0000572215015138544i</v>
      </c>
      <c r="AN48">
        <f t="shared" si="79"/>
        <v>1.00000000163715</v>
      </c>
      <c r="AO48">
        <f t="shared" si="80"/>
        <v>-5.7221501451400937E-5</v>
      </c>
      <c r="AP48" s="41" t="str">
        <f t="shared" si="81"/>
        <v>69.517658357097-1.5316220417368i</v>
      </c>
      <c r="AQ48">
        <f t="shared" si="82"/>
        <v>36.844010314839608</v>
      </c>
      <c r="AR48" s="43">
        <f t="shared" si="83"/>
        <v>-1.2621438313835251</v>
      </c>
      <c r="AS48" t="str">
        <f t="shared" si="58"/>
        <v>-0.0000166666666666667</v>
      </c>
      <c r="AT48" t="str">
        <f t="shared" si="59"/>
        <v>4.26244497286974E-07i</v>
      </c>
      <c r="AU48">
        <f t="shared" si="84"/>
        <v>4.2624449728697401E-7</v>
      </c>
      <c r="AV48">
        <f t="shared" si="85"/>
        <v>1.5707963267948966</v>
      </c>
      <c r="AW48" t="str">
        <f t="shared" si="60"/>
        <v>1+0.000433176501222091i</v>
      </c>
      <c r="AX48">
        <f t="shared" si="86"/>
        <v>1.0000000938209361</v>
      </c>
      <c r="AY48">
        <f t="shared" si="87"/>
        <v>4.3317647412807617E-4</v>
      </c>
      <c r="AZ48" t="str">
        <f t="shared" si="61"/>
        <v>1+0.0147280010415511i</v>
      </c>
      <c r="BA48">
        <f t="shared" si="88"/>
        <v>1.0001084511265166</v>
      </c>
      <c r="BB48">
        <f t="shared" si="89"/>
        <v>1.4726936276847053E-2</v>
      </c>
      <c r="BC48" s="41" t="str">
        <f t="shared" si="90"/>
        <v>-0.558944531796799+39.1014311639569i</v>
      </c>
      <c r="BD48">
        <f t="shared" si="91"/>
        <v>31.844740412841052</v>
      </c>
      <c r="BE48" s="43">
        <f t="shared" si="92"/>
        <v>90.818972110069538</v>
      </c>
      <c r="BF48" s="41" t="str">
        <f t="shared" si="93"/>
        <v>10.3202004398072+746.632761382163i</v>
      </c>
      <c r="BG48" s="20">
        <f t="shared" si="94"/>
        <v>57.462970516235224</v>
      </c>
      <c r="BH48" s="43">
        <f t="shared" si="95"/>
        <v>89.208089563825297</v>
      </c>
      <c r="BI48" s="41" t="str">
        <f t="shared" si="96"/>
        <v>21.0320988321532+2719.09602469451i</v>
      </c>
      <c r="BJ48" s="20">
        <f t="shared" si="97"/>
        <v>68.688750727680656</v>
      </c>
      <c r="BK48" s="43">
        <f t="shared" si="98"/>
        <v>89.556828278686012</v>
      </c>
      <c r="BL48">
        <f t="shared" si="99"/>
        <v>57.462970516235224</v>
      </c>
      <c r="BM48" s="43">
        <f t="shared" si="100"/>
        <v>89.208089563825297</v>
      </c>
    </row>
    <row r="49" spans="1:65" x14ac:dyDescent="0.25">
      <c r="A49" t="s">
        <v>215</v>
      </c>
      <c r="B49" s="1">
        <f>(R_cs*VIN_var)/Lm</f>
        <v>18000.000000000004</v>
      </c>
      <c r="C49" t="s">
        <v>150</v>
      </c>
      <c r="E49" t="s">
        <v>214</v>
      </c>
      <c r="J49">
        <f>(0.5-(1-(VIN_var/VOUT)))</f>
        <v>9.9999999999999978E-2</v>
      </c>
      <c r="N49" s="9">
        <v>31</v>
      </c>
      <c r="O49" s="34">
        <f t="shared" si="62"/>
        <v>20.4173794466953</v>
      </c>
      <c r="P49" s="33" t="str">
        <f t="shared" si="50"/>
        <v>19.1021967526266</v>
      </c>
      <c r="Q49" s="4" t="str">
        <f t="shared" si="63"/>
        <v>1+0.0287939369239615i</v>
      </c>
      <c r="R49" s="4">
        <f t="shared" si="64"/>
        <v>1.0004144595134463</v>
      </c>
      <c r="S49" s="4">
        <f t="shared" si="65"/>
        <v>2.8785983284059728E-2</v>
      </c>
      <c r="T49" s="4" t="str">
        <f t="shared" si="51"/>
        <v>1+0.000482356031350203i</v>
      </c>
      <c r="U49" s="4">
        <f t="shared" si="66"/>
        <v>1.0000001163336638</v>
      </c>
      <c r="V49" s="4">
        <f t="shared" si="67"/>
        <v>4.8235599394070981E-4</v>
      </c>
      <c r="W49" t="str">
        <f t="shared" si="52"/>
        <v>1-0.000267262871980387i</v>
      </c>
      <c r="X49" s="4">
        <f t="shared" si="68"/>
        <v>1.0000000357147207</v>
      </c>
      <c r="Y49" s="4">
        <f t="shared" si="69"/>
        <v>-2.672628656169079E-4</v>
      </c>
      <c r="Z49" t="str">
        <f t="shared" si="53"/>
        <v>0.999999999583131+0.000198843576753408i</v>
      </c>
      <c r="AA49" s="4">
        <f t="shared" si="70"/>
        <v>1.0000000193525149</v>
      </c>
      <c r="AB49" s="4">
        <f t="shared" si="71"/>
        <v>1.9884357421562311E-4</v>
      </c>
      <c r="AC49" s="47" t="str">
        <f t="shared" si="72"/>
        <v>19.086383877243-0.549261731246959i</v>
      </c>
      <c r="AD49" s="20">
        <f t="shared" si="73"/>
        <v>25.61806822850178</v>
      </c>
      <c r="AE49" s="43">
        <f t="shared" si="74"/>
        <v>-1.6483843204413933</v>
      </c>
      <c r="AF49" t="str">
        <f t="shared" si="54"/>
        <v>69.5520360182888</v>
      </c>
      <c r="AG49" t="str">
        <f t="shared" si="55"/>
        <v>1+0.0229693348262002i</v>
      </c>
      <c r="AH49">
        <f t="shared" si="75"/>
        <v>1.0002637603864084</v>
      </c>
      <c r="AI49">
        <f t="shared" si="76"/>
        <v>2.2965296638020362E-2</v>
      </c>
      <c r="AJ49" t="str">
        <f t="shared" si="56"/>
        <v>1+0.000482356031350203i</v>
      </c>
      <c r="AK49">
        <f t="shared" si="77"/>
        <v>1.0000001163336638</v>
      </c>
      <c r="AL49">
        <f t="shared" si="78"/>
        <v>4.8235599394070981E-4</v>
      </c>
      <c r="AM49" t="str">
        <f t="shared" si="57"/>
        <v>1-0.0000585543615069096i</v>
      </c>
      <c r="AN49">
        <f t="shared" si="79"/>
        <v>1.0000000017143065</v>
      </c>
      <c r="AO49">
        <f t="shared" si="80"/>
        <v>-5.8554361439989512E-5</v>
      </c>
      <c r="AP49" s="41" t="str">
        <f t="shared" si="81"/>
        <v>69.5160390421746-1.56726090754536i</v>
      </c>
      <c r="AQ49">
        <f t="shared" si="82"/>
        <v>36.843907288848044</v>
      </c>
      <c r="AR49" s="43">
        <f t="shared" si="83"/>
        <v>-1.2915325277314982</v>
      </c>
      <c r="AS49" t="str">
        <f t="shared" si="58"/>
        <v>-0.0000166666666666667</v>
      </c>
      <c r="AT49" t="str">
        <f t="shared" si="59"/>
        <v>4.36173007071994E-07i</v>
      </c>
      <c r="AU49">
        <f t="shared" si="84"/>
        <v>4.3617300707199401E-7</v>
      </c>
      <c r="AV49">
        <f t="shared" si="85"/>
        <v>1.5707963267948966</v>
      </c>
      <c r="AW49" t="str">
        <f t="shared" si="60"/>
        <v>1+0.00044326647812126i</v>
      </c>
      <c r="AX49">
        <f t="shared" si="86"/>
        <v>1.0000000982425805</v>
      </c>
      <c r="AY49">
        <f t="shared" si="87"/>
        <v>4.4326644908950023E-4</v>
      </c>
      <c r="AZ49" t="str">
        <f t="shared" si="61"/>
        <v>1+0.0150710602561228i</v>
      </c>
      <c r="BA49">
        <f t="shared" si="88"/>
        <v>1.0001135619804602</v>
      </c>
      <c r="BB49">
        <f t="shared" si="89"/>
        <v>1.5069919347183613E-2</v>
      </c>
      <c r="BC49" s="41" t="str">
        <f t="shared" si="90"/>
        <v>-0.558944526853888+38.2113850771566i</v>
      </c>
      <c r="BD49">
        <f t="shared" si="91"/>
        <v>31.644784761821143</v>
      </c>
      <c r="BE49" s="43">
        <f t="shared" si="92"/>
        <v>90.838045479463588</v>
      </c>
      <c r="BF49" s="41" t="str">
        <f t="shared" si="93"/>
        <v>10.319821715206+729.624170902256i</v>
      </c>
      <c r="BG49" s="20">
        <f t="shared" si="94"/>
        <v>57.262852990322912</v>
      </c>
      <c r="BH49" s="43">
        <f t="shared" si="95"/>
        <v>89.189661159022194</v>
      </c>
      <c r="BI49" s="41" t="str">
        <f t="shared" si="96"/>
        <v>21.031600503405+2657.18014878561i</v>
      </c>
      <c r="BJ49" s="20">
        <f t="shared" si="97"/>
        <v>68.488692050669187</v>
      </c>
      <c r="BK49" s="43">
        <f t="shared" si="98"/>
        <v>89.546512951732097</v>
      </c>
      <c r="BL49">
        <f t="shared" si="99"/>
        <v>57.262852990322912</v>
      </c>
      <c r="BM49" s="43">
        <f t="shared" si="100"/>
        <v>89.189661159022194</v>
      </c>
    </row>
    <row r="50" spans="1:65" x14ac:dyDescent="0.25">
      <c r="B50" s="1"/>
      <c r="J50">
        <f>Lm*Fsw</f>
        <v>2</v>
      </c>
      <c r="N50" s="9">
        <v>32</v>
      </c>
      <c r="O50" s="34">
        <f t="shared" si="62"/>
        <v>20.8929613085404</v>
      </c>
      <c r="P50" s="33" t="str">
        <f t="shared" si="50"/>
        <v>19.1021967526266</v>
      </c>
      <c r="Q50" s="4" t="str">
        <f t="shared" si="63"/>
        <v>1+0.029464633874464i</v>
      </c>
      <c r="R50" s="4">
        <f t="shared" si="64"/>
        <v>1.0004339881518201</v>
      </c>
      <c r="S50" s="4">
        <f t="shared" si="65"/>
        <v>2.9456111595423232E-2</v>
      </c>
      <c r="T50" s="4" t="str">
        <f t="shared" si="51"/>
        <v>1+0.000493591546665021i</v>
      </c>
      <c r="U50" s="4">
        <f t="shared" si="66"/>
        <v>1.0000001218163002</v>
      </c>
      <c r="V50" s="4">
        <f t="shared" si="67"/>
        <v>4.935915065800271E-4</v>
      </c>
      <c r="W50" t="str">
        <f t="shared" si="52"/>
        <v>1-0.00027348822399436i</v>
      </c>
      <c r="X50" s="4">
        <f t="shared" si="68"/>
        <v>1.0000000373979037</v>
      </c>
      <c r="Y50" s="4">
        <f t="shared" si="69"/>
        <v>-2.7348821717576935E-4</v>
      </c>
      <c r="Z50" t="str">
        <f t="shared" si="53"/>
        <v>0.999999999563484+0.000203475238651804i</v>
      </c>
      <c r="AA50" s="4">
        <f t="shared" si="70"/>
        <v>1.00000002026457</v>
      </c>
      <c r="AB50" s="4">
        <f t="shared" si="71"/>
        <v>2.0347523593251861E-4</v>
      </c>
      <c r="AC50" s="47" t="str">
        <f t="shared" si="72"/>
        <v>19.0856392858129-0.562033741423413i</v>
      </c>
      <c r="AD50" s="20">
        <f t="shared" si="73"/>
        <v>25.617898731151428</v>
      </c>
      <c r="AE50" s="43">
        <f t="shared" si="74"/>
        <v>-1.6867581579986684</v>
      </c>
      <c r="AF50" t="str">
        <f t="shared" si="54"/>
        <v>69.5520360182888</v>
      </c>
      <c r="AG50" t="str">
        <f t="shared" si="55"/>
        <v>1+0.023504359365001i</v>
      </c>
      <c r="AH50">
        <f t="shared" si="75"/>
        <v>1.0002761893143108</v>
      </c>
      <c r="AI50">
        <f t="shared" si="76"/>
        <v>2.3500032432932111E-2</v>
      </c>
      <c r="AJ50" t="str">
        <f t="shared" si="56"/>
        <v>1+0.000493591546665021i</v>
      </c>
      <c r="AK50">
        <f t="shared" si="77"/>
        <v>1.0000001218163002</v>
      </c>
      <c r="AL50">
        <f t="shared" si="78"/>
        <v>4.935915065800271E-4</v>
      </c>
      <c r="AM50" t="str">
        <f t="shared" si="57"/>
        <v>1-0.0000599182677974949i</v>
      </c>
      <c r="AN50">
        <f t="shared" si="79"/>
        <v>1.0000000017950994</v>
      </c>
      <c r="AO50">
        <f t="shared" si="80"/>
        <v>-5.9918267725788734E-5</v>
      </c>
      <c r="AP50" s="41" t="str">
        <f t="shared" si="81"/>
        <v>69.5143434936701-1.60372725098538i</v>
      </c>
      <c r="AQ50">
        <f t="shared" si="82"/>
        <v>36.843799410012899</v>
      </c>
      <c r="AR50" s="43">
        <f t="shared" si="83"/>
        <v>-1.3216050305534468</v>
      </c>
      <c r="AS50" t="str">
        <f t="shared" si="58"/>
        <v>-0.0000166666666666667</v>
      </c>
      <c r="AT50" t="str">
        <f t="shared" si="59"/>
        <v>4.46332781558795E-07i</v>
      </c>
      <c r="AU50">
        <f t="shared" si="84"/>
        <v>4.4633278155879502E-7</v>
      </c>
      <c r="AV50">
        <f t="shared" si="85"/>
        <v>1.5707963267948966</v>
      </c>
      <c r="AW50" t="str">
        <f t="shared" si="60"/>
        <v>1+0.000453591480774458i</v>
      </c>
      <c r="AX50">
        <f t="shared" si="86"/>
        <v>1.0000001028726104</v>
      </c>
      <c r="AY50">
        <f t="shared" si="87"/>
        <v>4.5359144966636712E-4</v>
      </c>
      <c r="AZ50" t="str">
        <f t="shared" si="61"/>
        <v>1+0.0154221103463316i</v>
      </c>
      <c r="BA50">
        <f t="shared" si="88"/>
        <v>1.0001189136735362</v>
      </c>
      <c r="BB50">
        <f t="shared" si="89"/>
        <v>1.5420887848228088E-2</v>
      </c>
      <c r="BC50" s="41" t="str">
        <f t="shared" si="90"/>
        <v>-0.558944521678034+37.3415991725116i</v>
      </c>
      <c r="BD50">
        <f t="shared" si="91"/>
        <v>31.444831200418054</v>
      </c>
      <c r="BE50" s="43">
        <f t="shared" si="92"/>
        <v>90.857562914358937</v>
      </c>
      <c r="BF50" s="41" t="str">
        <f t="shared" si="93"/>
        <v>10.3194251721319+713.002437842733i</v>
      </c>
      <c r="BG50" s="20">
        <f t="shared" si="94"/>
        <v>57.062729931569493</v>
      </c>
      <c r="BH50" s="43">
        <f t="shared" si="95"/>
        <v>89.170804756360283</v>
      </c>
      <c r="BI50" s="41" t="str">
        <f t="shared" ref="BI50:BI113" si="101">IMPRODUCT(AP50,BC50)</f>
        <v>21.031078714498+2596.67314604212i</v>
      </c>
      <c r="BJ50" s="20">
        <f t="shared" si="97"/>
        <v>68.288630610430943</v>
      </c>
      <c r="BK50" s="43">
        <f t="shared" ref="BK50:BK113" si="102">(180/PI())*IMARGUMENT(BI50)</f>
        <v>89.535957883805494</v>
      </c>
      <c r="BL50">
        <f t="shared" si="99"/>
        <v>57.062729931569493</v>
      </c>
      <c r="BM50" s="43">
        <f t="shared" si="100"/>
        <v>89.170804756360283</v>
      </c>
    </row>
    <row r="51" spans="1:65" x14ac:dyDescent="0.25">
      <c r="A51" t="s">
        <v>210</v>
      </c>
      <c r="B51" s="1">
        <f>2*PI()*Fsw</f>
        <v>12566370.614359172</v>
      </c>
      <c r="C51" t="s">
        <v>216</v>
      </c>
      <c r="N51" s="9">
        <v>33</v>
      </c>
      <c r="O51" s="34">
        <f t="shared" si="62"/>
        <v>21.379620895022335</v>
      </c>
      <c r="P51" s="33" t="str">
        <f t="shared" si="50"/>
        <v>19.1021967526266</v>
      </c>
      <c r="Q51" s="4" t="str">
        <f t="shared" si="63"/>
        <v>1+0.0301509533638571i</v>
      </c>
      <c r="R51" s="4">
        <f t="shared" si="64"/>
        <v>1.0004544367380004</v>
      </c>
      <c r="S51" s="4">
        <f t="shared" si="65"/>
        <v>3.0141821801350704E-2</v>
      </c>
      <c r="T51" s="4" t="str">
        <f t="shared" si="51"/>
        <v>1+0.000505088770751334i</v>
      </c>
      <c r="U51" s="4">
        <f t="shared" si="66"/>
        <v>1.0000001275573249</v>
      </c>
      <c r="V51" s="4">
        <f t="shared" si="67"/>
        <v>5.0508872779948951E-4</v>
      </c>
      <c r="W51" t="str">
        <f t="shared" si="52"/>
        <v>1-0.000279858583084737i</v>
      </c>
      <c r="X51" s="4">
        <f t="shared" si="68"/>
        <v>1.0000000391604125</v>
      </c>
      <c r="Y51" s="4">
        <f t="shared" si="69"/>
        <v>-2.7985857577848545E-4</v>
      </c>
      <c r="Z51" t="str">
        <f t="shared" si="53"/>
        <v>0.999999999542912+0.000208214785815045i</v>
      </c>
      <c r="AA51" s="4">
        <f t="shared" si="70"/>
        <v>1.0000000212196101</v>
      </c>
      <c r="AB51" s="4">
        <f t="shared" si="71"/>
        <v>2.0821478290127814E-4</v>
      </c>
      <c r="AC51" s="47" t="str">
        <f t="shared" si="72"/>
        <v>19.0848596651793-0.57510168274456i</v>
      </c>
      <c r="AD51" s="20">
        <f t="shared" si="73"/>
        <v>25.617721252731485</v>
      </c>
      <c r="AE51" s="43">
        <f t="shared" si="74"/>
        <v>-1.7260242672153925</v>
      </c>
      <c r="AF51" t="str">
        <f t="shared" si="54"/>
        <v>69.5520360182888</v>
      </c>
      <c r="AG51" t="str">
        <f t="shared" si="55"/>
        <v>1+0.024051846226254i</v>
      </c>
      <c r="AH51">
        <f t="shared" si="75"/>
        <v>1.000289203834017</v>
      </c>
      <c r="AI51">
        <f t="shared" si="76"/>
        <v>2.4047209907404204E-2</v>
      </c>
      <c r="AJ51" t="str">
        <f t="shared" si="56"/>
        <v>1+0.000505088770751334i</v>
      </c>
      <c r="AK51">
        <f t="shared" si="77"/>
        <v>1.0000001275573249</v>
      </c>
      <c r="AL51">
        <f t="shared" si="78"/>
        <v>5.0508872779948951E-4</v>
      </c>
      <c r="AM51" t="str">
        <f t="shared" si="57"/>
        <v>1-0.0000613139435467779i</v>
      </c>
      <c r="AN51">
        <f t="shared" si="79"/>
        <v>1.0000000018796997</v>
      </c>
      <c r="AO51">
        <f t="shared" si="80"/>
        <v>-6.1313943469943366E-5</v>
      </c>
      <c r="AP51" s="41" t="str">
        <f t="shared" si="81"/>
        <v>69.5125681267468-1.64104015661078i</v>
      </c>
      <c r="AQ51">
        <f t="shared" si="82"/>
        <v>36.84368644987952</v>
      </c>
      <c r="AR51" s="43">
        <f t="shared" si="83"/>
        <v>-1.3523772145630304</v>
      </c>
      <c r="AS51" t="str">
        <f t="shared" si="58"/>
        <v>-0.0000166666666666667</v>
      </c>
      <c r="AT51" t="str">
        <f t="shared" si="59"/>
        <v>4.56729207594292E-07i</v>
      </c>
      <c r="AU51">
        <f t="shared" si="84"/>
        <v>4.56729207594292E-7</v>
      </c>
      <c r="AV51">
        <f t="shared" si="85"/>
        <v>1.5707963267948966</v>
      </c>
      <c r="AW51" t="str">
        <f t="shared" si="60"/>
        <v>1+0.000464156983634752i</v>
      </c>
      <c r="AX51">
        <f t="shared" si="86"/>
        <v>1.0000001077208469</v>
      </c>
      <c r="AY51">
        <f t="shared" si="87"/>
        <v>4.6415695030183225E-4</v>
      </c>
      <c r="AZ51" t="str">
        <f t="shared" si="61"/>
        <v>1+0.0157813374435816i</v>
      </c>
      <c r="BA51">
        <f t="shared" si="88"/>
        <v>1.0001245175534437</v>
      </c>
      <c r="BB51">
        <f t="shared" si="89"/>
        <v>1.578002752207117E-2</v>
      </c>
      <c r="BC51" s="41" t="str">
        <f t="shared" si="90"/>
        <v>-0.558944516258243+36.4916122780221i</v>
      </c>
      <c r="BD51">
        <f t="shared" si="91"/>
        <v>31.244879827065478</v>
      </c>
      <c r="BE51" s="43">
        <f t="shared" si="92"/>
        <v>90.877534743330997</v>
      </c>
      <c r="BF51" s="41" t="str">
        <f t="shared" si="93"/>
        <v>10.3190099737425+696.758749214047i</v>
      </c>
      <c r="BG51" s="20">
        <f t="shared" si="94"/>
        <v>56.862601079796974</v>
      </c>
      <c r="BH51" s="43">
        <f t="shared" si="95"/>
        <v>89.151510476115604</v>
      </c>
      <c r="BI51" s="41" t="str">
        <f t="shared" si="101"/>
        <v>21.0305323622326+2537.54293492734i</v>
      </c>
      <c r="BJ51" s="20">
        <f t="shared" si="97"/>
        <v>68.088566276945002</v>
      </c>
      <c r="BK51" s="43">
        <f t="shared" si="102"/>
        <v>89.525157528767977</v>
      </c>
      <c r="BL51">
        <f t="shared" si="99"/>
        <v>56.862601079796974</v>
      </c>
      <c r="BM51" s="43">
        <f t="shared" si="100"/>
        <v>89.151510476115604</v>
      </c>
    </row>
    <row r="52" spans="1:65" x14ac:dyDescent="0.25">
      <c r="A52" t="s">
        <v>211</v>
      </c>
      <c r="B52" s="1">
        <f>1/(PI()*(((VIN_var/VOUT)*(1+(B48/B49)))-0.5))</f>
        <v>0.10268060844638412</v>
      </c>
      <c r="N52" s="9">
        <v>34</v>
      </c>
      <c r="O52" s="34">
        <f t="shared" si="62"/>
        <v>21.877616239495538</v>
      </c>
      <c r="P52" s="33" t="str">
        <f t="shared" si="50"/>
        <v>19.1021967526266</v>
      </c>
      <c r="Q52" s="4" t="str">
        <f t="shared" si="63"/>
        <v>1+0.0308532592878188i</v>
      </c>
      <c r="R52" s="4">
        <f t="shared" si="64"/>
        <v>1.0004758485884011</v>
      </c>
      <c r="S52" s="4">
        <f t="shared" si="65"/>
        <v>3.0843474893635005E-2</v>
      </c>
      <c r="T52" s="4" t="str">
        <f t="shared" si="51"/>
        <v>1+0.00051685379958954i</v>
      </c>
      <c r="U52" s="4">
        <f t="shared" si="66"/>
        <v>1.0000001335689161</v>
      </c>
      <c r="V52" s="4">
        <f t="shared" si="67"/>
        <v>5.1685375356580975E-4</v>
      </c>
      <c r="W52" t="str">
        <f t="shared" si="52"/>
        <v>1-0.000286377326900233i</v>
      </c>
      <c r="X52" s="4">
        <f t="shared" si="68"/>
        <v>1.0000000410059859</v>
      </c>
      <c r="Y52" s="4">
        <f t="shared" si="69"/>
        <v>-2.8637731907144346E-4</v>
      </c>
      <c r="Z52" t="str">
        <f t="shared" si="53"/>
        <v>0.99999999952137+0.000213064731213774i</v>
      </c>
      <c r="AA52" s="4">
        <f t="shared" si="70"/>
        <v>1.0000000222196597</v>
      </c>
      <c r="AB52" s="4">
        <f t="shared" si="71"/>
        <v>2.130647280916166E-4</v>
      </c>
      <c r="AC52" s="47" t="str">
        <f t="shared" si="72"/>
        <v>19.0840433704699-0.588472336476926i</v>
      </c>
      <c r="AD52" s="20">
        <f t="shared" si="73"/>
        <v>25.61753541778959</v>
      </c>
      <c r="AE52" s="43">
        <f t="shared" si="74"/>
        <v>-1.7662033196320026</v>
      </c>
      <c r="AF52" t="str">
        <f t="shared" si="54"/>
        <v>69.5520360182888</v>
      </c>
      <c r="AG52" t="str">
        <f t="shared" si="55"/>
        <v>1+0.0246120856947401i</v>
      </c>
      <c r="AH52">
        <f t="shared" si="75"/>
        <v>1.0003028315276556</v>
      </c>
      <c r="AI52">
        <f t="shared" si="76"/>
        <v>2.4607117870812149E-2</v>
      </c>
      <c r="AJ52" t="str">
        <f t="shared" si="56"/>
        <v>1+0.00051685379958954i</v>
      </c>
      <c r="AK52">
        <f t="shared" si="77"/>
        <v>1.0000001335689161</v>
      </c>
      <c r="AL52">
        <f t="shared" si="78"/>
        <v>5.1685375356580975E-4</v>
      </c>
      <c r="AM52" t="str">
        <f t="shared" si="57"/>
        <v>1-0.0000627421287605157i</v>
      </c>
      <c r="AN52">
        <f t="shared" si="79"/>
        <v>1.0000000019682873</v>
      </c>
      <c r="AO52">
        <f t="shared" si="80"/>
        <v>-6.2742128678186003E-5</v>
      </c>
      <c r="AP52" s="41" t="str">
        <f t="shared" si="81"/>
        <v>69.5107091883845-1.67921913996085i</v>
      </c>
      <c r="AQ52">
        <f t="shared" si="82"/>
        <v>36.843568169250858</v>
      </c>
      <c r="AR52" s="43">
        <f t="shared" si="83"/>
        <v>-1.3838653204445905</v>
      </c>
      <c r="AS52" t="str">
        <f t="shared" si="58"/>
        <v>-0.0000166666666666667</v>
      </c>
      <c r="AT52" t="str">
        <f t="shared" si="59"/>
        <v>4.6736779750118E-07i</v>
      </c>
      <c r="AU52">
        <f t="shared" si="84"/>
        <v>4.6736779750118001E-7</v>
      </c>
      <c r="AV52">
        <f t="shared" si="85"/>
        <v>1.5707963267948966</v>
      </c>
      <c r="AW52" t="str">
        <f t="shared" si="60"/>
        <v>1+0.000474968588671615i</v>
      </c>
      <c r="AX52">
        <f t="shared" si="86"/>
        <v>1.0000001127975737</v>
      </c>
      <c r="AY52">
        <f t="shared" si="87"/>
        <v>4.7496855295474822E-4</v>
      </c>
      <c r="AZ52" t="str">
        <f t="shared" si="61"/>
        <v>1+0.0161489320148349i</v>
      </c>
      <c r="BA52">
        <f t="shared" si="88"/>
        <v>1.0001303855024202</v>
      </c>
      <c r="BB52">
        <f t="shared" si="89"/>
        <v>1.6147528418530809E-2</v>
      </c>
      <c r="BC52" s="41" t="str">
        <f t="shared" si="90"/>
        <v>-0.558944510583026+35.6609737193859i</v>
      </c>
      <c r="BD52">
        <f t="shared" si="91"/>
        <v>31.044930744831664</v>
      </c>
      <c r="BE52" s="43">
        <f t="shared" si="92"/>
        <v>90.897971534463622</v>
      </c>
      <c r="BF52" s="41" t="str">
        <f t="shared" si="93"/>
        <v>10.3185752440367+680.884492476052i</v>
      </c>
      <c r="BG52" s="20">
        <f t="shared" si="94"/>
        <v>56.662466162621257</v>
      </c>
      <c r="BH52" s="43">
        <f t="shared" si="95"/>
        <v>89.131768214831638</v>
      </c>
      <c r="BI52" s="41" t="str">
        <f t="shared" si="101"/>
        <v>21.0299602916531+2479.7581639032i</v>
      </c>
      <c r="BJ52" s="20">
        <f t="shared" si="97"/>
        <v>67.888498914082504</v>
      </c>
      <c r="BK52" s="43">
        <f t="shared" si="102"/>
        <v>89.514106214019037</v>
      </c>
      <c r="BL52">
        <f t="shared" si="99"/>
        <v>56.662466162621257</v>
      </c>
      <c r="BM52" s="43">
        <f t="shared" si="100"/>
        <v>89.131768214831638</v>
      </c>
    </row>
    <row r="53" spans="1:65" x14ac:dyDescent="0.25">
      <c r="N53" s="9">
        <v>35</v>
      </c>
      <c r="O53" s="34">
        <f t="shared" si="62"/>
        <v>22.387211385683404</v>
      </c>
      <c r="P53" s="33" t="str">
        <f t="shared" si="50"/>
        <v>19.1021967526266</v>
      </c>
      <c r="Q53" s="4" t="str">
        <f t="shared" si="63"/>
        <v>1+0.0315719240182462i</v>
      </c>
      <c r="R53" s="4">
        <f t="shared" si="64"/>
        <v>1.0004982690570803</v>
      </c>
      <c r="S53" s="4">
        <f t="shared" si="65"/>
        <v>3.15614401329661E-2</v>
      </c>
      <c r="T53" s="4" t="str">
        <f t="shared" si="51"/>
        <v>1+0.000528892871153659i</v>
      </c>
      <c r="U53" s="4">
        <f t="shared" si="66"/>
        <v>1.0000001398638247</v>
      </c>
      <c r="V53" s="4">
        <f t="shared" si="67"/>
        <v>5.288928218383439E-4</v>
      </c>
      <c r="W53" t="str">
        <f t="shared" si="52"/>
        <v>1-0.000293047911765104i</v>
      </c>
      <c r="X53" s="4">
        <f t="shared" si="68"/>
        <v>1.0000000429385383</v>
      </c>
      <c r="Y53" s="4">
        <f t="shared" si="69"/>
        <v>-2.9304790337640493E-4</v>
      </c>
      <c r="Z53" t="str">
        <f t="shared" si="53"/>
        <v>0.999999999498813+0.000218027646353237i</v>
      </c>
      <c r="AA53" s="4">
        <f t="shared" si="70"/>
        <v>1.00000002326684</v>
      </c>
      <c r="AB53" s="4">
        <f t="shared" si="71"/>
        <v>2.1802764300778502E-4</v>
      </c>
      <c r="AC53" s="47" t="str">
        <f t="shared" si="72"/>
        <v>19.0831886798696-0.602152633871099i</v>
      </c>
      <c r="AD53" s="20">
        <f t="shared" si="73"/>
        <v>25.617340833244597</v>
      </c>
      <c r="AE53" s="43">
        <f t="shared" si="74"/>
        <v>-1.80731646028783</v>
      </c>
      <c r="AF53" t="str">
        <f t="shared" si="54"/>
        <v>69.5520360182888</v>
      </c>
      <c r="AG53" t="str">
        <f t="shared" si="55"/>
        <v>1+0.025185374816841i</v>
      </c>
      <c r="AH53">
        <f t="shared" si="75"/>
        <v>1.0003171012757228</v>
      </c>
      <c r="AI53">
        <f t="shared" si="76"/>
        <v>2.5180051788729323E-2</v>
      </c>
      <c r="AJ53" t="str">
        <f t="shared" si="56"/>
        <v>1+0.000528892871153659i</v>
      </c>
      <c r="AK53">
        <f t="shared" si="77"/>
        <v>1.0000001398638247</v>
      </c>
      <c r="AL53">
        <f t="shared" si="78"/>
        <v>5.288928218383439E-4</v>
      </c>
      <c r="AM53" t="str">
        <f t="shared" si="57"/>
        <v>1-0.0000642035806814126i</v>
      </c>
      <c r="AN53">
        <f t="shared" si="79"/>
        <v>1.0000000020610498</v>
      </c>
      <c r="AO53">
        <f t="shared" si="80"/>
        <v>-6.4203580593194745E-5</v>
      </c>
      <c r="AP53" s="41" t="str">
        <f t="shared" si="81"/>
        <v>69.5087627495278-1.7182841566335i</v>
      </c>
      <c r="AQ53">
        <f t="shared" si="82"/>
        <v>36.843444317683606</v>
      </c>
      <c r="AR53" s="43">
        <f t="shared" si="83"/>
        <v>-1.4160859631065503</v>
      </c>
      <c r="AS53" t="str">
        <f t="shared" si="58"/>
        <v>-0.0000166666666666667</v>
      </c>
      <c r="AT53" t="str">
        <f t="shared" si="59"/>
        <v>4.78254192000648E-07i</v>
      </c>
      <c r="AU53">
        <f t="shared" si="84"/>
        <v>4.7825419200064798E-7</v>
      </c>
      <c r="AV53">
        <f t="shared" si="85"/>
        <v>1.5707963267948966</v>
      </c>
      <c r="AW53" t="str">
        <f t="shared" si="60"/>
        <v>1+0.000486032028341145i</v>
      </c>
      <c r="AX53">
        <f t="shared" si="86"/>
        <v>1.0000001181135594</v>
      </c>
      <c r="AY53">
        <f t="shared" si="87"/>
        <v>4.8603199006983292E-4</v>
      </c>
      <c r="AZ53" t="str">
        <f t="shared" si="61"/>
        <v>1+0.0165250889635989i</v>
      </c>
      <c r="BA53">
        <f t="shared" si="88"/>
        <v>1.0001365299624121</v>
      </c>
      <c r="BB53">
        <f t="shared" si="89"/>
        <v>1.6523584994150672E-2</v>
      </c>
      <c r="BC53" s="41" t="str">
        <f t="shared" si="90"/>
        <v>-0.558944504640346+34.8492430810441i</v>
      </c>
      <c r="BD53">
        <f t="shared" si="91"/>
        <v>30.844984061637266</v>
      </c>
      <c r="BE53" s="43">
        <f t="shared" si="92"/>
        <v>90.918884100851187</v>
      </c>
      <c r="BF53" s="41" t="str">
        <f t="shared" si="93"/>
        <v>10.3181200660369+665.371250971862i</v>
      </c>
      <c r="BG53" s="20">
        <f t="shared" si="94"/>
        <v>56.462324894881874</v>
      </c>
      <c r="BH53" s="43">
        <f t="shared" si="95"/>
        <v>89.111567640563365</v>
      </c>
      <c r="BI53" s="41" t="str">
        <f t="shared" si="101"/>
        <v>21.0293612936296+2423.28819480768i</v>
      </c>
      <c r="BJ53" s="20">
        <f t="shared" si="97"/>
        <v>67.688428379320868</v>
      </c>
      <c r="BK53" s="43">
        <f t="shared" si="102"/>
        <v>89.502798137744648</v>
      </c>
      <c r="BL53">
        <f t="shared" si="99"/>
        <v>56.462324894881874</v>
      </c>
      <c r="BM53" s="43">
        <f t="shared" si="100"/>
        <v>89.111567640563365</v>
      </c>
    </row>
    <row r="54" spans="1:65" ht="15.75" x14ac:dyDescent="0.25">
      <c r="A54" s="35" t="s">
        <v>225</v>
      </c>
      <c r="N54" s="9">
        <v>36</v>
      </c>
      <c r="O54" s="34">
        <f t="shared" si="62"/>
        <v>22.908676527677727</v>
      </c>
      <c r="P54" s="33" t="str">
        <f t="shared" si="50"/>
        <v>19.1021967526266</v>
      </c>
      <c r="Q54" s="4" t="str">
        <f t="shared" si="63"/>
        <v>1+0.0323073286006917i</v>
      </c>
      <c r="R54" s="4">
        <f t="shared" si="64"/>
        <v>1.0005217456314046</v>
      </c>
      <c r="S54" s="4">
        <f t="shared" si="65"/>
        <v>3.2296095231583839E-2</v>
      </c>
      <c r="T54" s="4" t="str">
        <f t="shared" si="51"/>
        <v>1+0.000541212368718787i</v>
      </c>
      <c r="U54" s="4">
        <f t="shared" si="66"/>
        <v>1.0000001464554034</v>
      </c>
      <c r="V54" s="4">
        <f t="shared" si="67"/>
        <v>5.4121231587647527E-4</v>
      </c>
      <c r="W54" t="str">
        <f t="shared" si="52"/>
        <v>1-0.00029987387451174i</v>
      </c>
      <c r="X54" s="4">
        <f t="shared" si="68"/>
        <v>1.0000000449621693</v>
      </c>
      <c r="Y54" s="4">
        <f t="shared" si="69"/>
        <v>-2.9987386552308705E-4</v>
      </c>
      <c r="Z54" t="str">
        <f t="shared" si="53"/>
        <v>0.999999999475193+0.000223106162636734i</v>
      </c>
      <c r="AA54" s="4">
        <f t="shared" si="70"/>
        <v>1.0000000243633727</v>
      </c>
      <c r="AB54" s="4">
        <f t="shared" si="71"/>
        <v>2.2310615905201758E-4</v>
      </c>
      <c r="AC54" s="47" t="str">
        <f t="shared" si="72"/>
        <v>19.0822937910505-0.616149659088555i</v>
      </c>
      <c r="AD54" s="20">
        <f t="shared" si="73"/>
        <v>25.617137087562398</v>
      </c>
      <c r="AE54" s="43">
        <f t="shared" si="74"/>
        <v>-1.8493853181799134</v>
      </c>
      <c r="AF54" t="str">
        <f t="shared" si="54"/>
        <v>69.5520360182888</v>
      </c>
      <c r="AG54" t="str">
        <f t="shared" si="55"/>
        <v>1+0.0257720175580375i</v>
      </c>
      <c r="AH54">
        <f t="shared" si="75"/>
        <v>1.0003320433181233</v>
      </c>
      <c r="AI54">
        <f t="shared" si="76"/>
        <v>2.5766313932901193E-2</v>
      </c>
      <c r="AJ54" t="str">
        <f t="shared" si="56"/>
        <v>1+0.000541212368718787i</v>
      </c>
      <c r="AK54">
        <f t="shared" si="77"/>
        <v>1.0000001464554034</v>
      </c>
      <c r="AL54">
        <f t="shared" si="78"/>
        <v>5.4121231587647527E-4</v>
      </c>
      <c r="AM54" t="str">
        <f t="shared" si="57"/>
        <v>1-0.0000656990741906214i</v>
      </c>
      <c r="AN54">
        <f t="shared" si="79"/>
        <v>1.0000000021581841</v>
      </c>
      <c r="AO54">
        <f t="shared" si="80"/>
        <v>-6.5699074096094273E-5</v>
      </c>
      <c r="AP54" s="41" t="str">
        <f t="shared" si="81"/>
        <v>69.50672469687-1.75825561150121i</v>
      </c>
      <c r="AQ54">
        <f t="shared" si="82"/>
        <v>36.843314632960691</v>
      </c>
      <c r="AR54" s="43">
        <f t="shared" si="83"/>
        <v>-1.4490561401077648</v>
      </c>
      <c r="AS54" t="str">
        <f t="shared" si="58"/>
        <v>-0.0000166666666666667</v>
      </c>
      <c r="AT54" t="str">
        <f t="shared" si="59"/>
        <v>4.89394163203157E-07i</v>
      </c>
      <c r="AU54">
        <f t="shared" si="84"/>
        <v>4.8939416320315697E-7</v>
      </c>
      <c r="AV54">
        <f t="shared" si="85"/>
        <v>1.5707963267948966</v>
      </c>
      <c r="AW54" t="str">
        <f t="shared" si="60"/>
        <v>1+0.000497353168625494i</v>
      </c>
      <c r="AX54">
        <f t="shared" si="86"/>
        <v>1.0000001236800795</v>
      </c>
      <c r="AY54">
        <f t="shared" si="87"/>
        <v>4.973531276170445E-4</v>
      </c>
      <c r="AZ54" t="str">
        <f t="shared" si="61"/>
        <v>1+0.0169100077332668i</v>
      </c>
      <c r="BA54">
        <f t="shared" si="88"/>
        <v>1.0001429639614225</v>
      </c>
      <c r="BB54">
        <f t="shared" si="89"/>
        <v>1.6908396213409661E-2</v>
      </c>
      <c r="BC54" s="41" t="str">
        <f t="shared" si="90"/>
        <v>-0.558944498417596+34.0559899726679i</v>
      </c>
      <c r="BD54">
        <f t="shared" si="91"/>
        <v>30.645039890483758</v>
      </c>
      <c r="BE54" s="43">
        <f t="shared" si="92"/>
        <v>90.940283506223267</v>
      </c>
      <c r="BF54" s="41" t="str">
        <f t="shared" si="93"/>
        <v>10.3176434798866+650.210799465668i</v>
      </c>
      <c r="BG54" s="20">
        <f t="shared" si="94"/>
        <v>56.262176978046156</v>
      </c>
      <c r="BH54" s="43">
        <f t="shared" si="95"/>
        <v>89.090898188043369</v>
      </c>
      <c r="BI54" s="41" t="str">
        <f t="shared" si="101"/>
        <v>21.0287341023304+2368.10308661045i</v>
      </c>
      <c r="BJ54" s="20">
        <f t="shared" si="97"/>
        <v>67.488354523444443</v>
      </c>
      <c r="BK54" s="43">
        <f t="shared" si="102"/>
        <v>89.49122736611551</v>
      </c>
      <c r="BL54">
        <f t="shared" si="99"/>
        <v>56.262176978046156</v>
      </c>
      <c r="BM54" s="43">
        <f t="shared" si="100"/>
        <v>89.090898188043369</v>
      </c>
    </row>
    <row r="55" spans="1:65" x14ac:dyDescent="0.25">
      <c r="A55" t="s">
        <v>191</v>
      </c>
      <c r="N55" s="9">
        <v>37</v>
      </c>
      <c r="O55" s="34">
        <f t="shared" si="62"/>
        <v>23.442288153199236</v>
      </c>
      <c r="P55" s="33" t="str">
        <f t="shared" si="50"/>
        <v>19.1021967526266</v>
      </c>
      <c r="Q55" s="4" t="str">
        <f t="shared" si="63"/>
        <v>1+0.0330598629563994i</v>
      </c>
      <c r="R55" s="4">
        <f t="shared" si="64"/>
        <v>1.0005463280321887</v>
      </c>
      <c r="S55" s="4">
        <f t="shared" si="65"/>
        <v>3.3047826539478971E-2</v>
      </c>
      <c r="T55" s="4" t="str">
        <f t="shared" si="51"/>
        <v>1+0.000553818824245603i</v>
      </c>
      <c r="U55" s="4">
        <f t="shared" si="66"/>
        <v>1.0000001533576333</v>
      </c>
      <c r="V55" s="4">
        <f t="shared" si="67"/>
        <v>5.5381876762404623E-4</v>
      </c>
      <c r="W55" t="str">
        <f t="shared" si="52"/>
        <v>1-0.000306858834355942i</v>
      </c>
      <c r="X55" s="4">
        <f t="shared" si="68"/>
        <v>1.000000047081171</v>
      </c>
      <c r="Y55" s="4">
        <f t="shared" si="69"/>
        <v>-3.0685882472442679E-4</v>
      </c>
      <c r="Z55" t="str">
        <f t="shared" si="53"/>
        <v>0.999999999450459+0.000228302972760821i</v>
      </c>
      <c r="AA55" s="4">
        <f t="shared" si="70"/>
        <v>1.0000000255115822</v>
      </c>
      <c r="AB55" s="4">
        <f t="shared" si="71"/>
        <v>2.2830296891972827E-4</v>
      </c>
      <c r="AC55" s="47" t="str">
        <f t="shared" si="72"/>
        <v>19.0813568174379-0.630470652156562i</v>
      </c>
      <c r="AD55" s="20">
        <f t="shared" si="73"/>
        <v>25.616923749893004</v>
      </c>
      <c r="AE55" s="43">
        <f t="shared" si="74"/>
        <v>-1.8924320169250493</v>
      </c>
      <c r="AF55" t="str">
        <f t="shared" si="54"/>
        <v>69.5520360182888</v>
      </c>
      <c r="AG55" t="str">
        <f t="shared" si="55"/>
        <v>1+0.0263723249640764i</v>
      </c>
      <c r="AH55">
        <f t="shared" si="75"/>
        <v>1.0003476893180745</v>
      </c>
      <c r="AI55">
        <f t="shared" si="76"/>
        <v>2.6366213534351781E-2</v>
      </c>
      <c r="AJ55" t="str">
        <f t="shared" si="56"/>
        <v>1+0.000553818824245603i</v>
      </c>
      <c r="AK55">
        <f t="shared" si="77"/>
        <v>1.0000001533576333</v>
      </c>
      <c r="AL55">
        <f t="shared" si="78"/>
        <v>5.5381876762404623E-4</v>
      </c>
      <c r="AM55" t="str">
        <f t="shared" si="57"/>
        <v>1-0.0000672294022185963i</v>
      </c>
      <c r="AN55">
        <f t="shared" si="79"/>
        <v>1.0000000022598963</v>
      </c>
      <c r="AO55">
        <f t="shared" si="80"/>
        <v>-6.7229402117308652E-5</v>
      </c>
      <c r="AP55" s="41" t="str">
        <f t="shared" si="81"/>
        <v>69.5045907242582-1.79915436806833i</v>
      </c>
      <c r="AQ55">
        <f t="shared" si="82"/>
        <v>36.843178840539245</v>
      </c>
      <c r="AR55" s="43">
        <f t="shared" si="83"/>
        <v>-1.4827932402595847</v>
      </c>
      <c r="AS55" t="str">
        <f t="shared" si="58"/>
        <v>-0.0000166666666666667</v>
      </c>
      <c r="AT55" t="str">
        <f t="shared" si="59"/>
        <v>5.00793617668895E-07i</v>
      </c>
      <c r="AU55">
        <f t="shared" si="84"/>
        <v>5.00793617668895E-7</v>
      </c>
      <c r="AV55">
        <f t="shared" si="85"/>
        <v>1.5707963267948966</v>
      </c>
      <c r="AW55" t="str">
        <f t="shared" si="60"/>
        <v>1+0.000508938012143097i</v>
      </c>
      <c r="AX55">
        <f t="shared" si="86"/>
        <v>1.0000001295089418</v>
      </c>
      <c r="AY55">
        <f t="shared" si="87"/>
        <v>5.0893796820175206E-4</v>
      </c>
      <c r="AZ55" t="str">
        <f t="shared" si="61"/>
        <v>1+0.0173038924128653i</v>
      </c>
      <c r="BA55">
        <f t="shared" si="88"/>
        <v>1.0001497011411022</v>
      </c>
      <c r="BB55">
        <f t="shared" si="89"/>
        <v>1.7302165652186514E-2</v>
      </c>
      <c r="BC55" s="41" t="str">
        <f t="shared" si="90"/>
        <v>-0.558944491901576+33.2807938009592i</v>
      </c>
      <c r="BD55">
        <f t="shared" si="91"/>
        <v>30.445098349692181</v>
      </c>
      <c r="BE55" s="43">
        <f t="shared" si="92"/>
        <v>90.962181070694584</v>
      </c>
      <c r="BF55" s="41" t="str">
        <f t="shared" si="93"/>
        <v>10.3171444808633+635.395099782006i</v>
      </c>
      <c r="BG55" s="20">
        <f t="shared" si="94"/>
        <v>56.062022099585171</v>
      </c>
      <c r="BH55" s="43">
        <f t="shared" si="95"/>
        <v>89.069749053769542</v>
      </c>
      <c r="BI55" s="41" t="str">
        <f t="shared" si="101"/>
        <v>21.0280773925797+2314.17357953821i</v>
      </c>
      <c r="BJ55" s="20">
        <f t="shared" si="97"/>
        <v>67.288277190231412</v>
      </c>
      <c r="BK55" s="43">
        <f t="shared" si="102"/>
        <v>89.479387830435002</v>
      </c>
      <c r="BL55">
        <f t="shared" si="99"/>
        <v>56.062022099585171</v>
      </c>
      <c r="BM55" s="43">
        <f t="shared" si="100"/>
        <v>89.069749053769542</v>
      </c>
    </row>
    <row r="56" spans="1:65" x14ac:dyDescent="0.25">
      <c r="A56" t="s">
        <v>189</v>
      </c>
      <c r="B56" s="3">
        <f>RFBT</f>
        <v>20000</v>
      </c>
      <c r="C56" s="2" t="s">
        <v>36</v>
      </c>
      <c r="E56" t="s">
        <v>192</v>
      </c>
      <c r="N56" s="9">
        <v>38</v>
      </c>
      <c r="O56" s="34">
        <f t="shared" si="62"/>
        <v>23.988329190194907</v>
      </c>
      <c r="P56" s="33" t="str">
        <f t="shared" si="50"/>
        <v>19.1021967526266</v>
      </c>
      <c r="Q56" s="4" t="str">
        <f t="shared" si="63"/>
        <v>1+0.0338299260890456i</v>
      </c>
      <c r="R56" s="4">
        <f t="shared" si="64"/>
        <v>1.0005720683185146</v>
      </c>
      <c r="S56" s="4">
        <f t="shared" si="65"/>
        <v>3.3817029234171778E-2</v>
      </c>
      <c r="T56" s="4" t="str">
        <f t="shared" si="51"/>
        <v>1+0.00056671892184369i</v>
      </c>
      <c r="U56" s="4">
        <f t="shared" si="66"/>
        <v>1.0000001605851552</v>
      </c>
      <c r="V56" s="4">
        <f t="shared" si="67"/>
        <v>5.667188611725995E-4</v>
      </c>
      <c r="W56" t="str">
        <f t="shared" si="52"/>
        <v>1-0.000314006494815875i</v>
      </c>
      <c r="X56" s="4">
        <f t="shared" si="68"/>
        <v>1.0000000493000383</v>
      </c>
      <c r="Y56" s="4">
        <f t="shared" si="69"/>
        <v>-3.1400648449552055E-4</v>
      </c>
      <c r="Z56" t="str">
        <f t="shared" si="53"/>
        <v>0.99999999942456+0.000233620832143011i</v>
      </c>
      <c r="AA56" s="4">
        <f t="shared" si="70"/>
        <v>1.0000000267139062</v>
      </c>
      <c r="AB56" s="4">
        <f t="shared" si="71"/>
        <v>2.3362082802720599E-4</v>
      </c>
      <c r="AC56" s="47" t="str">
        <f t="shared" si="72"/>
        <v>19.0803757843068-0.645123011948913i</v>
      </c>
      <c r="AD56" s="20">
        <f t="shared" si="73"/>
        <v>25.616700369167908</v>
      </c>
      <c r="AE56" s="43">
        <f t="shared" si="74"/>
        <v>-1.9364791856265569</v>
      </c>
      <c r="AF56" t="str">
        <f t="shared" si="54"/>
        <v>69.5520360182888</v>
      </c>
      <c r="AG56" t="str">
        <f t="shared" si="55"/>
        <v>1+0.0269866153258901i</v>
      </c>
      <c r="AH56">
        <f t="shared" si="75"/>
        <v>1.000364072429007</v>
      </c>
      <c r="AI56">
        <f t="shared" si="76"/>
        <v>2.698006693966826E-2</v>
      </c>
      <c r="AJ56" t="str">
        <f t="shared" si="56"/>
        <v>1+0.00056671892184369i</v>
      </c>
      <c r="AK56">
        <f t="shared" si="77"/>
        <v>1.0000001605851552</v>
      </c>
      <c r="AL56">
        <f t="shared" si="78"/>
        <v>5.667188611725995E-4</v>
      </c>
      <c r="AM56" t="str">
        <f t="shared" si="57"/>
        <v>1-0.0000687953761655136i</v>
      </c>
      <c r="AN56">
        <f t="shared" si="79"/>
        <v>1.0000000023664017</v>
      </c>
      <c r="AO56">
        <f t="shared" si="80"/>
        <v>-6.8795376056981922E-5</v>
      </c>
      <c r="AP56" s="41" t="str">
        <f t="shared" si="81"/>
        <v>69.502356323702-1.84100175796733i</v>
      </c>
      <c r="AQ56">
        <f t="shared" si="82"/>
        <v>36.843036652972785</v>
      </c>
      <c r="AR56" s="43">
        <f t="shared" si="83"/>
        <v>-1.5173150524058652</v>
      </c>
      <c r="AS56" t="str">
        <f t="shared" si="58"/>
        <v>-0.0000166666666666667</v>
      </c>
      <c r="AT56" t="str">
        <f t="shared" si="59"/>
        <v>5.12458599539507E-07i</v>
      </c>
      <c r="AU56">
        <f t="shared" si="84"/>
        <v>5.1245859953950697E-7</v>
      </c>
      <c r="AV56">
        <f t="shared" si="85"/>
        <v>1.5707963267948966</v>
      </c>
      <c r="AW56" t="str">
        <f t="shared" si="60"/>
        <v>1+0.000520792701331327i</v>
      </c>
      <c r="AX56">
        <f t="shared" si="86"/>
        <v>1.0000001356125097</v>
      </c>
      <c r="AY56">
        <f t="shared" si="87"/>
        <v>5.2079265424732793E-4</v>
      </c>
      <c r="AZ56" t="str">
        <f t="shared" si="61"/>
        <v>1+0.0177069518452651i</v>
      </c>
      <c r="BA56">
        <f t="shared" si="88"/>
        <v>1.0001567557856372</v>
      </c>
      <c r="BB56">
        <f t="shared" si="89"/>
        <v>1.7705101603524103E-2</v>
      </c>
      <c r="BC56" s="41" t="str">
        <f t="shared" si="90"/>
        <v>-0.558944485078463+32.5232435466469i</v>
      </c>
      <c r="BD56">
        <f t="shared" si="91"/>
        <v>30.245159563153369</v>
      </c>
      <c r="BE56" s="43">
        <f t="shared" si="92"/>
        <v>90.984588376642449</v>
      </c>
      <c r="BF56" s="41" t="str">
        <f t="shared" si="93"/>
        <v>10.316622017298+620.91629654428i</v>
      </c>
      <c r="BG56" s="20">
        <f t="shared" si="94"/>
        <v>55.861859932321281</v>
      </c>
      <c r="BH56" s="43">
        <f t="shared" si="95"/>
        <v>89.048109191015897</v>
      </c>
      <c r="BI56" s="41" t="str">
        <f t="shared" si="101"/>
        <v>21.0273897770851+2261.47107956123i</v>
      </c>
      <c r="BJ56" s="20">
        <f t="shared" si="97"/>
        <v>67.088196216126164</v>
      </c>
      <c r="BK56" s="43">
        <f t="shared" si="102"/>
        <v>89.467273324236587</v>
      </c>
      <c r="BL56">
        <f t="shared" si="99"/>
        <v>55.861859932321281</v>
      </c>
      <c r="BM56" s="43">
        <f t="shared" si="100"/>
        <v>89.048109191015897</v>
      </c>
    </row>
    <row r="57" spans="1:65" x14ac:dyDescent="0.25">
      <c r="A57" t="s">
        <v>190</v>
      </c>
      <c r="B57" s="3">
        <f>RFBB</f>
        <v>10000</v>
      </c>
      <c r="C57" s="2" t="s">
        <v>36</v>
      </c>
      <c r="E57" t="s">
        <v>193</v>
      </c>
      <c r="N57" s="9">
        <v>39</v>
      </c>
      <c r="O57" s="34">
        <f t="shared" si="62"/>
        <v>24.547089156850316</v>
      </c>
      <c r="P57" s="33" t="str">
        <f t="shared" si="50"/>
        <v>19.1021967526266</v>
      </c>
      <c r="Q57" s="4" t="str">
        <f t="shared" si="63"/>
        <v>1+0.0346179262962961i</v>
      </c>
      <c r="R57" s="4">
        <f t="shared" si="64"/>
        <v>1.0005990209974502</v>
      </c>
      <c r="S57" s="4">
        <f t="shared" si="65"/>
        <v>3.4604107514101104E-2</v>
      </c>
      <c r="T57" s="4" t="str">
        <f t="shared" si="51"/>
        <v>1+0.000579919501315551i</v>
      </c>
      <c r="U57" s="4">
        <f t="shared" si="66"/>
        <v>1.0000001681533</v>
      </c>
      <c r="V57" s="4">
        <f t="shared" si="67"/>
        <v>5.7991943630530669E-4</v>
      </c>
      <c r="W57" t="str">
        <f t="shared" si="52"/>
        <v>1-0.000321320645675727i</v>
      </c>
      <c r="X57" s="4">
        <f t="shared" si="68"/>
        <v>1.0000000516234773</v>
      </c>
      <c r="Y57" s="4">
        <f t="shared" si="69"/>
        <v>-3.2132063461726802E-4</v>
      </c>
      <c r="Z57" t="str">
        <f t="shared" si="53"/>
        <v>0.99999999939744+0.000239062560382741i</v>
      </c>
      <c r="AA57" s="4">
        <f t="shared" si="70"/>
        <v>1.0000000279728936</v>
      </c>
      <c r="AB57" s="4">
        <f t="shared" si="71"/>
        <v>2.3906255597257658E-4</v>
      </c>
      <c r="AC57" s="47" t="str">
        <f t="shared" si="72"/>
        <v>19.0793486247004-0.660114299190198i</v>
      </c>
      <c r="AD57" s="20">
        <f t="shared" si="73"/>
        <v>25.616466473155455</v>
      </c>
      <c r="AE57" s="43">
        <f t="shared" si="74"/>
        <v>-1.9815499699479067</v>
      </c>
      <c r="AF57" t="str">
        <f t="shared" si="54"/>
        <v>69.5520360182888</v>
      </c>
      <c r="AG57" t="str">
        <f t="shared" si="55"/>
        <v>1+0.0276152143483596i</v>
      </c>
      <c r="AH57">
        <f t="shared" si="75"/>
        <v>1.0003812273646011</v>
      </c>
      <c r="AI57">
        <f t="shared" si="76"/>
        <v>2.7608197770513598E-2</v>
      </c>
      <c r="AJ57" t="str">
        <f t="shared" si="56"/>
        <v>1+0.000579919501315551i</v>
      </c>
      <c r="AK57">
        <f t="shared" si="77"/>
        <v>1.0000001681533</v>
      </c>
      <c r="AL57">
        <f t="shared" si="78"/>
        <v>5.7991943630530669E-4</v>
      </c>
      <c r="AM57" t="str">
        <f t="shared" si="57"/>
        <v>1-0.0000703978263314884i</v>
      </c>
      <c r="AN57">
        <f t="shared" si="79"/>
        <v>1.000000002477927</v>
      </c>
      <c r="AO57">
        <f t="shared" si="80"/>
        <v>-7.0397826215194605E-5</v>
      </c>
      <c r="AP57" s="41" t="str">
        <f t="shared" si="81"/>
        <v>69.5000167759679-1.88381959059235i</v>
      </c>
      <c r="AQ57">
        <f t="shared" si="82"/>
        <v>36.842887769306564</v>
      </c>
      <c r="AR57" s="43">
        <f t="shared" si="83"/>
        <v>-1.5526397743840434</v>
      </c>
      <c r="AS57" t="str">
        <f t="shared" si="58"/>
        <v>-0.0000166666666666667</v>
      </c>
      <c r="AT57" t="str">
        <f t="shared" si="59"/>
        <v>5.24395293742787E-07i</v>
      </c>
      <c r="AU57">
        <f t="shared" si="84"/>
        <v>5.24395293742787E-7</v>
      </c>
      <c r="AV57">
        <f t="shared" si="85"/>
        <v>1.5707963267948966</v>
      </c>
      <c r="AW57" t="str">
        <f t="shared" si="60"/>
        <v>1+0.000532923521703309i</v>
      </c>
      <c r="AX57">
        <f t="shared" si="86"/>
        <v>1.0000001420037299</v>
      </c>
      <c r="AY57">
        <f t="shared" si="87"/>
        <v>5.329234712518954E-4</v>
      </c>
      <c r="AZ57" t="str">
        <f t="shared" si="61"/>
        <v>1+0.0181193997379125i</v>
      </c>
      <c r="BA57">
        <f t="shared" si="88"/>
        <v>1.0001641428519932</v>
      </c>
      <c r="BB57">
        <f t="shared" si="89"/>
        <v>1.8117417185740184E-2</v>
      </c>
      <c r="BC57" s="41" t="str">
        <f t="shared" si="90"/>
        <v>-0.558944477933788+31.7829375465587i</v>
      </c>
      <c r="BD57">
        <f t="shared" si="91"/>
        <v>30.045223660589762</v>
      </c>
      <c r="BE57" s="43">
        <f t="shared" si="92"/>
        <v>91.007517274714502</v>
      </c>
      <c r="BF57" s="41" t="str">
        <f t="shared" si="93"/>
        <v>10.3160749884025+606.766713010211i</v>
      </c>
      <c r="BG57" s="20">
        <f t="shared" si="94"/>
        <v>55.661690133745225</v>
      </c>
      <c r="BH57" s="43">
        <f t="shared" si="95"/>
        <v>89.02596730476661</v>
      </c>
      <c r="BI57" s="41" t="str">
        <f t="shared" si="101"/>
        <v>21.0266698035476+2209.96764323295i</v>
      </c>
      <c r="BJ57" s="20">
        <f t="shared" si="97"/>
        <v>66.888111429896327</v>
      </c>
      <c r="BK57" s="43">
        <f t="shared" si="102"/>
        <v>89.454877500330468</v>
      </c>
      <c r="BL57">
        <f t="shared" si="99"/>
        <v>55.661690133745225</v>
      </c>
      <c r="BM57" s="43">
        <f t="shared" si="100"/>
        <v>89.02596730476661</v>
      </c>
    </row>
    <row r="58" spans="1:65" x14ac:dyDescent="0.25">
      <c r="A58" t="s">
        <v>180</v>
      </c>
      <c r="B58" s="3">
        <f>RCOMP</f>
        <v>35600</v>
      </c>
      <c r="C58" s="2" t="s">
        <v>36</v>
      </c>
      <c r="E58" t="s">
        <v>186</v>
      </c>
      <c r="N58" s="9">
        <v>40</v>
      </c>
      <c r="O58" s="34">
        <f t="shared" si="62"/>
        <v>25.118864315095799</v>
      </c>
      <c r="P58" s="33" t="str">
        <f t="shared" si="50"/>
        <v>19.1021967526266</v>
      </c>
      <c r="Q58" s="4" t="str">
        <f t="shared" si="63"/>
        <v>1+0.0354242813862916i</v>
      </c>
      <c r="R58" s="4">
        <f t="shared" si="64"/>
        <v>1.0006272431388898</v>
      </c>
      <c r="S58" s="4">
        <f t="shared" si="65"/>
        <v>3.5409474795649758E-2</v>
      </c>
      <c r="T58" s="4" t="str">
        <f t="shared" si="51"/>
        <v>1+0.000593427561783156i</v>
      </c>
      <c r="U58" s="4">
        <f t="shared" si="66"/>
        <v>1.0000001760781201</v>
      </c>
      <c r="V58" s="4">
        <f t="shared" si="67"/>
        <v>5.9342749212342501E-4</v>
      </c>
      <c r="W58" t="str">
        <f t="shared" si="52"/>
        <v>1-0.0003288051649951i</v>
      </c>
      <c r="X58" s="4">
        <f t="shared" si="68"/>
        <v>1.0000000540564167</v>
      </c>
      <c r="Y58" s="4">
        <f t="shared" si="69"/>
        <v>-3.2880515314574776E-4</v>
      </c>
      <c r="Z58" t="str">
        <f t="shared" si="53"/>
        <v>0.999999999369043+0.000244631042756354i</v>
      </c>
      <c r="AA58" s="4">
        <f t="shared" si="70"/>
        <v>1.0000000292912161</v>
      </c>
      <c r="AB58" s="4">
        <f t="shared" si="71"/>
        <v>2.4463103803077751E-4</v>
      </c>
      <c r="AC58" s="47" t="str">
        <f t="shared" si="72"/>
        <v>19.0782731751638-0.67545223948084i</v>
      </c>
      <c r="AD58" s="20">
        <f t="shared" si="73"/>
        <v>25.616221567472731</v>
      </c>
      <c r="AE58" s="43">
        <f t="shared" si="74"/>
        <v>-2.027668043394359</v>
      </c>
      <c r="AF58" t="str">
        <f t="shared" si="54"/>
        <v>69.5520360182888</v>
      </c>
      <c r="AG58" t="str">
        <f t="shared" si="55"/>
        <v>1+0.0282584553230075i</v>
      </c>
      <c r="AH58">
        <f t="shared" si="75"/>
        <v>1.0003991904721046</v>
      </c>
      <c r="AI58">
        <f t="shared" si="76"/>
        <v>2.8250937086410077E-2</v>
      </c>
      <c r="AJ58" t="str">
        <f t="shared" si="56"/>
        <v>1+0.000593427561783156i</v>
      </c>
      <c r="AK58">
        <f t="shared" si="77"/>
        <v>1.0000001760781201</v>
      </c>
      <c r="AL58">
        <f t="shared" si="78"/>
        <v>5.9342749212342501E-4</v>
      </c>
      <c r="AM58" t="str">
        <f t="shared" si="57"/>
        <v>1-0.0000720376023568099i</v>
      </c>
      <c r="AN58">
        <f t="shared" si="79"/>
        <v>1.000000002594708</v>
      </c>
      <c r="AO58">
        <f t="shared" si="80"/>
        <v>-7.2037602232198872E-5</v>
      </c>
      <c r="AP58" s="41" t="str">
        <f t="shared" si="81"/>
        <v>69.4975671407391-1.92763016286669i</v>
      </c>
      <c r="AQ58">
        <f t="shared" si="82"/>
        <v>36.84273187444451</v>
      </c>
      <c r="AR58" s="43">
        <f t="shared" si="83"/>
        <v>-1.5887860221693506</v>
      </c>
      <c r="AS58" t="str">
        <f t="shared" si="58"/>
        <v>-0.0000166666666666667</v>
      </c>
      <c r="AT58" t="str">
        <f t="shared" si="59"/>
        <v>5.36610029272002E-07i</v>
      </c>
      <c r="AU58">
        <f t="shared" si="84"/>
        <v>5.3661002927200201E-7</v>
      </c>
      <c r="AV58">
        <f t="shared" si="85"/>
        <v>1.5707963267948966</v>
      </c>
      <c r="AW58" t="str">
        <f t="shared" si="60"/>
        <v>1+0.000545336905180579i</v>
      </c>
      <c r="AX58">
        <f t="shared" si="86"/>
        <v>1.0000001486961589</v>
      </c>
      <c r="AY58">
        <f t="shared" si="87"/>
        <v>5.4533685112091593E-4</v>
      </c>
      <c r="AZ58" t="str">
        <f t="shared" si="61"/>
        <v>1+0.0185414547761397i</v>
      </c>
      <c r="BA58">
        <f t="shared" si="88"/>
        <v>1.000171878001584</v>
      </c>
      <c r="BB58">
        <f t="shared" si="89"/>
        <v>1.8539330452929687E-2</v>
      </c>
      <c r="BC58" s="41" t="str">
        <f t="shared" si="90"/>
        <v>-0.558944470452399+31.0594832806542i</v>
      </c>
      <c r="BD58">
        <f t="shared" si="91"/>
        <v>29.845290777829575</v>
      </c>
      <c r="BE58" s="43">
        <f t="shared" si="92"/>
        <v>91.030979889969046</v>
      </c>
      <c r="BF58" s="41" t="str">
        <f t="shared" si="93"/>
        <v>10.3155022419974+592.938847002066i</v>
      </c>
      <c r="BG58" s="20">
        <f t="shared" si="94"/>
        <v>55.46151234530231</v>
      </c>
      <c r="BH58" s="43">
        <f t="shared" si="95"/>
        <v>89.003311846574704</v>
      </c>
      <c r="BI58" s="41" t="str">
        <f t="shared" si="101"/>
        <v>21.0259159516322+2159.63596287454i</v>
      </c>
      <c r="BJ58" s="20">
        <f t="shared" si="97"/>
        <v>66.688022652274086</v>
      </c>
      <c r="BK58" s="43">
        <f t="shared" si="102"/>
        <v>89.442193867799702</v>
      </c>
      <c r="BL58">
        <f t="shared" si="99"/>
        <v>55.46151234530231</v>
      </c>
      <c r="BM58" s="43">
        <f t="shared" si="100"/>
        <v>89.003311846574704</v>
      </c>
    </row>
    <row r="59" spans="1:65" x14ac:dyDescent="0.25">
      <c r="A59" t="s">
        <v>184</v>
      </c>
      <c r="B59" s="3">
        <f>CCOMP</f>
        <v>3.3000000000000002E-9</v>
      </c>
      <c r="C59" s="2" t="s">
        <v>162</v>
      </c>
      <c r="E59" t="s">
        <v>187</v>
      </c>
      <c r="N59" s="9">
        <v>41</v>
      </c>
      <c r="O59" s="34">
        <f t="shared" si="62"/>
        <v>25.703957827688647</v>
      </c>
      <c r="P59" s="33" t="str">
        <f t="shared" si="50"/>
        <v>19.1021967526266</v>
      </c>
      <c r="Q59" s="4" t="str">
        <f t="shared" si="63"/>
        <v>1+0.0362494188991736i</v>
      </c>
      <c r="R59" s="4">
        <f t="shared" si="64"/>
        <v>1.0006567944957589</v>
      </c>
      <c r="S59" s="4">
        <f t="shared" si="65"/>
        <v>3.623355391382705E-2</v>
      </c>
      <c r="T59" s="4" t="str">
        <f t="shared" si="51"/>
        <v>1+0.000607250265398956i</v>
      </c>
      <c r="U59" s="4">
        <f t="shared" si="66"/>
        <v>1.0000001843764255</v>
      </c>
      <c r="V59" s="4">
        <f t="shared" si="67"/>
        <v>6.0725019075721009E-4</v>
      </c>
      <c r="W59" t="str">
        <f t="shared" si="52"/>
        <v>1-0.000336464021165202i</v>
      </c>
      <c r="X59" s="4">
        <f t="shared" si="68"/>
        <v>1.0000000566040173</v>
      </c>
      <c r="Y59" s="4">
        <f t="shared" si="69"/>
        <v>-3.3646400846839235E-4</v>
      </c>
      <c r="Z59" t="str">
        <f t="shared" si="53"/>
        <v>0.999999999339307+0.00025032923174691i</v>
      </c>
      <c r="AA59" s="4">
        <f t="shared" si="70"/>
        <v>1.0000000306716685</v>
      </c>
      <c r="AB59" s="4">
        <f t="shared" si="71"/>
        <v>2.5032922668336352E-4</v>
      </c>
      <c r="AC59" s="47" t="str">
        <f t="shared" si="72"/>
        <v>19.0771471712842-0.691144726339975i</v>
      </c>
      <c r="AD59" s="20">
        <f t="shared" si="73"/>
        <v>25.615965134551718</v>
      </c>
      <c r="AE59" s="43">
        <f t="shared" si="74"/>
        <v>-2.0748576188041374</v>
      </c>
      <c r="AF59" t="str">
        <f t="shared" si="54"/>
        <v>69.5520360182888</v>
      </c>
      <c r="AG59" t="str">
        <f t="shared" si="55"/>
        <v>1+0.0289166793047122i</v>
      </c>
      <c r="AH59">
        <f t="shared" si="75"/>
        <v>1.0004179998090856</v>
      </c>
      <c r="AI59">
        <f t="shared" si="76"/>
        <v>2.8908623550838029E-2</v>
      </c>
      <c r="AJ59" t="str">
        <f t="shared" si="56"/>
        <v>1+0.000607250265398956i</v>
      </c>
      <c r="AK59">
        <f t="shared" si="77"/>
        <v>1.0000001843764255</v>
      </c>
      <c r="AL59">
        <f t="shared" si="78"/>
        <v>6.0725019075721009E-4</v>
      </c>
      <c r="AM59" t="str">
        <f t="shared" si="57"/>
        <v>1-0.0000737155736724309i</v>
      </c>
      <c r="AN59">
        <f t="shared" si="79"/>
        <v>1.0000000027169929</v>
      </c>
      <c r="AO59">
        <f t="shared" si="80"/>
        <v>-7.3715573538907768E-5</v>
      </c>
      <c r="AP59" s="41" t="str">
        <f t="shared" si="81"/>
        <v>69.495002246325-1.97245626914126i</v>
      </c>
      <c r="AQ59">
        <f t="shared" si="82"/>
        <v>36.842568638486924</v>
      </c>
      <c r="AR59" s="43">
        <f t="shared" si="83"/>
        <v>-1.6257728392047748</v>
      </c>
      <c r="AS59" t="str">
        <f t="shared" si="58"/>
        <v>-0.0000166666666666667</v>
      </c>
      <c r="AT59" t="str">
        <f t="shared" si="59"/>
        <v>5.4910928254161E-07i</v>
      </c>
      <c r="AU59">
        <f t="shared" si="84"/>
        <v>5.4910928254160998E-7</v>
      </c>
      <c r="AV59">
        <f t="shared" si="85"/>
        <v>1.5707963267948966</v>
      </c>
      <c r="AW59" t="str">
        <f t="shared" si="60"/>
        <v>1+0.000558039433503359i</v>
      </c>
      <c r="AX59">
        <f t="shared" si="86"/>
        <v>1.0000001557039926</v>
      </c>
      <c r="AY59">
        <f t="shared" si="87"/>
        <v>5.5803937557738687E-4</v>
      </c>
      <c r="AZ59" t="str">
        <f t="shared" si="61"/>
        <v>1+0.0189733407391142i</v>
      </c>
      <c r="BA59">
        <f t="shared" si="88"/>
        <v>1.000179977633427</v>
      </c>
      <c r="BB59">
        <f t="shared" si="89"/>
        <v>1.8971064507905616E-2</v>
      </c>
      <c r="BC59" s="41" t="str">
        <f t="shared" si="90"/>
        <v>-0.558944462618419+30.3524971639057i</v>
      </c>
      <c r="BD59">
        <f t="shared" si="91"/>
        <v>29.645361057093851</v>
      </c>
      <c r="BE59" s="43">
        <f t="shared" si="92"/>
        <v>91.054988628150724</v>
      </c>
      <c r="BF59" s="41" t="str">
        <f t="shared" si="93"/>
        <v>10.3149025721365+579.425366929471i</v>
      </c>
      <c r="BG59" s="20">
        <f t="shared" si="94"/>
        <v>55.261326191645566</v>
      </c>
      <c r="BH59" s="43">
        <f t="shared" si="95"/>
        <v>88.980131009346593</v>
      </c>
      <c r="BI59" s="41" t="str">
        <f t="shared" si="101"/>
        <v>21.0251266298002+2110.44935209659i</v>
      </c>
      <c r="BJ59" s="20">
        <f t="shared" si="97"/>
        <v>66.48792969558076</v>
      </c>
      <c r="BK59" s="43">
        <f t="shared" si="102"/>
        <v>89.429215788945953</v>
      </c>
      <c r="BL59">
        <f t="shared" si="99"/>
        <v>55.261326191645566</v>
      </c>
      <c r="BM59" s="43">
        <f t="shared" si="100"/>
        <v>88.980131009346593</v>
      </c>
    </row>
    <row r="60" spans="1:65" x14ac:dyDescent="0.25">
      <c r="A60" t="s">
        <v>185</v>
      </c>
      <c r="B60" s="3">
        <f>CHF</f>
        <v>1E-10</v>
      </c>
      <c r="C60" s="2" t="s">
        <v>162</v>
      </c>
      <c r="E60" t="s">
        <v>188</v>
      </c>
      <c r="N60" s="9">
        <v>42</v>
      </c>
      <c r="O60" s="34">
        <f t="shared" si="62"/>
        <v>26.302679918953825</v>
      </c>
      <c r="P60" s="33" t="str">
        <f t="shared" si="50"/>
        <v>19.1021967526266</v>
      </c>
      <c r="Q60" s="4" t="str">
        <f t="shared" si="63"/>
        <v>1+0.0370937763337739i</v>
      </c>
      <c r="R60" s="4">
        <f t="shared" si="64"/>
        <v>1.0006877376298262</v>
      </c>
      <c r="S60" s="4">
        <f t="shared" si="65"/>
        <v>3.7076777326633822E-2</v>
      </c>
      <c r="T60" s="4" t="str">
        <f t="shared" si="51"/>
        <v>1+0.000621394941143379i</v>
      </c>
      <c r="U60" s="4">
        <f t="shared" si="66"/>
        <v>1.0000001930658178</v>
      </c>
      <c r="V60" s="4">
        <f t="shared" si="67"/>
        <v>6.2139486116330814E-4</v>
      </c>
      <c r="W60" t="str">
        <f t="shared" si="52"/>
        <v>1-0.000344301275012954i</v>
      </c>
      <c r="X60" s="4">
        <f t="shared" si="68"/>
        <v>1.0000000592716822</v>
      </c>
      <c r="Y60" s="4">
        <f t="shared" si="69"/>
        <v>-3.443012614080774E-4</v>
      </c>
      <c r="Z60" t="str">
        <f t="shared" si="53"/>
        <v>0.999999999308169+0.000256160148609638i</v>
      </c>
      <c r="AA60" s="4">
        <f t="shared" si="70"/>
        <v>1.0000000321171794</v>
      </c>
      <c r="AB60" s="4">
        <f t="shared" si="71"/>
        <v>2.5616014318395039E-4</v>
      </c>
      <c r="AC60" s="47" t="str">
        <f t="shared" si="72"/>
        <v>19.0759682430287-0.70719982426291i</v>
      </c>
      <c r="AD60" s="20">
        <f t="shared" si="73"/>
        <v>25.615696632557366</v>
      </c>
      <c r="AE60" s="43">
        <f t="shared" si="74"/>
        <v>-2.1231434600503007</v>
      </c>
      <c r="AF60" t="str">
        <f t="shared" si="54"/>
        <v>69.5520360182888</v>
      </c>
      <c r="AG60" t="str">
        <f t="shared" si="55"/>
        <v>1+0.0295902352925419i</v>
      </c>
      <c r="AH60">
        <f t="shared" si="75"/>
        <v>1.0004376952237795</v>
      </c>
      <c r="AI60">
        <f t="shared" si="76"/>
        <v>2.9581603600698253E-2</v>
      </c>
      <c r="AJ60" t="str">
        <f t="shared" si="56"/>
        <v>1+0.000621394941143379i</v>
      </c>
      <c r="AK60">
        <f t="shared" si="77"/>
        <v>1.0000001930658178</v>
      </c>
      <c r="AL60">
        <f t="shared" si="78"/>
        <v>6.2139486116330814E-4</v>
      </c>
      <c r="AM60" t="str">
        <f t="shared" si="57"/>
        <v>1-0.0000754326299609541i</v>
      </c>
      <c r="AN60">
        <f t="shared" si="79"/>
        <v>1.0000000028450409</v>
      </c>
      <c r="AO60">
        <f t="shared" si="80"/>
        <v>-7.5432629817881488E-5</v>
      </c>
      <c r="AP60" s="41" t="str">
        <f t="shared" si="81"/>
        <v>69.4923166788971-2.01832121122041i</v>
      </c>
      <c r="AQ60">
        <f t="shared" si="82"/>
        <v>36.842397716037325</v>
      </c>
      <c r="AR60" s="43">
        <f t="shared" si="83"/>
        <v>-1.6636197059193705</v>
      </c>
      <c r="AS60" t="str">
        <f t="shared" si="58"/>
        <v>-0.0000166666666666667</v>
      </c>
      <c r="AT60" t="str">
        <f t="shared" si="59"/>
        <v>5.61899680821142E-07i</v>
      </c>
      <c r="AU60">
        <f t="shared" si="84"/>
        <v>5.6189968082114198E-7</v>
      </c>
      <c r="AV60">
        <f t="shared" si="85"/>
        <v>1.5707963267948966</v>
      </c>
      <c r="AW60" t="str">
        <f t="shared" si="60"/>
        <v>1+0.000571037841720308i</v>
      </c>
      <c r="AX60">
        <f t="shared" si="86"/>
        <v>1.0000001630420952</v>
      </c>
      <c r="AY60">
        <f t="shared" si="87"/>
        <v>5.7103777965151104E-4</v>
      </c>
      <c r="AZ60" t="str">
        <f t="shared" si="61"/>
        <v>1+0.0194152866184905i</v>
      </c>
      <c r="BA60">
        <f t="shared" si="88"/>
        <v>1.000188458918857</v>
      </c>
      <c r="BB60">
        <f t="shared" si="89"/>
        <v>1.9412847617627474E-2</v>
      </c>
      <c r="BC60" s="41" t="str">
        <f t="shared" si="90"/>
        <v>-0.558944454415236+29.6616043429157i</v>
      </c>
      <c r="BD60">
        <f t="shared" si="91"/>
        <v>29.445434647296711</v>
      </c>
      <c r="BE60" s="43">
        <f t="shared" si="92"/>
        <v>91.079556182104099</v>
      </c>
      <c r="BF60" s="41" t="str">
        <f t="shared" si="93"/>
        <v>10.3142747166239+566.219107902677i</v>
      </c>
      <c r="BG60" s="20">
        <f t="shared" si="94"/>
        <v>55.061131279854074</v>
      </c>
      <c r="BH60" s="43">
        <f t="shared" si="95"/>
        <v>88.956412722053798</v>
      </c>
      <c r="BI60" s="41" t="str">
        <f t="shared" si="101"/>
        <v>21.0243001719972+2062.38173165029i</v>
      </c>
      <c r="BJ60" s="20">
        <f t="shared" si="97"/>
        <v>66.287832363334047</v>
      </c>
      <c r="BK60" s="43">
        <f t="shared" si="102"/>
        <v>89.415936476184726</v>
      </c>
      <c r="BL60">
        <f t="shared" si="99"/>
        <v>55.061131279854074</v>
      </c>
      <c r="BM60" s="43">
        <f t="shared" si="100"/>
        <v>88.956412722053798</v>
      </c>
    </row>
    <row r="61" spans="1:65" x14ac:dyDescent="0.25">
      <c r="N61" s="9">
        <v>43</v>
      </c>
      <c r="O61" s="34">
        <f t="shared" si="62"/>
        <v>26.915348039269158</v>
      </c>
      <c r="P61" s="33" t="str">
        <f t="shared" si="50"/>
        <v>19.1021967526266</v>
      </c>
      <c r="Q61" s="4" t="str">
        <f t="shared" si="63"/>
        <v>1+0.0379578013795806i</v>
      </c>
      <c r="R61" s="4">
        <f t="shared" si="64"/>
        <v>1.000720138043385</v>
      </c>
      <c r="S61" s="4">
        <f t="shared" si="65"/>
        <v>3.7939587323118022E-2</v>
      </c>
      <c r="T61" s="4" t="str">
        <f t="shared" si="51"/>
        <v>1+0.000635869088710733i</v>
      </c>
      <c r="U61" s="4">
        <f t="shared" si="66"/>
        <v>1.0000002021647285</v>
      </c>
      <c r="V61" s="4">
        <f t="shared" si="67"/>
        <v>6.3586900301054402E-4</v>
      </c>
      <c r="W61" t="str">
        <f t="shared" si="52"/>
        <v>1-0.000352321081954085i</v>
      </c>
      <c r="X61" s="4">
        <f t="shared" si="68"/>
        <v>1.0000000620650704</v>
      </c>
      <c r="Y61" s="4">
        <f t="shared" si="69"/>
        <v>-3.5232106737619713E-4</v>
      </c>
      <c r="Z61" t="str">
        <f t="shared" si="53"/>
        <v>0.999999999275564+0.000262126884973839i</v>
      </c>
      <c r="AA61" s="4">
        <f t="shared" si="70"/>
        <v>1.0000000336308152</v>
      </c>
      <c r="AB61" s="4">
        <f t="shared" si="71"/>
        <v>2.6212687916010995E-4</v>
      </c>
      <c r="AC61" s="47" t="str">
        <f t="shared" si="72"/>
        <v>19.0747339098725-0.723625771789544i</v>
      </c>
      <c r="AD61" s="20">
        <f t="shared" si="73"/>
        <v>25.615415494256201</v>
      </c>
      <c r="AE61" s="43">
        <f t="shared" si="74"/>
        <v>-2.1725508939540186</v>
      </c>
      <c r="AF61" t="str">
        <f t="shared" si="54"/>
        <v>69.5520360182888</v>
      </c>
      <c r="AG61" t="str">
        <f t="shared" si="55"/>
        <v>1+0.0302794804147968i</v>
      </c>
      <c r="AH61">
        <f t="shared" si="75"/>
        <v>1.0004583184391991</v>
      </c>
      <c r="AI61">
        <f t="shared" si="76"/>
        <v>3.0270231619172822E-2</v>
      </c>
      <c r="AJ61" t="str">
        <f t="shared" si="56"/>
        <v>1+0.000635869088710733i</v>
      </c>
      <c r="AK61">
        <f t="shared" si="77"/>
        <v>1.0000002021647285</v>
      </c>
      <c r="AL61">
        <f t="shared" si="78"/>
        <v>6.3586900301054402E-4</v>
      </c>
      <c r="AM61" t="str">
        <f t="shared" si="57"/>
        <v>1-0.0000771896816283517i</v>
      </c>
      <c r="AN61">
        <f t="shared" si="79"/>
        <v>1.0000000029791234</v>
      </c>
      <c r="AO61">
        <f t="shared" si="80"/>
        <v>-7.7189681475046636E-5</v>
      </c>
      <c r="AP61" s="41" t="str">
        <f t="shared" si="81"/>
        <v>69.4895047712299-2.06524880851032i</v>
      </c>
      <c r="AQ61">
        <f t="shared" si="82"/>
        <v>36.842218745476906</v>
      </c>
      <c r="AR61" s="43">
        <f t="shared" si="83"/>
        <v>-1.702346549436847</v>
      </c>
      <c r="AS61" t="str">
        <f t="shared" si="58"/>
        <v>-0.0000166666666666667</v>
      </c>
      <c r="AT61" t="str">
        <f t="shared" si="59"/>
        <v>5.74988005749067E-07i</v>
      </c>
      <c r="AU61">
        <f t="shared" si="84"/>
        <v>5.7498800574906703E-7</v>
      </c>
      <c r="AV61">
        <f t="shared" si="85"/>
        <v>1.5707963267948966</v>
      </c>
      <c r="AW61" t="str">
        <f t="shared" si="60"/>
        <v>1+0.000584339021759519i</v>
      </c>
      <c r="AX61">
        <f t="shared" si="86"/>
        <v>1.0000001707260315</v>
      </c>
      <c r="AY61">
        <f t="shared" si="87"/>
        <v>5.8433895525160547E-4</v>
      </c>
      <c r="AZ61" t="str">
        <f t="shared" si="61"/>
        <v>1+0.0198675267398237i</v>
      </c>
      <c r="BA61">
        <f t="shared" si="88"/>
        <v>1.000197339837873</v>
      </c>
      <c r="BB61">
        <f t="shared" si="89"/>
        <v>1.9864913331161461E-2</v>
      </c>
      <c r="BC61" s="41" t="str">
        <f t="shared" si="90"/>
        <v>-0.558944445825453+28.9864384971659i</v>
      </c>
      <c r="BD61">
        <f t="shared" si="91"/>
        <v>29.245511704360272</v>
      </c>
      <c r="BE61" s="43">
        <f t="shared" si="92"/>
        <v>91.104695538327704</v>
      </c>
      <c r="BF61" s="41" t="str">
        <f t="shared" si="93"/>
        <v>10.3136173544202+553.313067934322i</v>
      </c>
      <c r="BG61" s="20">
        <f t="shared" si="94"/>
        <v>54.86092719861648</v>
      </c>
      <c r="BH61" s="43">
        <f t="shared" si="95"/>
        <v>88.932144644373693</v>
      </c>
      <c r="BI61" s="41" t="str">
        <f t="shared" si="101"/>
        <v>21.0234348341893+2015.40761560054i</v>
      </c>
      <c r="BJ61" s="20">
        <f t="shared" si="97"/>
        <v>66.087730449837196</v>
      </c>
      <c r="BK61" s="43">
        <f t="shared" si="102"/>
        <v>89.402348988890864</v>
      </c>
      <c r="BL61">
        <f t="shared" si="99"/>
        <v>54.86092719861648</v>
      </c>
      <c r="BM61" s="43">
        <f t="shared" si="100"/>
        <v>88.932144644373693</v>
      </c>
    </row>
    <row r="62" spans="1:65" x14ac:dyDescent="0.25">
      <c r="A62" t="s">
        <v>227</v>
      </c>
      <c r="B62" s="1">
        <f>(-gm_ea)/Kfb</f>
        <v>-1.6666666666666667E-5</v>
      </c>
      <c r="C62" t="s">
        <v>150</v>
      </c>
      <c r="N62" s="9">
        <v>44</v>
      </c>
      <c r="O62" s="34">
        <f t="shared" si="62"/>
        <v>27.542287033381665</v>
      </c>
      <c r="P62" s="33" t="str">
        <f t="shared" si="50"/>
        <v>19.1021967526266</v>
      </c>
      <c r="Q62" s="4" t="str">
        <f t="shared" si="63"/>
        <v>1+0.0388419521541096i</v>
      </c>
      <c r="R62" s="4">
        <f t="shared" si="64"/>
        <v>1.0007540643170738</v>
      </c>
      <c r="S62" s="4">
        <f t="shared" si="65"/>
        <v>3.8822436235137661E-2</v>
      </c>
      <c r="T62" s="4" t="str">
        <f t="shared" si="51"/>
        <v>1+0.000650680382485643i</v>
      </c>
      <c r="U62" s="4">
        <f t="shared" si="66"/>
        <v>1.0000002116924578</v>
      </c>
      <c r="V62" s="4">
        <f t="shared" si="67"/>
        <v>6.5068029065623709E-4</v>
      </c>
      <c r="W62" t="str">
        <f t="shared" si="52"/>
        <v>1-0.00036052769419639i</v>
      </c>
      <c r="X62" s="4">
        <f t="shared" si="68"/>
        <v>1.0000000649901071</v>
      </c>
      <c r="Y62" s="4">
        <f t="shared" si="69"/>
        <v>-3.6052767857590177E-4</v>
      </c>
      <c r="Z62" t="str">
        <f t="shared" si="53"/>
        <v>0.999999999241422+0.000268232604482114i</v>
      </c>
      <c r="AA62" s="4">
        <f t="shared" si="70"/>
        <v>1.0000000352157865</v>
      </c>
      <c r="AB62" s="4">
        <f t="shared" si="71"/>
        <v>2.6823259825259121E-4</v>
      </c>
      <c r="AC62" s="47" t="str">
        <f t="shared" si="72"/>
        <v>19.0734415757069-0.740430984579782i</v>
      </c>
      <c r="AD62" s="20">
        <f t="shared" si="73"/>
        <v>25.615121125832388</v>
      </c>
      <c r="AE62" s="43">
        <f t="shared" si="74"/>
        <v>-2.2231058224099507</v>
      </c>
      <c r="AF62" t="str">
        <f t="shared" si="54"/>
        <v>69.5520360182888</v>
      </c>
      <c r="AG62" t="str">
        <f t="shared" si="55"/>
        <v>1+0.030984780118364i</v>
      </c>
      <c r="AH62">
        <f t="shared" si="75"/>
        <v>1.0004799131411801</v>
      </c>
      <c r="AI62">
        <f t="shared" si="76"/>
        <v>3.0974870112031257E-2</v>
      </c>
      <c r="AJ62" t="str">
        <f t="shared" si="56"/>
        <v>1+0.000650680382485643i</v>
      </c>
      <c r="AK62">
        <f t="shared" si="77"/>
        <v>1.0000002116924578</v>
      </c>
      <c r="AL62">
        <f t="shared" si="78"/>
        <v>6.5068029065623709E-4</v>
      </c>
      <c r="AM62" t="str">
        <f t="shared" si="57"/>
        <v>1-0.0000789876602866749i</v>
      </c>
      <c r="AN62">
        <f t="shared" si="79"/>
        <v>1.0000000031195251</v>
      </c>
      <c r="AO62">
        <f t="shared" si="80"/>
        <v>-7.8987660122405571E-5</v>
      </c>
      <c r="AP62" s="41" t="str">
        <f t="shared" si="81"/>
        <v>69.4865605909279-2.1132634082855i</v>
      </c>
      <c r="AQ62">
        <f t="shared" si="82"/>
        <v>36.842031348205431</v>
      </c>
      <c r="AR62" s="43">
        <f t="shared" si="83"/>
        <v>-1.7419737534769844</v>
      </c>
      <c r="AS62" t="str">
        <f t="shared" si="58"/>
        <v>-0.0000166666666666667</v>
      </c>
      <c r="AT62" t="str">
        <f t="shared" si="59"/>
        <v>5.88381196928506E-07i</v>
      </c>
      <c r="AU62">
        <f t="shared" si="84"/>
        <v>5.88381196928506E-7</v>
      </c>
      <c r="AV62">
        <f t="shared" si="85"/>
        <v>1.5707963267948966</v>
      </c>
      <c r="AW62" t="str">
        <f t="shared" si="60"/>
        <v>1+0.000597950026082708i</v>
      </c>
      <c r="AX62">
        <f t="shared" si="86"/>
        <v>1.0000001787721009</v>
      </c>
      <c r="AY62">
        <f t="shared" si="87"/>
        <v>5.9794995481819539E-4</v>
      </c>
      <c r="AZ62" t="str">
        <f t="shared" si="61"/>
        <v>1+0.0203303008868121i</v>
      </c>
      <c r="BA62">
        <f t="shared" si="88"/>
        <v>1.0002066392171911</v>
      </c>
      <c r="BB62">
        <f t="shared" si="89"/>
        <v>2.0327500600223175E-2</v>
      </c>
      <c r="BC62" s="41" t="str">
        <f t="shared" si="90"/>
        <v>-0.558944436830843+28.3266416447876i</v>
      </c>
      <c r="BD62">
        <f t="shared" si="91"/>
        <v>29.045592391543416</v>
      </c>
      <c r="BE62" s="43">
        <f t="shared" si="92"/>
        <v>91.130419983671302</v>
      </c>
      <c r="BF62" s="41" t="str">
        <f t="shared" si="93"/>
        <v>10.3129291029293+540.70040422753i</v>
      </c>
      <c r="BG62" s="20">
        <f t="shared" si="94"/>
        <v>54.66071351737579</v>
      </c>
      <c r="BH62" s="43">
        <f t="shared" si="95"/>
        <v>88.907314161261354</v>
      </c>
      <c r="BI62" s="41" t="str">
        <f t="shared" si="101"/>
        <v>21.0225287907374+1969.50209781365i</v>
      </c>
      <c r="BJ62" s="20">
        <f t="shared" si="97"/>
        <v>65.887623739748832</v>
      </c>
      <c r="BK62" s="43">
        <f t="shared" si="102"/>
        <v>89.388446230194319</v>
      </c>
      <c r="BL62">
        <f t="shared" si="99"/>
        <v>54.66071351737579</v>
      </c>
      <c r="BM62" s="43">
        <f t="shared" si="100"/>
        <v>88.907314161261354</v>
      </c>
    </row>
    <row r="63" spans="1:65" x14ac:dyDescent="0.25">
      <c r="A63" t="s">
        <v>226</v>
      </c>
      <c r="B63" s="1">
        <f>1/(RCOMP*CCOMP)</f>
        <v>8512.0871637725559</v>
      </c>
      <c r="E63" t="s">
        <v>240</v>
      </c>
      <c r="N63" s="9">
        <v>45</v>
      </c>
      <c r="O63" s="34">
        <f t="shared" si="62"/>
        <v>28.183829312644548</v>
      </c>
      <c r="P63" s="33" t="str">
        <f t="shared" si="50"/>
        <v>19.1021967526266</v>
      </c>
      <c r="Q63" s="4" t="str">
        <f t="shared" si="63"/>
        <v>1+0.0397466974458047i</v>
      </c>
      <c r="R63" s="4">
        <f t="shared" si="64"/>
        <v>1.0007895882541187</v>
      </c>
      <c r="S63" s="4">
        <f t="shared" si="65"/>
        <v>3.9725786652834362E-2</v>
      </c>
      <c r="T63" s="4" t="str">
        <f t="shared" si="51"/>
        <v>1+0.000665836675612119i</v>
      </c>
      <c r="U63" s="4">
        <f t="shared" si="66"/>
        <v>1.0000002216692148</v>
      </c>
      <c r="V63" s="4">
        <f t="shared" si="67"/>
        <v>6.6583657721513891E-4</v>
      </c>
      <c r="W63" t="str">
        <f t="shared" si="52"/>
        <v>1-0.000368925462994304i</v>
      </c>
      <c r="X63" s="4">
        <f t="shared" si="68"/>
        <v>1.0000000680529963</v>
      </c>
      <c r="Y63" s="4">
        <f t="shared" si="69"/>
        <v>-3.6892544625664935E-4</v>
      </c>
      <c r="Z63" t="str">
        <f t="shared" si="53"/>
        <v>0.999999999205672+0.000274480544467762i</v>
      </c>
      <c r="AA63" s="4">
        <f t="shared" si="70"/>
        <v>1.0000000368754558</v>
      </c>
      <c r="AB63" s="4">
        <f t="shared" si="71"/>
        <v>2.744805377927079E-4</v>
      </c>
      <c r="AC63" s="47" t="str">
        <f t="shared" si="72"/>
        <v>19.0720885235192-0.757624058491687i</v>
      </c>
      <c r="AD63" s="20">
        <f t="shared" si="73"/>
        <v>25.614812905649643</v>
      </c>
      <c r="AE63" s="43">
        <f t="shared" si="74"/>
        <v>-2.2748347347241671</v>
      </c>
      <c r="AF63" t="str">
        <f t="shared" si="54"/>
        <v>69.5520360182888</v>
      </c>
      <c r="AG63" t="str">
        <f t="shared" si="55"/>
        <v>1+0.0317065083624819i</v>
      </c>
      <c r="AH63">
        <f t="shared" si="75"/>
        <v>1.0005025250705468</v>
      </c>
      <c r="AI63">
        <f t="shared" si="76"/>
        <v>3.1695889887417318E-2</v>
      </c>
      <c r="AJ63" t="str">
        <f t="shared" si="56"/>
        <v>1+0.000665836675612119i</v>
      </c>
      <c r="AK63">
        <f t="shared" si="77"/>
        <v>1.0000002216692148</v>
      </c>
      <c r="AL63">
        <f t="shared" si="78"/>
        <v>6.6583657721513891E-4</v>
      </c>
      <c r="AM63" t="str">
        <f t="shared" si="57"/>
        <v>1-0.0000808275192480073i</v>
      </c>
      <c r="AN63">
        <f t="shared" si="79"/>
        <v>1.0000000032665439</v>
      </c>
      <c r="AO63">
        <f t="shared" si="80"/>
        <v>-8.0827519071989551E-5</v>
      </c>
      <c r="AP63" s="41" t="str">
        <f t="shared" si="81"/>
        <v>69.4834779281126-2.16238989606756i</v>
      </c>
      <c r="AQ63">
        <f t="shared" si="82"/>
        <v>36.841835127846821</v>
      </c>
      <c r="AR63" s="43">
        <f t="shared" si="83"/>
        <v>-1.7825221684518697</v>
      </c>
      <c r="AS63" t="str">
        <f t="shared" si="58"/>
        <v>-0.0000166666666666667</v>
      </c>
      <c r="AT63" t="str">
        <f t="shared" si="59"/>
        <v>6.02086355606703E-07i</v>
      </c>
      <c r="AU63">
        <f t="shared" si="84"/>
        <v>6.0208635560670299E-7</v>
      </c>
      <c r="AV63">
        <f t="shared" si="85"/>
        <v>1.5707963267948966</v>
      </c>
      <c r="AW63" t="str">
        <f t="shared" si="60"/>
        <v>1+0.00061187807142453i</v>
      </c>
      <c r="AX63">
        <f t="shared" si="86"/>
        <v>1.0000001871973696</v>
      </c>
      <c r="AY63">
        <f t="shared" si="87"/>
        <v>6.1187799506322966E-4</v>
      </c>
      <c r="AZ63" t="str">
        <f t="shared" si="61"/>
        <v>1+0.020803854428434i</v>
      </c>
      <c r="BA63">
        <f t="shared" si="88"/>
        <v>1.0002163767700865</v>
      </c>
      <c r="BB63">
        <f t="shared" si="89"/>
        <v>2.0800853902350442E-2</v>
      </c>
      <c r="BC63" s="41" t="str">
        <f t="shared" si="90"/>
        <v>-0.55894442741233+27.6818639527561i</v>
      </c>
      <c r="BD63">
        <f t="shared" si="91"/>
        <v>28.845676879786815</v>
      </c>
      <c r="BE63" s="43">
        <f t="shared" si="92"/>
        <v>91.156743112178845</v>
      </c>
      <c r="BF63" s="41" t="str">
        <f t="shared" si="93"/>
        <v>10.3122085151661+528.374429548547i</v>
      </c>
      <c r="BG63" s="20">
        <f t="shared" si="94"/>
        <v>54.460489785436451</v>
      </c>
      <c r="BH63" s="43">
        <f t="shared" si="95"/>
        <v>88.881908377454693</v>
      </c>
      <c r="BI63" s="41" t="str">
        <f t="shared" si="101"/>
        <v>21.0215801306104+1924.64083875264i</v>
      </c>
      <c r="BJ63" s="20">
        <f t="shared" si="97"/>
        <v>65.687512007633615</v>
      </c>
      <c r="BK63" s="43">
        <f t="shared" si="102"/>
        <v>89.374220943726996</v>
      </c>
      <c r="BL63">
        <f t="shared" si="99"/>
        <v>54.460489785436451</v>
      </c>
      <c r="BM63" s="43">
        <f t="shared" si="100"/>
        <v>88.881908377454693</v>
      </c>
    </row>
    <row r="64" spans="1:65" x14ac:dyDescent="0.25">
      <c r="A64" t="s">
        <v>231</v>
      </c>
      <c r="B64" s="1">
        <f>(CCOMP+CHF)</f>
        <v>3.4000000000000003E-9</v>
      </c>
      <c r="E64" t="s">
        <v>241</v>
      </c>
      <c r="N64" s="9">
        <v>46</v>
      </c>
      <c r="O64" s="34">
        <f t="shared" si="62"/>
        <v>28.840315031266066</v>
      </c>
      <c r="P64" s="33" t="str">
        <f t="shared" si="50"/>
        <v>19.1021967526266</v>
      </c>
      <c r="Q64" s="4" t="str">
        <f t="shared" si="63"/>
        <v>1+0.0406725169625953i</v>
      </c>
      <c r="R64" s="4">
        <f t="shared" si="64"/>
        <v>1.0008267850312924</v>
      </c>
      <c r="S64" s="4">
        <f t="shared" si="65"/>
        <v>4.0650111643818009E-2</v>
      </c>
      <c r="T64" s="4" t="str">
        <f t="shared" si="51"/>
        <v>1+0.000681346004157395i</v>
      </c>
      <c r="U64" s="4">
        <f t="shared" si="66"/>
        <v>1.0000002321161618</v>
      </c>
      <c r="V64" s="4">
        <f t="shared" si="67"/>
        <v>6.8134589872313257E-4</v>
      </c>
      <c r="W64" t="str">
        <f t="shared" si="52"/>
        <v>1-0.000377518840956004i</v>
      </c>
      <c r="X64" s="4">
        <f t="shared" si="68"/>
        <v>1.000000071260235</v>
      </c>
      <c r="Y64" s="4">
        <f t="shared" si="69"/>
        <v>-3.7751882302128402E-4</v>
      </c>
      <c r="Z64" t="str">
        <f t="shared" si="53"/>
        <v>0.999999999168236+0.000280874017671267i</v>
      </c>
      <c r="AA64" s="4">
        <f t="shared" si="70"/>
        <v>1.0000000386133421</v>
      </c>
      <c r="AB64" s="4">
        <f t="shared" si="71"/>
        <v>2.8087401051881777E-4</v>
      </c>
      <c r="AC64" s="47" t="str">
        <f t="shared" si="72"/>
        <v>19.0706719098327-0.775213772657511i</v>
      </c>
      <c r="AD64" s="20">
        <f t="shared" si="73"/>
        <v>25.614490182955635</v>
      </c>
      <c r="AE64" s="43">
        <f t="shared" si="74"/>
        <v>-2.3277647201645029</v>
      </c>
      <c r="AF64" t="str">
        <f t="shared" si="54"/>
        <v>69.5520360182888</v>
      </c>
      <c r="AG64" t="str">
        <f t="shared" si="55"/>
        <v>1+0.0324450478170189i</v>
      </c>
      <c r="AH64">
        <f t="shared" si="75"/>
        <v>1.0005262021195889</v>
      </c>
      <c r="AI64">
        <f t="shared" si="76"/>
        <v>3.2433670239155346E-2</v>
      </c>
      <c r="AJ64" t="str">
        <f t="shared" si="56"/>
        <v>1+0.000681346004157395i</v>
      </c>
      <c r="AK64">
        <f t="shared" si="77"/>
        <v>1.0000002321161618</v>
      </c>
      <c r="AL64">
        <f t="shared" si="78"/>
        <v>6.8134589872313257E-4</v>
      </c>
      <c r="AM64" t="str">
        <f t="shared" si="57"/>
        <v>1-0.0000827102340299236i</v>
      </c>
      <c r="AN64">
        <f t="shared" si="79"/>
        <v>1.0000000034204914</v>
      </c>
      <c r="AO64">
        <f t="shared" si="80"/>
        <v>-8.2710233841317172E-5</v>
      </c>
      <c r="AP64" s="41" t="str">
        <f t="shared" si="81"/>
        <v>69.480250282547-2.21265370610994i</v>
      </c>
      <c r="AQ64">
        <f t="shared" si="82"/>
        <v>36.841629669417749</v>
      </c>
      <c r="AR64" s="43">
        <f t="shared" si="83"/>
        <v>-1.8240131217589315</v>
      </c>
      <c r="AS64" t="str">
        <f t="shared" si="58"/>
        <v>-0.0000166666666666667</v>
      </c>
      <c r="AT64" t="str">
        <f t="shared" si="59"/>
        <v>6.16110748440197E-07i</v>
      </c>
      <c r="AU64">
        <f t="shared" si="84"/>
        <v>6.1611074844019703E-7</v>
      </c>
      <c r="AV64">
        <f t="shared" si="85"/>
        <v>1.5707963267948966</v>
      </c>
      <c r="AW64" t="str">
        <f t="shared" si="60"/>
        <v>1+0.000626130542618984i</v>
      </c>
      <c r="AX64">
        <f t="shared" si="86"/>
        <v>1.0000001960197089</v>
      </c>
      <c r="AY64">
        <f t="shared" si="87"/>
        <v>6.2613046079637732E-4</v>
      </c>
      <c r="AZ64" t="str">
        <f t="shared" si="61"/>
        <v>1+0.0212884384490454i</v>
      </c>
      <c r="BA64">
        <f t="shared" si="88"/>
        <v>1.0002265731381059</v>
      </c>
      <c r="BB64">
        <f t="shared" si="89"/>
        <v>2.1285223366754109E-2</v>
      </c>
      <c r="BC64" s="41" t="str">
        <f t="shared" si="90"/>
        <v>-0.558944417549936+27.0517635514047i</v>
      </c>
      <c r="BD64">
        <f t="shared" si="91"/>
        <v>28.645765348073809</v>
      </c>
      <c r="BE64" s="43">
        <f t="shared" si="92"/>
        <v>91.183678832080034</v>
      </c>
      <c r="BF64" s="41" t="str">
        <f t="shared" si="93"/>
        <v>10.311454076796+516.328608681844i</v>
      </c>
      <c r="BG64" s="20">
        <f t="shared" si="94"/>
        <v>54.260255531029429</v>
      </c>
      <c r="BH64" s="43">
        <f t="shared" si="95"/>
        <v>88.855914111915538</v>
      </c>
      <c r="BI64" s="41" t="str">
        <f t="shared" si="101"/>
        <v>21.0205868534234+1880.80005257288i</v>
      </c>
      <c r="BJ64" s="20">
        <f t="shared" si="97"/>
        <v>65.487395017491551</v>
      </c>
      <c r="BK64" s="43">
        <f t="shared" si="102"/>
        <v>89.359665710321096</v>
      </c>
      <c r="BL64">
        <f t="shared" si="99"/>
        <v>54.260255531029429</v>
      </c>
      <c r="BM64" s="43">
        <f t="shared" si="100"/>
        <v>88.855914111915538</v>
      </c>
    </row>
    <row r="65" spans="1:65" x14ac:dyDescent="0.25">
      <c r="A65" t="s">
        <v>232</v>
      </c>
      <c r="B65" s="1">
        <f>(CCOMP+CHF)/(RCOMP*CHF*CCOMP)</f>
        <v>289410.96356826695</v>
      </c>
      <c r="E65" t="s">
        <v>242</v>
      </c>
      <c r="N65" s="9">
        <v>47</v>
      </c>
      <c r="O65" s="34">
        <f t="shared" si="62"/>
        <v>29.512092266663863</v>
      </c>
      <c r="P65" s="33" t="str">
        <f t="shared" si="50"/>
        <v>19.1021967526266</v>
      </c>
      <c r="Q65" s="4" t="str">
        <f t="shared" si="63"/>
        <v>1+0.0416199015862438i</v>
      </c>
      <c r="R65" s="4">
        <f t="shared" si="64"/>
        <v>1.0008657333569018</v>
      </c>
      <c r="S65" s="4">
        <f t="shared" si="65"/>
        <v>4.159589497605725E-2</v>
      </c>
      <c r="T65" s="4" t="str">
        <f t="shared" si="51"/>
        <v>1+0.000697216591372756i</v>
      </c>
      <c r="U65" s="4">
        <f t="shared" si="66"/>
        <v>1.000000243055458</v>
      </c>
      <c r="V65" s="4">
        <f t="shared" si="67"/>
        <v>6.9721647839790979E-4</v>
      </c>
      <c r="W65" t="str">
        <f t="shared" si="52"/>
        <v>1-0.000386312384404231i</v>
      </c>
      <c r="X65" s="4">
        <f t="shared" si="68"/>
        <v>1.0000000746186264</v>
      </c>
      <c r="Y65" s="4">
        <f t="shared" si="69"/>
        <v>-3.8631236518683231E-4</v>
      </c>
      <c r="Z65" t="str">
        <f t="shared" si="53"/>
        <v>0.999999999129036+0.000287416413996748i</v>
      </c>
      <c r="AA65" s="4">
        <f t="shared" si="70"/>
        <v>1.0000000404331328</v>
      </c>
      <c r="AB65" s="4">
        <f t="shared" si="71"/>
        <v>2.8741640633276065E-4</v>
      </c>
      <c r="AC65" s="47" t="str">
        <f t="shared" si="72"/>
        <v>19.0691887588995-0.793209092552499i</v>
      </c>
      <c r="AD65" s="20">
        <f t="shared" si="73"/>
        <v>25.614152276527513</v>
      </c>
      <c r="AE65" s="43">
        <f t="shared" si="74"/>
        <v>-2.3819234807229388</v>
      </c>
      <c r="AF65" t="str">
        <f t="shared" si="54"/>
        <v>69.5520360182888</v>
      </c>
      <c r="AG65" t="str">
        <f t="shared" si="55"/>
        <v>1+0.0332007900653694i</v>
      </c>
      <c r="AH65">
        <f t="shared" si="75"/>
        <v>1.0005509944330497</v>
      </c>
      <c r="AI65">
        <f t="shared" si="76"/>
        <v>3.3188599133608512E-2</v>
      </c>
      <c r="AJ65" t="str">
        <f t="shared" si="56"/>
        <v>1+0.000697216591372756i</v>
      </c>
      <c r="AK65">
        <f t="shared" si="77"/>
        <v>1.000000243055458</v>
      </c>
      <c r="AL65">
        <f t="shared" si="78"/>
        <v>6.9721647839790979E-4</v>
      </c>
      <c r="AM65" t="str">
        <f t="shared" si="57"/>
        <v>1-0.0000846368028727219i</v>
      </c>
      <c r="AN65">
        <f t="shared" si="79"/>
        <v>1.0000000035816941</v>
      </c>
      <c r="AO65">
        <f t="shared" si="80"/>
        <v>-8.4636802670626465E-5</v>
      </c>
      <c r="AP65" s="41" t="str">
        <f t="shared" si="81"/>
        <v>69.4768708501736-2.26408083198157i</v>
      </c>
      <c r="AQ65">
        <f t="shared" si="82"/>
        <v>36.841414538457933</v>
      </c>
      <c r="AR65" s="43">
        <f t="shared" si="83"/>
        <v>-1.8664684282726454</v>
      </c>
      <c r="AS65" t="str">
        <f t="shared" si="58"/>
        <v>-0.0000166666666666667</v>
      </c>
      <c r="AT65" t="str">
        <f t="shared" si="59"/>
        <v>6.30461811347704E-07i</v>
      </c>
      <c r="AU65">
        <f t="shared" si="84"/>
        <v>6.3046181134770395E-7</v>
      </c>
      <c r="AV65">
        <f t="shared" si="85"/>
        <v>1.5707963267948966</v>
      </c>
      <c r="AW65" t="str">
        <f t="shared" si="60"/>
        <v>1+0.000640714996514952i</v>
      </c>
      <c r="AX65">
        <f t="shared" si="86"/>
        <v>1.0000002052578323</v>
      </c>
      <c r="AY65">
        <f t="shared" si="87"/>
        <v>6.4071490884045029E-4</v>
      </c>
      <c r="AZ65" t="str">
        <f t="shared" si="61"/>
        <v>1+0.0217843098815084i</v>
      </c>
      <c r="BA65">
        <f t="shared" si="88"/>
        <v>1.0002372499347409</v>
      </c>
      <c r="BB65">
        <f t="shared" si="89"/>
        <v>2.1780864902896512E-2</v>
      </c>
      <c r="BC65" s="41" t="str">
        <f t="shared" si="90"/>
        <v>-0.558944407222746+26.4360063531601i</v>
      </c>
      <c r="BD65">
        <f t="shared" si="91"/>
        <v>28.445857983807858</v>
      </c>
      <c r="BE65" s="43">
        <f t="shared" si="92"/>
        <v>91.211241372932918</v>
      </c>
      <c r="BF65" s="41" t="str">
        <f t="shared" si="93"/>
        <v>10.3106642030405+504.556554965917i</v>
      </c>
      <c r="BG65" s="20">
        <f t="shared" si="94"/>
        <v>54.060010260335368</v>
      </c>
      <c r="BH65" s="43">
        <f t="shared" si="95"/>
        <v>88.82931789221</v>
      </c>
      <c r="BI65" s="41" t="str">
        <f t="shared" si="101"/>
        <v>21.0195468652912+1837.95649451141i</v>
      </c>
      <c r="BJ65" s="20">
        <f t="shared" si="97"/>
        <v>65.287272522265795</v>
      </c>
      <c r="BK65" s="43">
        <f t="shared" si="102"/>
        <v>89.344772944660292</v>
      </c>
      <c r="BL65">
        <f t="shared" si="99"/>
        <v>54.060010260335368</v>
      </c>
      <c r="BM65" s="43">
        <f t="shared" si="100"/>
        <v>88.82931789221</v>
      </c>
    </row>
    <row r="66" spans="1:65" x14ac:dyDescent="0.25">
      <c r="N66" s="9">
        <v>48</v>
      </c>
      <c r="O66" s="34">
        <f t="shared" si="62"/>
        <v>30.199517204020164</v>
      </c>
      <c r="P66" s="33" t="str">
        <f t="shared" si="50"/>
        <v>19.1021967526266</v>
      </c>
      <c r="Q66" s="4" t="str">
        <f t="shared" si="63"/>
        <v>1+0.042589353632618i</v>
      </c>
      <c r="R66" s="4">
        <f t="shared" si="64"/>
        <v>1.0009065156361228</v>
      </c>
      <c r="S66" s="4">
        <f t="shared" si="65"/>
        <v>4.2563631344464267E-2</v>
      </c>
      <c r="T66" s="4" t="str">
        <f t="shared" si="51"/>
        <v>1+0.000713456852053615i</v>
      </c>
      <c r="U66" s="4">
        <f t="shared" si="66"/>
        <v>1.0000002545103075</v>
      </c>
      <c r="V66" s="4">
        <f t="shared" si="67"/>
        <v>7.1345673099888795E-4</v>
      </c>
      <c r="W66" t="str">
        <f t="shared" si="52"/>
        <v>1-0.000395310755792119i</v>
      </c>
      <c r="X66" s="4">
        <f t="shared" si="68"/>
        <v>1.0000000781352938</v>
      </c>
      <c r="Y66" s="4">
        <f t="shared" si="69"/>
        <v>-3.9531073520030543E-4</v>
      </c>
      <c r="Z66" t="str">
        <f t="shared" si="53"/>
        <v>0.999999999087989+0.000294111202309336i</v>
      </c>
      <c r="AA66" s="4">
        <f t="shared" si="70"/>
        <v>1.0000000423386877</v>
      </c>
      <c r="AB66" s="4">
        <f t="shared" si="71"/>
        <v>2.9411119409722555E-4</v>
      </c>
      <c r="AC66" s="47" t="str">
        <f t="shared" si="72"/>
        <v>19.0676359566331-0.811619173050818i</v>
      </c>
      <c r="AD66" s="20">
        <f t="shared" si="73"/>
        <v>25.613798473254775</v>
      </c>
      <c r="AE66" s="43">
        <f t="shared" si="74"/>
        <v>-2.4373393440896192</v>
      </c>
      <c r="AF66" t="str">
        <f t="shared" si="54"/>
        <v>69.5520360182888</v>
      </c>
      <c r="AG66" t="str">
        <f t="shared" si="55"/>
        <v>1+0.033974135812077i</v>
      </c>
      <c r="AH66">
        <f t="shared" si="75"/>
        <v>1.0005769545138332</v>
      </c>
      <c r="AI66">
        <f t="shared" si="76"/>
        <v>3.3961073400123484E-2</v>
      </c>
      <c r="AJ66" t="str">
        <f t="shared" si="56"/>
        <v>1+0.000713456852053615i</v>
      </c>
      <c r="AK66">
        <f t="shared" si="77"/>
        <v>1.0000002545103075</v>
      </c>
      <c r="AL66">
        <f t="shared" si="78"/>
        <v>7.1345673099888795E-4</v>
      </c>
      <c r="AM66" t="str">
        <f t="shared" si="57"/>
        <v>1-0.000086608247268704i</v>
      </c>
      <c r="AN66">
        <f t="shared" si="79"/>
        <v>1.0000000037504941</v>
      </c>
      <c r="AO66">
        <f t="shared" si="80"/>
        <v>-8.6608247052154851E-5</v>
      </c>
      <c r="AP66" s="41" t="str">
        <f t="shared" si="81"/>
        <v>69.4733325090379-2.31669783724162i</v>
      </c>
      <c r="AQ66">
        <f t="shared" si="82"/>
        <v>36.841189280119842</v>
      </c>
      <c r="AR66" s="43">
        <f t="shared" si="83"/>
        <v>-1.9099104010367554</v>
      </c>
      <c r="AS66" t="str">
        <f t="shared" si="58"/>
        <v>-0.0000166666666666667</v>
      </c>
      <c r="AT66" t="str">
        <f t="shared" si="59"/>
        <v>6.45147153452737E-07i</v>
      </c>
      <c r="AU66">
        <f t="shared" si="84"/>
        <v>6.4514715345273702E-7</v>
      </c>
      <c r="AV66">
        <f t="shared" si="85"/>
        <v>1.5707963267948966</v>
      </c>
      <c r="AW66" t="str">
        <f t="shared" si="60"/>
        <v>1+0.000655639165982938i</v>
      </c>
      <c r="AX66">
        <f t="shared" si="86"/>
        <v>1.0000002149313347</v>
      </c>
      <c r="AY66">
        <f t="shared" si="87"/>
        <v>6.5563907203801798E-4</v>
      </c>
      <c r="AZ66" t="str">
        <f t="shared" si="61"/>
        <v>1+0.0222917316434199i</v>
      </c>
      <c r="BA66">
        <f t="shared" si="88"/>
        <v>1.0002484297911505</v>
      </c>
      <c r="BB66">
        <f t="shared" si="89"/>
        <v>2.2288040331845563E-2</v>
      </c>
      <c r="BC66" s="41" t="str">
        <f t="shared" si="90"/>
        <v>-0.558944396408846+25.8342658754052i</v>
      </c>
      <c r="BD66">
        <f t="shared" si="91"/>
        <v>28.245954983208108</v>
      </c>
      <c r="BE66" s="43">
        <f t="shared" si="92"/>
        <v>91.23944529292045</v>
      </c>
      <c r="BF66" s="41" t="str">
        <f t="shared" si="93"/>
        <v>10.3098372354474+493.05202690789i</v>
      </c>
      <c r="BG66" s="20">
        <f t="shared" si="94"/>
        <v>53.859753456462876</v>
      </c>
      <c r="BH66" s="43">
        <f t="shared" si="95"/>
        <v>88.802105948830842</v>
      </c>
      <c r="BI66" s="41" t="str">
        <f t="shared" si="101"/>
        <v>21.018457974501+1796.08744856322i</v>
      </c>
      <c r="BJ66" s="20">
        <f t="shared" si="97"/>
        <v>65.087144263327971</v>
      </c>
      <c r="BK66" s="43">
        <f t="shared" si="102"/>
        <v>89.329534891883711</v>
      </c>
      <c r="BL66">
        <f t="shared" si="99"/>
        <v>53.859753456462876</v>
      </c>
      <c r="BM66" s="43">
        <f t="shared" si="100"/>
        <v>88.802105948830842</v>
      </c>
    </row>
    <row r="67" spans="1:65" x14ac:dyDescent="0.25">
      <c r="N67" s="9">
        <v>49</v>
      </c>
      <c r="O67" s="34">
        <f t="shared" si="62"/>
        <v>30.902954325135919</v>
      </c>
      <c r="P67" s="33" t="str">
        <f t="shared" si="50"/>
        <v>19.1021967526266</v>
      </c>
      <c r="Q67" s="4" t="str">
        <f t="shared" si="63"/>
        <v>1+0.0435813871180248i</v>
      </c>
      <c r="R67" s="4">
        <f t="shared" si="64"/>
        <v>1.0009492181440232</v>
      </c>
      <c r="S67" s="4">
        <f t="shared" si="65"/>
        <v>4.3553826601152611E-2</v>
      </c>
      <c r="T67" s="4" t="str">
        <f t="shared" si="51"/>
        <v>1+0.00073007539700115i</v>
      </c>
      <c r="U67" s="4">
        <f t="shared" si="66"/>
        <v>1.0000002665050072</v>
      </c>
      <c r="V67" s="4">
        <f t="shared" si="67"/>
        <v>7.3007526728867498E-4</v>
      </c>
      <c r="W67" t="str">
        <f t="shared" si="52"/>
        <v>1-0.000404518726175283i</v>
      </c>
      <c r="X67" s="4">
        <f t="shared" si="68"/>
        <v>1.0000000818176966</v>
      </c>
      <c r="Y67" s="4">
        <f t="shared" si="69"/>
        <v>-4.0451870411075736E-4</v>
      </c>
      <c r="Z67" t="str">
        <f t="shared" si="53"/>
        <v>0.999999999045007+0.000300961932274411i</v>
      </c>
      <c r="AA67" s="4">
        <f t="shared" si="70"/>
        <v>1.0000000443340484</v>
      </c>
      <c r="AB67" s="4">
        <f t="shared" si="71"/>
        <v>3.0096192347497621E-4</v>
      </c>
      <c r="AC67" s="47" t="str">
        <f t="shared" si="72"/>
        <v>19.0660102442711-0.830453361462368i</v>
      </c>
      <c r="AD67" s="20">
        <f t="shared" si="73"/>
        <v>25.613428026657282</v>
      </c>
      <c r="AE67" s="43">
        <f t="shared" si="74"/>
        <v>-2.4940412768370308</v>
      </c>
      <c r="AF67" t="str">
        <f t="shared" si="54"/>
        <v>69.5520360182888</v>
      </c>
      <c r="AG67" t="str">
        <f t="shared" si="55"/>
        <v>1+0.0347654950952929i</v>
      </c>
      <c r="AH67">
        <f t="shared" si="75"/>
        <v>1.0006041373336514</v>
      </c>
      <c r="AI67">
        <f t="shared" si="76"/>
        <v>3.4751498925088532E-2</v>
      </c>
      <c r="AJ67" t="str">
        <f t="shared" si="56"/>
        <v>1+0.00073007539700115i</v>
      </c>
      <c r="AK67">
        <f t="shared" si="77"/>
        <v>1.0000002665050072</v>
      </c>
      <c r="AL67">
        <f t="shared" si="78"/>
        <v>7.3007526728867498E-4</v>
      </c>
      <c r="AM67" t="str">
        <f t="shared" si="57"/>
        <v>1-0.0000886256125037834i</v>
      </c>
      <c r="AN67">
        <f t="shared" si="79"/>
        <v>1.0000000039272496</v>
      </c>
      <c r="AO67">
        <f t="shared" si="80"/>
        <v>-8.8625612271746798E-5</v>
      </c>
      <c r="AP67" s="41" t="str">
        <f t="shared" si="81"/>
        <v>69.4696278045731-2.37053186619643i</v>
      </c>
      <c r="AQ67">
        <f t="shared" si="82"/>
        <v>36.840953418216436</v>
      </c>
      <c r="AR67" s="43">
        <f t="shared" si="83"/>
        <v>-1.9543618621584018</v>
      </c>
      <c r="AS67" t="str">
        <f t="shared" si="58"/>
        <v>-0.0000166666666666667</v>
      </c>
      <c r="AT67" t="str">
        <f t="shared" si="59"/>
        <v>6.60174561118062E-07i</v>
      </c>
      <c r="AU67">
        <f t="shared" si="84"/>
        <v>6.6017456111806198E-7</v>
      </c>
      <c r="AV67">
        <f t="shared" si="85"/>
        <v>1.5707963267948966</v>
      </c>
      <c r="AW67" t="str">
        <f t="shared" si="60"/>
        <v>1+0.000670910964015138i</v>
      </c>
      <c r="AX67">
        <f t="shared" si="86"/>
        <v>1.0000002250607354</v>
      </c>
      <c r="AY67">
        <f t="shared" si="87"/>
        <v>6.7091086335134391E-4</v>
      </c>
      <c r="AZ67" t="str">
        <f t="shared" si="61"/>
        <v>1+0.0228109727765147i</v>
      </c>
      <c r="BA67">
        <f t="shared" si="88"/>
        <v>1.0002601364040311</v>
      </c>
      <c r="BB67">
        <f t="shared" si="89"/>
        <v>2.2807017520455438E-2</v>
      </c>
      <c r="BC67" s="41" t="str">
        <f t="shared" si="90"/>
        <v>-0.558944385085304+25.2462230673737i</v>
      </c>
      <c r="BD67">
        <f t="shared" si="91"/>
        <v>28.046056551723243</v>
      </c>
      <c r="BE67" s="43">
        <f t="shared" si="92"/>
        <v>91.268305486303504</v>
      </c>
      <c r="BF67" s="41" t="str">
        <f t="shared" si="93"/>
        <v>10.308971438515+481.808924875165i</v>
      </c>
      <c r="BG67" s="20">
        <f t="shared" si="94"/>
        <v>53.659484578380528</v>
      </c>
      <c r="BH67" s="43">
        <f t="shared" si="95"/>
        <v>88.77426420946648</v>
      </c>
      <c r="BI67" s="41" t="str">
        <f t="shared" si="101"/>
        <v>21.0173178869807+1755.17071543795i</v>
      </c>
      <c r="BJ67" s="20">
        <f t="shared" si="97"/>
        <v>64.887009969939655</v>
      </c>
      <c r="BK67" s="43">
        <f t="shared" si="102"/>
        <v>89.313943624145111</v>
      </c>
      <c r="BL67">
        <f t="shared" si="99"/>
        <v>53.659484578380528</v>
      </c>
      <c r="BM67" s="43">
        <f t="shared" si="100"/>
        <v>88.77426420946648</v>
      </c>
    </row>
    <row r="68" spans="1:65" x14ac:dyDescent="0.25">
      <c r="N68" s="9">
        <v>50</v>
      </c>
      <c r="O68" s="34">
        <f t="shared" si="62"/>
        <v>31.622776601683803</v>
      </c>
      <c r="P68" s="33" t="str">
        <f t="shared" si="50"/>
        <v>19.1021967526266</v>
      </c>
      <c r="Q68" s="4" t="str">
        <f t="shared" si="63"/>
        <v>1+0.0445965280317494i</v>
      </c>
      <c r="R68" s="4">
        <f t="shared" si="64"/>
        <v>1.0009939312066216</v>
      </c>
      <c r="S68" s="4">
        <f t="shared" si="65"/>
        <v>4.4566997989344437E-2</v>
      </c>
      <c r="T68" s="4" t="str">
        <f t="shared" si="51"/>
        <v>1+0.000747081037587866i</v>
      </c>
      <c r="U68" s="4">
        <f t="shared" si="66"/>
        <v>1.0000002790649996</v>
      </c>
      <c r="V68" s="4">
        <f t="shared" si="67"/>
        <v>7.4708089859844696E-4</v>
      </c>
      <c r="W68" t="str">
        <f t="shared" si="52"/>
        <v>1-0.000413941177741504i</v>
      </c>
      <c r="X68" s="4">
        <f t="shared" si="68"/>
        <v>1.0000000856736455</v>
      </c>
      <c r="Y68" s="4">
        <f t="shared" si="69"/>
        <v>-4.1394115409893888E-4</v>
      </c>
      <c r="Z68" t="str">
        <f t="shared" si="53"/>
        <v>0.999999999+0.000307972236239679i</v>
      </c>
      <c r="AA68" s="4">
        <f t="shared" si="70"/>
        <v>1.000000046423448</v>
      </c>
      <c r="AB68" s="4">
        <f t="shared" si="71"/>
        <v>3.0797222681091467E-4</v>
      </c>
      <c r="AC68" s="47" t="str">
        <f t="shared" si="72"/>
        <v>19.0643082117574-0.849721200543903i</v>
      </c>
      <c r="AD68" s="20">
        <f t="shared" si="73"/>
        <v>25.613040155335696</v>
      </c>
      <c r="AE68" s="43">
        <f t="shared" si="74"/>
        <v>-2.5520588978130769</v>
      </c>
      <c r="AF68" t="str">
        <f t="shared" si="54"/>
        <v>69.5520360182888</v>
      </c>
      <c r="AG68" t="str">
        <f t="shared" si="55"/>
        <v>1+0.0355752875041841i</v>
      </c>
      <c r="AH68">
        <f t="shared" si="75"/>
        <v>1.0006326004488386</v>
      </c>
      <c r="AI68">
        <f t="shared" si="76"/>
        <v>3.5560290849633226E-2</v>
      </c>
      <c r="AJ68" t="str">
        <f t="shared" si="56"/>
        <v>1+0.000747081037587866i</v>
      </c>
      <c r="AK68">
        <f t="shared" si="77"/>
        <v>1.0000002790649996</v>
      </c>
      <c r="AL68">
        <f t="shared" si="78"/>
        <v>7.4708089859844696E-4</v>
      </c>
      <c r="AM68" t="str">
        <f t="shared" si="57"/>
        <v>1-0.0000906899682117111i</v>
      </c>
      <c r="AN68">
        <f t="shared" si="79"/>
        <v>1.0000000041123351</v>
      </c>
      <c r="AO68">
        <f t="shared" si="80"/>
        <v>-9.0689967963079399E-5</v>
      </c>
      <c r="AP68" s="41" t="str">
        <f t="shared" si="81"/>
        <v>69.4657489342157-2.42561065472886i</v>
      </c>
      <c r="AQ68">
        <f t="shared" si="82"/>
        <v>36.840706454224758</v>
      </c>
      <c r="AR68" s="43">
        <f t="shared" si="83"/>
        <v>-1.9998461539055929</v>
      </c>
      <c r="AS68" t="str">
        <f t="shared" si="58"/>
        <v>-0.0000166666666666667</v>
      </c>
      <c r="AT68" t="str">
        <f t="shared" si="59"/>
        <v>6.75552002074135E-07i</v>
      </c>
      <c r="AU68">
        <f t="shared" si="84"/>
        <v>6.7555200207413496E-7</v>
      </c>
      <c r="AV68">
        <f t="shared" si="85"/>
        <v>1.5707963267948966</v>
      </c>
      <c r="AW68" t="str">
        <f t="shared" si="60"/>
        <v>1+0.000686538487921015i</v>
      </c>
      <c r="AX68">
        <f t="shared" si="86"/>
        <v>1.0000002356675199</v>
      </c>
      <c r="AY68">
        <f t="shared" si="87"/>
        <v>6.8653838005781757E-4</v>
      </c>
      <c r="AZ68" t="str">
        <f t="shared" si="61"/>
        <v>1+0.0233423085893145i</v>
      </c>
      <c r="BA68">
        <f t="shared" si="88"/>
        <v>1.0002723945857341</v>
      </c>
      <c r="BB68">
        <f t="shared" si="89"/>
        <v>2.3338070518420649E-2</v>
      </c>
      <c r="BC68" s="41" t="str">
        <f t="shared" si="90"/>
        <v>-0.558944373228101+24.6715661409852i</v>
      </c>
      <c r="BD68">
        <f t="shared" si="91"/>
        <v>27.846162904464776</v>
      </c>
      <c r="BE68" s="43">
        <f t="shared" si="92"/>
        <v>91.297837191033125</v>
      </c>
      <c r="BF68" s="41" t="str">
        <f t="shared" si="93"/>
        <v>10.3080649961682+470.821287862357i</v>
      </c>
      <c r="BG68" s="20">
        <f t="shared" si="94"/>
        <v>53.45920305980048</v>
      </c>
      <c r="BH68" s="43">
        <f t="shared" si="95"/>
        <v>88.745778293220056</v>
      </c>
      <c r="BI68" s="41" t="str">
        <f t="shared" si="101"/>
        <v>21.0161242015657+1715.18460079068i</v>
      </c>
      <c r="BJ68" s="20">
        <f t="shared" si="97"/>
        <v>64.686869358689549</v>
      </c>
      <c r="BK68" s="43">
        <f t="shared" si="102"/>
        <v>89.297991037127545</v>
      </c>
      <c r="BL68">
        <f t="shared" si="99"/>
        <v>53.45920305980048</v>
      </c>
      <c r="BM68" s="43">
        <f t="shared" si="100"/>
        <v>88.745778293220056</v>
      </c>
    </row>
    <row r="69" spans="1:65" x14ac:dyDescent="0.25">
      <c r="A69" s="49" t="s">
        <v>457</v>
      </c>
      <c r="N69" s="9">
        <v>51</v>
      </c>
      <c r="O69" s="34">
        <f t="shared" si="62"/>
        <v>32.359365692962832</v>
      </c>
      <c r="P69" s="33" t="str">
        <f t="shared" si="50"/>
        <v>19.1021967526266</v>
      </c>
      <c r="Q69" s="4" t="str">
        <f t="shared" si="63"/>
        <v>1+0.0456353146149414i</v>
      </c>
      <c r="R69" s="4">
        <f t="shared" si="64"/>
        <v>1.0010407493903557</v>
      </c>
      <c r="S69" s="4">
        <f t="shared" si="65"/>
        <v>4.5603674380888297E-2</v>
      </c>
      <c r="T69" s="4" t="str">
        <f t="shared" si="51"/>
        <v>1+0.000764482790429497i</v>
      </c>
      <c r="U69" s="4">
        <f t="shared" si="66"/>
        <v>1.0000002922169258</v>
      </c>
      <c r="V69" s="4">
        <f t="shared" si="67"/>
        <v>7.6448264149965356E-4</v>
      </c>
      <c r="W69" t="str">
        <f t="shared" si="52"/>
        <v>1-0.000423583106399323i</v>
      </c>
      <c r="X69" s="4">
        <f t="shared" si="68"/>
        <v>1.0000000897113199</v>
      </c>
      <c r="Y69" s="4">
        <f t="shared" si="69"/>
        <v>-4.2358308106585818E-4</v>
      </c>
      <c r="Z69" t="str">
        <f t="shared" si="53"/>
        <v>0.999999998952872+0.000315145831161096i</v>
      </c>
      <c r="AA69" s="4">
        <f t="shared" si="70"/>
        <v>1.0000000486113181</v>
      </c>
      <c r="AB69" s="4">
        <f t="shared" si="71"/>
        <v>3.1514582105799283E-4</v>
      </c>
      <c r="AC69" s="47" t="str">
        <f t="shared" si="72"/>
        <v>19.0625262908307-0.869432431477055i</v>
      </c>
      <c r="AD69" s="20">
        <f t="shared" si="73"/>
        <v>25.612634041350706</v>
      </c>
      <c r="AE69" s="43">
        <f t="shared" si="74"/>
        <v>-2.6114224917408588</v>
      </c>
      <c r="AF69" t="str">
        <f t="shared" si="54"/>
        <v>69.5520360182888</v>
      </c>
      <c r="AG69" t="str">
        <f t="shared" si="55"/>
        <v>1+0.0364039424014047i</v>
      </c>
      <c r="AH69">
        <f t="shared" si="75"/>
        <v>1.0006624041215724</v>
      </c>
      <c r="AI69">
        <f t="shared" si="76"/>
        <v>3.6387873770990356E-2</v>
      </c>
      <c r="AJ69" t="str">
        <f t="shared" si="56"/>
        <v>1+0.000764482790429497i</v>
      </c>
      <c r="AK69">
        <f t="shared" si="77"/>
        <v>1.0000002922169258</v>
      </c>
      <c r="AL69">
        <f t="shared" si="78"/>
        <v>7.6448264149965356E-4</v>
      </c>
      <c r="AM69" t="str">
        <f t="shared" si="57"/>
        <v>1-0.0000928024089412082i</v>
      </c>
      <c r="AN69">
        <f t="shared" si="79"/>
        <v>1.0000000043061434</v>
      </c>
      <c r="AO69">
        <f t="shared" si="80"/>
        <v>-9.2802408674794537E-5</v>
      </c>
      <c r="AP69" s="41" t="str">
        <f t="shared" si="81"/>
        <v>69.4616877313248-2.48196254118946i</v>
      </c>
      <c r="AQ69">
        <f t="shared" si="82"/>
        <v>36.84044786624348</v>
      </c>
      <c r="AR69" s="43">
        <f t="shared" si="83"/>
        <v>-2.0463871500093092</v>
      </c>
      <c r="AS69" t="str">
        <f t="shared" si="58"/>
        <v>-0.0000166666666666667</v>
      </c>
      <c r="AT69" t="str">
        <f t="shared" si="59"/>
        <v>6.91287629643696E-07i</v>
      </c>
      <c r="AU69">
        <f t="shared" si="84"/>
        <v>6.9128762964369598E-7</v>
      </c>
      <c r="AV69">
        <f t="shared" si="85"/>
        <v>1.5707963267948966</v>
      </c>
      <c r="AW69" t="str">
        <f t="shared" si="60"/>
        <v>1+0.000702530023620599i</v>
      </c>
      <c r="AX69">
        <f t="shared" si="86"/>
        <v>1.0000002467741866</v>
      </c>
      <c r="AY69">
        <f t="shared" si="87"/>
        <v>7.0252990804310221E-4</v>
      </c>
      <c r="AZ69" t="str">
        <f t="shared" si="61"/>
        <v>1+0.0238860208031004i</v>
      </c>
      <c r="BA69">
        <f t="shared" si="88"/>
        <v>1.0002852303167362</v>
      </c>
      <c r="BB69">
        <f t="shared" si="89"/>
        <v>2.3881479698254479E-2</v>
      </c>
      <c r="BC69" s="41" t="str">
        <f t="shared" si="90"/>
        <v>-0.558944360812088+24.1099904055306i</v>
      </c>
      <c r="BD69">
        <f t="shared" si="91"/>
        <v>27.64627426666037</v>
      </c>
      <c r="BE69" s="43">
        <f t="shared" si="92"/>
        <v>91.328055996524753</v>
      </c>
      <c r="BF69" s="41" t="str">
        <f t="shared" si="93"/>
        <v>10.3071160080769+460.083290331784i</v>
      </c>
      <c r="BG69" s="20">
        <f t="shared" si="94"/>
        <v>53.258908308011073</v>
      </c>
      <c r="BH69" s="43">
        <f t="shared" si="95"/>
        <v>88.716633504783914</v>
      </c>
      <c r="BI69" s="41" t="str">
        <f t="shared" si="101"/>
        <v>21.01487440505+1676.10790372035i</v>
      </c>
      <c r="BJ69" s="20">
        <f t="shared" si="97"/>
        <v>64.48672213290385</v>
      </c>
      <c r="BK69" s="43">
        <f t="shared" si="102"/>
        <v>89.281668846515458</v>
      </c>
      <c r="BL69">
        <f t="shared" si="99"/>
        <v>53.258908308011073</v>
      </c>
      <c r="BM69" s="43">
        <f t="shared" si="100"/>
        <v>88.716633504783914</v>
      </c>
    </row>
    <row r="70" spans="1:65" x14ac:dyDescent="0.25">
      <c r="A70" t="s">
        <v>480</v>
      </c>
      <c r="B70">
        <f>SQRT((2*IOUT*Lm*Fsw*(VOUT-VIN_var)/(VIN_var^2)))</f>
        <v>1.8257418583505536</v>
      </c>
      <c r="E70" s="31"/>
      <c r="N70" s="9">
        <v>52</v>
      </c>
      <c r="O70" s="34">
        <f t="shared" si="62"/>
        <v>33.113112148259127</v>
      </c>
      <c r="P70" s="33" t="str">
        <f t="shared" si="50"/>
        <v>19.1021967526266</v>
      </c>
      <c r="Q70" s="4" t="str">
        <f t="shared" si="63"/>
        <v>1+0.0466982976459972i</v>
      </c>
      <c r="R70" s="4">
        <f t="shared" si="64"/>
        <v>1.0010897717003377</v>
      </c>
      <c r="S70" s="4">
        <f t="shared" si="65"/>
        <v>4.6664396517344629E-2</v>
      </c>
      <c r="T70" s="4" t="str">
        <f t="shared" si="51"/>
        <v>1+0.000782289882165743i</v>
      </c>
      <c r="U70" s="4">
        <f t="shared" si="66"/>
        <v>1.0000003059886831</v>
      </c>
      <c r="V70" s="4">
        <f t="shared" si="67"/>
        <v>7.8228972258454334E-4</v>
      </c>
      <c r="W70" t="str">
        <f t="shared" si="52"/>
        <v>1-0.000433449624426942i</v>
      </c>
      <c r="X70" s="4">
        <f t="shared" si="68"/>
        <v>1.0000000939392841</v>
      </c>
      <c r="Y70" s="4">
        <f t="shared" si="69"/>
        <v>-4.3344959728164551E-4</v>
      </c>
      <c r="Z70" t="str">
        <f t="shared" si="53"/>
        <v>0.999999998903522+0.000322486520573644i</v>
      </c>
      <c r="AA70" s="4">
        <f t="shared" si="70"/>
        <v>1.0000000509022986</v>
      </c>
      <c r="AB70" s="4">
        <f t="shared" si="71"/>
        <v>3.2248650974797406E-4</v>
      </c>
      <c r="AC70" s="47" t="str">
        <f t="shared" si="72"/>
        <v>19.0606607478087-0.889596996805427i</v>
      </c>
      <c r="AD70" s="20">
        <f t="shared" si="73"/>
        <v>25.612208828528452</v>
      </c>
      <c r="AE70" s="43">
        <f t="shared" si="74"/>
        <v>-2.6721630230226152</v>
      </c>
      <c r="AF70" t="str">
        <f t="shared" si="54"/>
        <v>69.5520360182888</v>
      </c>
      <c r="AG70" t="str">
        <f t="shared" si="55"/>
        <v>1+0.0372518991507498i</v>
      </c>
      <c r="AH70">
        <f t="shared" si="75"/>
        <v>1.0006936114467493</v>
      </c>
      <c r="AI70">
        <f t="shared" si="76"/>
        <v>3.7234681947540461E-2</v>
      </c>
      <c r="AJ70" t="str">
        <f t="shared" si="56"/>
        <v>1+0.000782289882165743i</v>
      </c>
      <c r="AK70">
        <f t="shared" si="77"/>
        <v>1.0000003059886831</v>
      </c>
      <c r="AL70">
        <f t="shared" si="78"/>
        <v>7.8228972258454334E-4</v>
      </c>
      <c r="AM70" t="str">
        <f t="shared" si="57"/>
        <v>1-0.0000949640547363115i</v>
      </c>
      <c r="AN70">
        <f t="shared" si="79"/>
        <v>1.0000000045090858</v>
      </c>
      <c r="AO70">
        <f t="shared" si="80"/>
        <v>-9.4964054450844123E-5</v>
      </c>
      <c r="AP70" s="41" t="str">
        <f t="shared" si="81"/>
        <v>69.4574356483739-2.53961647733724i</v>
      </c>
      <c r="AQ70">
        <f t="shared" si="82"/>
        <v>36.840177107902306</v>
      </c>
      <c r="AR70" s="43">
        <f t="shared" si="83"/>
        <v>-2.0940092671709492</v>
      </c>
      <c r="AS70" t="str">
        <f t="shared" si="58"/>
        <v>-0.0000166666666666667</v>
      </c>
      <c r="AT70" t="str">
        <f t="shared" si="59"/>
        <v>7.07389787064768E-07i</v>
      </c>
      <c r="AU70">
        <f t="shared" si="84"/>
        <v>7.0738978706476796E-7</v>
      </c>
      <c r="AV70">
        <f t="shared" si="85"/>
        <v>1.5707963267948966</v>
      </c>
      <c r="AW70" t="str">
        <f t="shared" si="60"/>
        <v>1+0.000718894050037794i</v>
      </c>
      <c r="AX70">
        <f t="shared" si="86"/>
        <v>1.0000002584042942</v>
      </c>
      <c r="AY70">
        <f t="shared" si="87"/>
        <v>7.1889392619427662E-4</v>
      </c>
      <c r="AZ70" t="str">
        <f t="shared" si="61"/>
        <v>1+0.024442397701285i</v>
      </c>
      <c r="BA70">
        <f t="shared" si="88"/>
        <v>1.0002986708005703</v>
      </c>
      <c r="BB70">
        <f t="shared" si="89"/>
        <v>2.4437531898239565E-2</v>
      </c>
      <c r="BC70" s="41" t="str">
        <f t="shared" si="90"/>
        <v>-0.558944347810926+23.5611981061215i</v>
      </c>
      <c r="BD70">
        <f t="shared" si="91"/>
        <v>27.446390874128678</v>
      </c>
      <c r="BE70" s="43">
        <f t="shared" si="92"/>
        <v>91.358977851596933</v>
      </c>
      <c r="BF70" s="41" t="str">
        <f t="shared" si="93"/>
        <v>10.3061224858142+449.589239125889i</v>
      </c>
      <c r="BG70" s="20">
        <f t="shared" si="94"/>
        <v>53.058599702657133</v>
      </c>
      <c r="BH70" s="43">
        <f t="shared" si="95"/>
        <v>88.686814828574313</v>
      </c>
      <c r="BI70" s="41" t="str">
        <f t="shared" si="101"/>
        <v>21.0135658670134+1637.91990553014i</v>
      </c>
      <c r="BJ70" s="20">
        <f t="shared" si="97"/>
        <v>64.286567982030988</v>
      </c>
      <c r="BK70" s="43">
        <f t="shared" si="102"/>
        <v>89.264968584425986</v>
      </c>
      <c r="BL70">
        <f t="shared" si="99"/>
        <v>53.058599702657133</v>
      </c>
      <c r="BM70" s="43">
        <f t="shared" si="100"/>
        <v>88.686814828574313</v>
      </c>
    </row>
    <row r="71" spans="1:65" x14ac:dyDescent="0.25">
      <c r="A71" t="s">
        <v>459</v>
      </c>
      <c r="B71">
        <f>(Fsw*Gcomp)/((R_cs*Acs*(VIN_var/Lm))+((R_sl+Rsl_int)*Isl))</f>
        <v>11.111105555558334</v>
      </c>
      <c r="C71" t="s">
        <v>150</v>
      </c>
      <c r="E71" s="158"/>
      <c r="N71" s="9">
        <v>53</v>
      </c>
      <c r="O71" s="34">
        <f t="shared" si="62"/>
        <v>33.884415613920268</v>
      </c>
      <c r="P71" s="33" t="str">
        <f t="shared" si="50"/>
        <v>19.1021967526266</v>
      </c>
      <c r="Q71" s="4" t="str">
        <f t="shared" si="63"/>
        <v>1+0.0477860407325895i</v>
      </c>
      <c r="R71" s="4">
        <f t="shared" si="64"/>
        <v>1.0011411017878034</v>
      </c>
      <c r="S71" s="4">
        <f t="shared" si="65"/>
        <v>4.7749717254583816E-2</v>
      </c>
      <c r="T71" s="4" t="str">
        <f t="shared" si="51"/>
        <v>1+0.000800511754352339i</v>
      </c>
      <c r="U71" s="4">
        <f t="shared" si="66"/>
        <v>1.0000003204094832</v>
      </c>
      <c r="V71" s="4">
        <f t="shared" si="67"/>
        <v>8.0051158335800573E-4</v>
      </c>
      <c r="W71" t="str">
        <f t="shared" si="52"/>
        <v>1-0.000443545963182813i</v>
      </c>
      <c r="X71" s="4">
        <f t="shared" si="68"/>
        <v>1.0000000983665058</v>
      </c>
      <c r="Y71" s="4">
        <f t="shared" si="69"/>
        <v>-4.4354593409610396E-4</v>
      </c>
      <c r="Z71" t="str">
        <f t="shared" si="53"/>
        <v>0.999999998851846+0.000329998196608012i</v>
      </c>
      <c r="AA71" s="4">
        <f t="shared" si="70"/>
        <v>1.0000000533012494</v>
      </c>
      <c r="AB71" s="4">
        <f t="shared" si="71"/>
        <v>3.2999818500809789E-4</v>
      </c>
      <c r="AC71" s="47" t="str">
        <f t="shared" si="72"/>
        <v>19.0587076760552-0.910225043322186i</v>
      </c>
      <c r="AD71" s="20">
        <f t="shared" si="73"/>
        <v>25.611763620688798</v>
      </c>
      <c r="AE71" s="43">
        <f t="shared" si="74"/>
        <v>-2.7343121497447416</v>
      </c>
      <c r="AF71" t="str">
        <f t="shared" si="54"/>
        <v>69.5520360182888</v>
      </c>
      <c r="AG71" t="str">
        <f t="shared" si="55"/>
        <v>1+0.0381196073501115i</v>
      </c>
      <c r="AH71">
        <f t="shared" si="75"/>
        <v>1.0007262884847818</v>
      </c>
      <c r="AI71">
        <f t="shared" si="76"/>
        <v>3.8101159507552378E-2</v>
      </c>
      <c r="AJ71" t="str">
        <f t="shared" si="56"/>
        <v>1+0.000800511754352339i</v>
      </c>
      <c r="AK71">
        <f t="shared" si="77"/>
        <v>1.0000003204094832</v>
      </c>
      <c r="AL71">
        <f t="shared" si="78"/>
        <v>8.0051158335800573E-4</v>
      </c>
      <c r="AM71" t="str">
        <f t="shared" si="57"/>
        <v>1-0.0000971760517302331i</v>
      </c>
      <c r="AN71">
        <f t="shared" si="79"/>
        <v>1.0000000047215925</v>
      </c>
      <c r="AO71">
        <f t="shared" si="80"/>
        <v>-9.7176051424349296E-5</v>
      </c>
      <c r="AP71" s="41" t="str">
        <f t="shared" si="81"/>
        <v>69.4529837393835-2.59860203931726i</v>
      </c>
      <c r="AQ71">
        <f t="shared" si="82"/>
        <v>36.839893607221008</v>
      </c>
      <c r="AR71" s="43">
        <f t="shared" si="83"/>
        <v>-2.1427374767761167</v>
      </c>
      <c r="AS71" t="str">
        <f t="shared" si="58"/>
        <v>-0.0000166666666666667</v>
      </c>
      <c r="AT71" t="str">
        <f t="shared" si="59"/>
        <v>7.23867011914351E-07i</v>
      </c>
      <c r="AU71">
        <f t="shared" si="84"/>
        <v>7.2386701191435104E-7</v>
      </c>
      <c r="AV71">
        <f t="shared" si="85"/>
        <v>1.5707963267948966</v>
      </c>
      <c r="AW71" t="str">
        <f t="shared" si="60"/>
        <v>1+0.000735639243596002i</v>
      </c>
      <c r="AX71">
        <f t="shared" si="86"/>
        <v>1.0000002705825117</v>
      </c>
      <c r="AY71">
        <f t="shared" si="87"/>
        <v>7.3563911089528434E-4</v>
      </c>
      <c r="AZ71" t="str">
        <f t="shared" si="61"/>
        <v>1+0.0250117342822641i</v>
      </c>
      <c r="BA71">
        <f t="shared" si="88"/>
        <v>1.0003127445213356</v>
      </c>
      <c r="BB71">
        <f t="shared" si="89"/>
        <v>2.5006520568400116E-2</v>
      </c>
      <c r="BC71" s="41" t="str">
        <f t="shared" si="90"/>
        <v>-0.558944334197036+23.0248982658169i</v>
      </c>
      <c r="BD71">
        <f t="shared" si="91"/>
        <v>27.246512973776305</v>
      </c>
      <c r="BE71" s="43">
        <f t="shared" si="92"/>
        <v>91.390619072577351</v>
      </c>
      <c r="BF71" s="41" t="str">
        <f t="shared" si="93"/>
        <v>10.3050823488435+439.333570449924i</v>
      </c>
      <c r="BG71" s="20">
        <f t="shared" si="94"/>
        <v>52.85827659446511</v>
      </c>
      <c r="BH71" s="43">
        <f t="shared" si="95"/>
        <v>88.656306922832613</v>
      </c>
      <c r="BI71" s="41" t="str">
        <f t="shared" si="101"/>
        <v>21.012195834417+1600.60035874345i</v>
      </c>
      <c r="BJ71" s="20">
        <f t="shared" si="97"/>
        <v>64.08640658099732</v>
      </c>
      <c r="BK71" s="43">
        <f t="shared" si="102"/>
        <v>89.247881595801232</v>
      </c>
      <c r="BL71">
        <f t="shared" si="99"/>
        <v>52.85827659446511</v>
      </c>
      <c r="BM71" s="43">
        <f t="shared" si="100"/>
        <v>88.656306922832613</v>
      </c>
    </row>
    <row r="72" spans="1:65" x14ac:dyDescent="0.25">
      <c r="A72" t="s">
        <v>458</v>
      </c>
      <c r="B72">
        <f>(B71*2*VOUT/DC_VIN_var_DCM)*(((VOUT/VIN_var)-1)/((2*VOUT/VIN_var)-1))</f>
        <v>69.552036018288817</v>
      </c>
      <c r="C72" t="s">
        <v>150</v>
      </c>
      <c r="N72" s="9">
        <v>54</v>
      </c>
      <c r="O72" s="34">
        <f t="shared" si="62"/>
        <v>34.67368504525318</v>
      </c>
      <c r="P72" s="33" t="str">
        <f t="shared" si="50"/>
        <v>19.1021967526266</v>
      </c>
      <c r="Q72" s="4" t="str">
        <f t="shared" si="63"/>
        <v>1+0.0488991206105016i</v>
      </c>
      <c r="R72" s="4">
        <f t="shared" si="64"/>
        <v>1.0011948481671689</v>
      </c>
      <c r="S72" s="4">
        <f t="shared" si="65"/>
        <v>4.8860201810834517E-2</v>
      </c>
      <c r="T72" s="4" t="str">
        <f t="shared" si="51"/>
        <v>1+0.000819158068467121i</v>
      </c>
      <c r="U72" s="4">
        <f t="shared" si="66"/>
        <v>1.0000003355099143</v>
      </c>
      <c r="V72" s="4">
        <f t="shared" si="67"/>
        <v>8.1915788524339513E-4</v>
      </c>
      <c r="W72" t="str">
        <f t="shared" si="52"/>
        <v>1-0.00045387747587939i</v>
      </c>
      <c r="X72" s="4">
        <f t="shared" si="68"/>
        <v>1.0000001030023762</v>
      </c>
      <c r="Y72" s="4">
        <f t="shared" si="69"/>
        <v>-4.5387744471241988E-4</v>
      </c>
      <c r="Z72" t="str">
        <f t="shared" si="53"/>
        <v>0.999999998797736+0.000337684842054266i</v>
      </c>
      <c r="AA72" s="4">
        <f t="shared" si="70"/>
        <v>1.0000000558132607</v>
      </c>
      <c r="AB72" s="4">
        <f t="shared" si="71"/>
        <v>3.3768482962473381E-4</v>
      </c>
      <c r="AC72" s="47" t="str">
        <f t="shared" si="72"/>
        <v>19.0566629881172-0.931326924898918i</v>
      </c>
      <c r="AD72" s="20">
        <f t="shared" si="73"/>
        <v>25.611297479792938</v>
      </c>
      <c r="AE72" s="43">
        <f t="shared" si="74"/>
        <v>-2.7979022378802707</v>
      </c>
      <c r="AF72" t="str">
        <f t="shared" si="54"/>
        <v>69.5520360182888</v>
      </c>
      <c r="AG72" t="str">
        <f t="shared" si="55"/>
        <v>1+0.039007527069863i</v>
      </c>
      <c r="AH72">
        <f t="shared" si="75"/>
        <v>1.0007605044005814</v>
      </c>
      <c r="AI72">
        <f t="shared" si="76"/>
        <v>3.8987760661632204E-2</v>
      </c>
      <c r="AJ72" t="str">
        <f t="shared" si="56"/>
        <v>1+0.000819158068467121i</v>
      </c>
      <c r="AK72">
        <f t="shared" si="77"/>
        <v>1.0000003355099143</v>
      </c>
      <c r="AL72">
        <f t="shared" si="78"/>
        <v>8.1915788524339513E-4</v>
      </c>
      <c r="AM72" t="str">
        <f t="shared" si="57"/>
        <v>1-0.0000994395727530596i</v>
      </c>
      <c r="AN72">
        <f t="shared" si="79"/>
        <v>1.0000000049441142</v>
      </c>
      <c r="AO72">
        <f t="shared" si="80"/>
        <v>-9.9439572425299199E-5</v>
      </c>
      <c r="AP72" s="41" t="str">
        <f t="shared" si="81"/>
        <v>69.4483226415642-2.65894943866046i</v>
      </c>
      <c r="AQ72">
        <f t="shared" si="82"/>
        <v>36.839596765415997</v>
      </c>
      <c r="AR72" s="43">
        <f t="shared" si="83"/>
        <v>-2.1925973168149491</v>
      </c>
      <c r="AS72" t="str">
        <f t="shared" si="58"/>
        <v>-0.0000166666666666667</v>
      </c>
      <c r="AT72" t="str">
        <f t="shared" si="59"/>
        <v>7.40728040635165E-07i</v>
      </c>
      <c r="AU72">
        <f t="shared" si="84"/>
        <v>7.4072804063516505E-7</v>
      </c>
      <c r="AV72">
        <f t="shared" si="85"/>
        <v>1.5707963267948966</v>
      </c>
      <c r="AW72" t="str">
        <f t="shared" si="60"/>
        <v>1+0.000752774482818504i</v>
      </c>
      <c r="AX72">
        <f t="shared" si="86"/>
        <v>1.0000002833346708</v>
      </c>
      <c r="AY72">
        <f t="shared" si="87"/>
        <v>7.5277434062712536E-4</v>
      </c>
      <c r="AZ72" t="str">
        <f t="shared" si="61"/>
        <v>1+0.0255943324158291i</v>
      </c>
      <c r="BA72">
        <f t="shared" si="88"/>
        <v>1.0003274813039038</v>
      </c>
      <c r="BB72">
        <f t="shared" si="89"/>
        <v>2.5588745919544329E-2</v>
      </c>
      <c r="BC72" s="41" t="str">
        <f t="shared" si="90"/>
        <v>-0.558944319941546+22.5008065313424i</v>
      </c>
      <c r="BD72">
        <f t="shared" si="91"/>
        <v>27.046640824117503</v>
      </c>
      <c r="BE72" s="43">
        <f t="shared" si="92"/>
        <v>91.422996351578817</v>
      </c>
      <c r="BF72" s="41" t="str">
        <f t="shared" si="93"/>
        <v>10.3039934203322+429.310846923299i</v>
      </c>
      <c r="BG72" s="20">
        <f t="shared" si="94"/>
        <v>52.657938303910441</v>
      </c>
      <c r="BH72" s="43">
        <f t="shared" si="95"/>
        <v>88.625094113698552</v>
      </c>
      <c r="BI72" s="41" t="str">
        <f t="shared" si="101"/>
        <v>21.0107614259503+1564.12947636983i</v>
      </c>
      <c r="BJ72" s="20">
        <f t="shared" si="97"/>
        <v>63.886237589533494</v>
      </c>
      <c r="BK72" s="43">
        <f t="shared" si="102"/>
        <v>89.230399034763877</v>
      </c>
      <c r="BL72">
        <f t="shared" si="99"/>
        <v>52.657938303910441</v>
      </c>
      <c r="BM72" s="43">
        <f t="shared" si="100"/>
        <v>88.625094113698552</v>
      </c>
    </row>
    <row r="73" spans="1:65" x14ac:dyDescent="0.25">
      <c r="A73" t="s">
        <v>483</v>
      </c>
      <c r="B73">
        <f>(IOUT_VAR*((2*VOUT)-VIN_var))/(Cout*VOUT*(VOUT-VIN_var))</f>
        <v>5585.1063829787236</v>
      </c>
      <c r="C73" t="s">
        <v>385</v>
      </c>
      <c r="N73" s="9">
        <v>55</v>
      </c>
      <c r="O73" s="34">
        <f t="shared" si="62"/>
        <v>35.481338923357555</v>
      </c>
      <c r="P73" s="33" t="str">
        <f t="shared" si="50"/>
        <v>19.1021967526266</v>
      </c>
      <c r="Q73" s="4" t="str">
        <f t="shared" si="63"/>
        <v>1+0.0500381274494176i</v>
      </c>
      <c r="R73" s="4">
        <f t="shared" si="64"/>
        <v>1.0012511244431359</v>
      </c>
      <c r="S73" s="4">
        <f t="shared" si="65"/>
        <v>4.9996428018097873E-2</v>
      </c>
      <c r="T73" s="4" t="str">
        <f t="shared" si="51"/>
        <v>1+0.000838238711032643i</v>
      </c>
      <c r="U73" s="4">
        <f t="shared" si="66"/>
        <v>1.0000003513220066</v>
      </c>
      <c r="V73" s="4">
        <f t="shared" si="67"/>
        <v>8.3823851470488727E-4</v>
      </c>
      <c r="W73" t="str">
        <f t="shared" si="52"/>
        <v>1-0.000464449640421456i</v>
      </c>
      <c r="X73" s="4">
        <f t="shared" si="68"/>
        <v>1.0000001078567284</v>
      </c>
      <c r="Y73" s="4">
        <f t="shared" si="69"/>
        <v>-4.6444960702544605E-4</v>
      </c>
      <c r="Z73" t="str">
        <f t="shared" si="53"/>
        <v>0.999999998741075+0.000345550532473563i</v>
      </c>
      <c r="AA73" s="4">
        <f t="shared" si="70"/>
        <v>1.0000000584436586</v>
      </c>
      <c r="AB73" s="4">
        <f t="shared" si="71"/>
        <v>3.4555051915507936E-4</v>
      </c>
      <c r="AC73" s="47" t="str">
        <f t="shared" si="72"/>
        <v>19.0545224075187-0.952913205245545i</v>
      </c>
      <c r="AD73" s="20">
        <f t="shared" si="73"/>
        <v>25.610809424006717</v>
      </c>
      <c r="AE73" s="43">
        <f t="shared" si="74"/>
        <v>-2.8629663756839339</v>
      </c>
      <c r="AF73" t="str">
        <f t="shared" si="54"/>
        <v>69.5520360182888</v>
      </c>
      <c r="AG73" t="str">
        <f t="shared" si="55"/>
        <v>1+0.0399161290967926i</v>
      </c>
      <c r="AH73">
        <f t="shared" si="75"/>
        <v>1.00079633160902</v>
      </c>
      <c r="AI73">
        <f t="shared" si="76"/>
        <v>3.989494991888113E-2</v>
      </c>
      <c r="AJ73" t="str">
        <f t="shared" si="56"/>
        <v>1+0.000838238711032643i</v>
      </c>
      <c r="AK73">
        <f t="shared" si="77"/>
        <v>1.0000003513220066</v>
      </c>
      <c r="AL73">
        <f t="shared" si="78"/>
        <v>8.3823851470488727E-4</v>
      </c>
      <c r="AM73" t="str">
        <f t="shared" si="57"/>
        <v>1-0.000101755817953598i</v>
      </c>
      <c r="AN73">
        <f t="shared" si="79"/>
        <v>1.0000000051771232</v>
      </c>
      <c r="AO73">
        <f t="shared" si="80"/>
        <v>-1.0175581760239641E-4</v>
      </c>
      <c r="AP73" s="41" t="str">
        <f t="shared" si="81"/>
        <v>69.4434425561329-2.72068953329002i</v>
      </c>
      <c r="AQ73">
        <f t="shared" si="82"/>
        <v>36.839285955651754</v>
      </c>
      <c r="AR73" s="43">
        <f t="shared" si="83"/>
        <v>-2.2436149040092945</v>
      </c>
      <c r="AS73" t="str">
        <f t="shared" si="58"/>
        <v>-0.0000166666666666667</v>
      </c>
      <c r="AT73" t="str">
        <f t="shared" si="59"/>
        <v>7.57981813167818E-07i</v>
      </c>
      <c r="AU73">
        <f t="shared" si="84"/>
        <v>7.5798181316781795E-7</v>
      </c>
      <c r="AV73">
        <f t="shared" si="85"/>
        <v>1.5707963267948966</v>
      </c>
      <c r="AW73" t="str">
        <f t="shared" si="60"/>
        <v>1+0.000770308853035944i</v>
      </c>
      <c r="AX73">
        <f t="shared" si="86"/>
        <v>1.0000002966878205</v>
      </c>
      <c r="AY73">
        <f t="shared" si="87"/>
        <v>7.7030870067513915E-4</v>
      </c>
      <c r="AZ73" t="str">
        <f t="shared" si="61"/>
        <v>1+0.0261905010032221i</v>
      </c>
      <c r="BA73">
        <f t="shared" si="88"/>
        <v>1.0003429123769507</v>
      </c>
      <c r="BB73">
        <f t="shared" si="89"/>
        <v>2.6184515075424093E-2</v>
      </c>
      <c r="BC73" s="41" t="str">
        <f t="shared" si="90"/>
        <v>-0.558944305014216+21.9886450223232i</v>
      </c>
      <c r="BD73">
        <f t="shared" si="91"/>
        <v>26.846774695818809</v>
      </c>
      <c r="BE73" s="43">
        <f t="shared" si="92"/>
        <v>91.456126764947584</v>
      </c>
      <c r="BF73" s="41" t="str">
        <f t="shared" si="93"/>
        <v>10.3028534227802+419.515754698077i</v>
      </c>
      <c r="BG73" s="20">
        <f t="shared" si="94"/>
        <v>52.457584119825526</v>
      </c>
      <c r="BH73" s="43">
        <f t="shared" si="95"/>
        <v>88.593160389263645</v>
      </c>
      <c r="BI73" s="41" t="str">
        <f t="shared" si="101"/>
        <v>21.0092596261321+1528.48792141524i</v>
      </c>
      <c r="BJ73" s="20">
        <f t="shared" si="97"/>
        <v>63.686060651470541</v>
      </c>
      <c r="BK73" s="43">
        <f t="shared" si="102"/>
        <v>89.212511860938292</v>
      </c>
      <c r="BL73">
        <f t="shared" si="99"/>
        <v>52.457584119825526</v>
      </c>
      <c r="BM73" s="43">
        <f t="shared" si="100"/>
        <v>88.593160389263645</v>
      </c>
    </row>
    <row r="74" spans="1:65" x14ac:dyDescent="0.25">
      <c r="B74">
        <f>B73/(2*PI())</f>
        <v>888.89728854516022</v>
      </c>
      <c r="C74" t="s">
        <v>65</v>
      </c>
      <c r="N74" s="9">
        <v>56</v>
      </c>
      <c r="O74" s="34">
        <f t="shared" si="62"/>
        <v>36.307805477010156</v>
      </c>
      <c r="P74" s="33" t="str">
        <f t="shared" si="50"/>
        <v>19.1021967526266</v>
      </c>
      <c r="Q74" s="4" t="str">
        <f t="shared" si="63"/>
        <v>1+0.0512036651658405i</v>
      </c>
      <c r="R74" s="4">
        <f t="shared" si="64"/>
        <v>1.0013100495482983</v>
      </c>
      <c r="S74" s="4">
        <f t="shared" si="65"/>
        <v>5.1158986576848052E-2</v>
      </c>
      <c r="T74" s="4" t="str">
        <f t="shared" si="51"/>
        <v>1+0.000857763798858159i</v>
      </c>
      <c r="U74" s="4">
        <f t="shared" si="66"/>
        <v>1.0000003678792997</v>
      </c>
      <c r="V74" s="4">
        <f t="shared" si="67"/>
        <v>8.5776358848918273E-4</v>
      </c>
      <c r="W74" t="str">
        <f t="shared" si="52"/>
        <v>1-0.000475268062310594i</v>
      </c>
      <c r="X74" s="4">
        <f t="shared" si="68"/>
        <v>1.0000001129398592</v>
      </c>
      <c r="Y74" s="4">
        <f t="shared" si="69"/>
        <v>-4.7526802652612482E-4</v>
      </c>
      <c r="Z74" t="str">
        <f t="shared" si="53"/>
        <v>0.999999998681743+0.000353599438359082i</v>
      </c>
      <c r="AA74" s="4">
        <f t="shared" si="70"/>
        <v>1.0000000611980226</v>
      </c>
      <c r="AB74" s="4">
        <f t="shared" si="71"/>
        <v>3.5359942408807001E-4</v>
      </c>
      <c r="AC74" s="47" t="str">
        <f t="shared" si="72"/>
        <v>19.0522814601981-0.974994660590708i</v>
      </c>
      <c r="AD74" s="20">
        <f t="shared" si="73"/>
        <v>25.610298425676344</v>
      </c>
      <c r="AE74" s="43">
        <f t="shared" si="74"/>
        <v>-2.9295383882753545</v>
      </c>
      <c r="AF74" t="str">
        <f t="shared" si="54"/>
        <v>69.5520360182888</v>
      </c>
      <c r="AG74" t="str">
        <f t="shared" si="55"/>
        <v>1+0.0408458951837219i</v>
      </c>
      <c r="AH74">
        <f t="shared" si="75"/>
        <v>1.0008338459271646</v>
      </c>
      <c r="AI74">
        <f t="shared" si="76"/>
        <v>4.0823202306766171E-2</v>
      </c>
      <c r="AJ74" t="str">
        <f t="shared" si="56"/>
        <v>1+0.000857763798858159i</v>
      </c>
      <c r="AK74">
        <f t="shared" si="77"/>
        <v>1.0000003678792997</v>
      </c>
      <c r="AL74">
        <f t="shared" si="78"/>
        <v>8.5776358848918273E-4</v>
      </c>
      <c r="AM74" t="str">
        <f t="shared" si="57"/>
        <v>1-0.000104126015435713i</v>
      </c>
      <c r="AN74">
        <f t="shared" si="79"/>
        <v>1.0000000054211136</v>
      </c>
      <c r="AO74">
        <f t="shared" si="80"/>
        <v>-1.041260150593937E-4</v>
      </c>
      <c r="AP74" s="41" t="str">
        <f t="shared" si="81"/>
        <v>69.4383332282706-2.78385383851695i</v>
      </c>
      <c r="AQ74">
        <f t="shared" si="82"/>
        <v>36.838960521734982</v>
      </c>
      <c r="AR74" s="43">
        <f t="shared" si="83"/>
        <v>-2.295816946146418</v>
      </c>
      <c r="AS74" t="str">
        <f t="shared" si="58"/>
        <v>-0.0000166666666666667</v>
      </c>
      <c r="AT74" t="str">
        <f t="shared" si="59"/>
        <v>7.75637477690888E-07i</v>
      </c>
      <c r="AU74">
        <f t="shared" si="84"/>
        <v>7.7563747769088796E-7</v>
      </c>
      <c r="AV74">
        <f t="shared" si="85"/>
        <v>1.5707963267948966</v>
      </c>
      <c r="AW74" t="str">
        <f t="shared" si="60"/>
        <v>1+0.000788251651203509i</v>
      </c>
      <c r="AX74">
        <f t="shared" si="86"/>
        <v>1.0000003106702846</v>
      </c>
      <c r="AY74">
        <f t="shared" si="87"/>
        <v>7.8825148794596793E-4</v>
      </c>
      <c r="AZ74" t="str">
        <f t="shared" si="61"/>
        <v>1+0.0268005561409193i</v>
      </c>
      <c r="BA74">
        <f t="shared" si="88"/>
        <v>1.0003590704389411</v>
      </c>
      <c r="BB74">
        <f t="shared" si="89"/>
        <v>2.6794142228060185E-2</v>
      </c>
      <c r="BC74" s="41" t="str">
        <f t="shared" si="90"/>
        <v>-0.558944289383386+21.4881421839479i</v>
      </c>
      <c r="BD74">
        <f t="shared" si="91"/>
        <v>26.646914872268582</v>
      </c>
      <c r="BE74" s="43">
        <f t="shared" si="92"/>
        <v>91.490027781886894</v>
      </c>
      <c r="BF74" s="41" t="str">
        <f t="shared" si="93"/>
        <v>10.3016599734605+409.943100643048i</v>
      </c>
      <c r="BG74" s="20">
        <f t="shared" si="94"/>
        <v>52.257213297944929</v>
      </c>
      <c r="BH74" s="43">
        <f t="shared" si="95"/>
        <v>88.560489393611533</v>
      </c>
      <c r="BI74" s="41" t="str">
        <f t="shared" si="101"/>
        <v>21.0076872791389+1493.65679663095i</v>
      </c>
      <c r="BJ74" s="20">
        <f t="shared" si="97"/>
        <v>63.485875394003564</v>
      </c>
      <c r="BK74" s="43">
        <f t="shared" si="102"/>
        <v>89.194210835740478</v>
      </c>
      <c r="BL74">
        <f t="shared" si="99"/>
        <v>52.257213297944929</v>
      </c>
      <c r="BM74" s="43">
        <f t="shared" si="100"/>
        <v>88.560489393611533</v>
      </c>
    </row>
    <row r="75" spans="1:65" x14ac:dyDescent="0.25">
      <c r="A75" t="s">
        <v>461</v>
      </c>
      <c r="B75">
        <f>1/(Cout*Resr)</f>
        <v>265957.44680851063</v>
      </c>
      <c r="C75" t="s">
        <v>385</v>
      </c>
      <c r="N75" s="9">
        <v>57</v>
      </c>
      <c r="O75" s="34">
        <f t="shared" si="62"/>
        <v>37.15352290971726</v>
      </c>
      <c r="P75" s="33" t="str">
        <f t="shared" si="50"/>
        <v>19.1021967526266</v>
      </c>
      <c r="Q75" s="4" t="str">
        <f t="shared" si="63"/>
        <v>1+0.0523963517432947i</v>
      </c>
      <c r="R75" s="4">
        <f t="shared" si="64"/>
        <v>1.0013717479917272</v>
      </c>
      <c r="S75" s="4">
        <f t="shared" si="65"/>
        <v>5.2348481313906653E-2</v>
      </c>
      <c r="T75" s="4" t="str">
        <f t="shared" si="51"/>
        <v>1+0.000877743684403672i</v>
      </c>
      <c r="U75" s="4">
        <f t="shared" si="66"/>
        <v>1.0000003852169135</v>
      </c>
      <c r="V75" s="4">
        <f t="shared" si="67"/>
        <v>8.7774345898925746E-4</v>
      </c>
      <c r="W75" t="str">
        <f t="shared" si="52"/>
        <v>1-0.000486338477617283i</v>
      </c>
      <c r="X75" s="4">
        <f t="shared" si="68"/>
        <v>1.0000001182625504</v>
      </c>
      <c r="Y75" s="4">
        <f t="shared" si="69"/>
        <v>-4.8633843927353373E-4</v>
      </c>
      <c r="Z75" t="str">
        <f t="shared" si="53"/>
        <v>0.999999998619616+0.000361835827347259i</v>
      </c>
      <c r="AA75" s="4">
        <f t="shared" si="70"/>
        <v>1.0000000640821969</v>
      </c>
      <c r="AB75" s="4">
        <f t="shared" si="71"/>
        <v>3.6183581205559396E-4</v>
      </c>
      <c r="AC75" s="47" t="str">
        <f t="shared" si="72"/>
        <v>19.0499354655743-0.997582282270649i</v>
      </c>
      <c r="AD75" s="20">
        <f t="shared" si="73"/>
        <v>25.609763409212118</v>
      </c>
      <c r="AE75" s="43">
        <f t="shared" si="74"/>
        <v>-2.9976528524038408</v>
      </c>
      <c r="AF75" t="str">
        <f t="shared" si="54"/>
        <v>69.5520360182888</v>
      </c>
      <c r="AG75" t="str">
        <f t="shared" si="55"/>
        <v>1+0.0417973183049368i</v>
      </c>
      <c r="AH75">
        <f t="shared" si="75"/>
        <v>1.0008731267335955</v>
      </c>
      <c r="AI75">
        <f t="shared" si="76"/>
        <v>4.1773003594693631E-2</v>
      </c>
      <c r="AJ75" t="str">
        <f t="shared" si="56"/>
        <v>1+0.000877743684403672i</v>
      </c>
      <c r="AK75">
        <f t="shared" si="77"/>
        <v>1.0000003852169135</v>
      </c>
      <c r="AL75">
        <f t="shared" si="78"/>
        <v>8.7774345898925746E-4</v>
      </c>
      <c r="AM75" t="str">
        <f t="shared" si="57"/>
        <v>1-0.000106551421909483i</v>
      </c>
      <c r="AN75">
        <f t="shared" si="79"/>
        <v>1.0000000056766027</v>
      </c>
      <c r="AO75">
        <f t="shared" si="80"/>
        <v>-1.065514215062496E-4</v>
      </c>
      <c r="AP75" s="41" t="str">
        <f t="shared" si="81"/>
        <v>69.4329839261832-2.84847453800622i</v>
      </c>
      <c r="AQ75">
        <f t="shared" si="82"/>
        <v>36.838619776748708</v>
      </c>
      <c r="AR75" s="43">
        <f t="shared" si="83"/>
        <v>-2.3492307546188922</v>
      </c>
      <c r="AS75" t="str">
        <f t="shared" si="58"/>
        <v>-0.0000166666666666667</v>
      </c>
      <c r="AT75" t="str">
        <f t="shared" si="59"/>
        <v>7.93704395471405E-07i</v>
      </c>
      <c r="AU75">
        <f t="shared" si="84"/>
        <v>7.9370439547140504E-7</v>
      </c>
      <c r="AV75">
        <f t="shared" si="85"/>
        <v>1.5707963267948966</v>
      </c>
      <c r="AW75" t="str">
        <f t="shared" si="60"/>
        <v>1+0.000806612390830284i</v>
      </c>
      <c r="AX75">
        <f t="shared" si="86"/>
        <v>1.0000003253117216</v>
      </c>
      <c r="AY75">
        <f t="shared" si="87"/>
        <v>8.0661221589668015E-4</v>
      </c>
      <c r="AZ75" t="str">
        <f t="shared" si="61"/>
        <v>1+0.0274248212882296i</v>
      </c>
      <c r="BA75">
        <f t="shared" si="88"/>
        <v>1.0003759897272082</v>
      </c>
      <c r="BB75">
        <f t="shared" si="89"/>
        <v>2.7417948796279876E-2</v>
      </c>
      <c r="BC75" s="41" t="str">
        <f t="shared" si="90"/>
        <v>-0.558944273015895+20.9990326429864i</v>
      </c>
      <c r="BD75">
        <f t="shared" si="91"/>
        <v>26.447061650173282</v>
      </c>
      <c r="BE75" s="43">
        <f t="shared" si="92"/>
        <v>91.524717273258062</v>
      </c>
      <c r="BF75" s="41" t="str">
        <f t="shared" si="93"/>
        <v>10.3004105796611+400.587809591916i</v>
      </c>
      <c r="BG75" s="20">
        <f t="shared" si="94"/>
        <v>52.056825059385396</v>
      </c>
      <c r="BH75" s="43">
        <f t="shared" si="95"/>
        <v>88.527064420854217</v>
      </c>
      <c r="BI75" s="41" t="str">
        <f t="shared" si="101"/>
        <v>21.0060410823634+1459.61763449572i</v>
      </c>
      <c r="BJ75" s="20">
        <f t="shared" si="97"/>
        <v>63.285681426921983</v>
      </c>
      <c r="BK75" s="43">
        <f t="shared" si="102"/>
        <v>89.175486518639175</v>
      </c>
      <c r="BL75">
        <f t="shared" si="99"/>
        <v>52.056825059385396</v>
      </c>
      <c r="BM75" s="43">
        <f t="shared" si="100"/>
        <v>88.527064420854217</v>
      </c>
    </row>
    <row r="76" spans="1:65" x14ac:dyDescent="0.25">
      <c r="B76">
        <f>B75/(2*PI())</f>
        <v>42328.442311674291</v>
      </c>
      <c r="C76" t="s">
        <v>65</v>
      </c>
      <c r="N76" s="9">
        <v>58</v>
      </c>
      <c r="O76" s="34">
        <f t="shared" si="62"/>
        <v>38.018939632056139</v>
      </c>
      <c r="P76" s="33" t="str">
        <f t="shared" si="50"/>
        <v>19.1021967526266</v>
      </c>
      <c r="Q76" s="4" t="str">
        <f t="shared" si="63"/>
        <v>1+0.0536168195599909i</v>
      </c>
      <c r="R76" s="4">
        <f t="shared" si="64"/>
        <v>1.001436350119032</v>
      </c>
      <c r="S76" s="4">
        <f t="shared" si="65"/>
        <v>5.3565529443381325E-2</v>
      </c>
      <c r="T76" s="4" t="str">
        <f t="shared" si="51"/>
        <v>1+0.000898188961268967i</v>
      </c>
      <c r="U76" s="4">
        <f t="shared" si="66"/>
        <v>1.0000004033716237</v>
      </c>
      <c r="V76" s="4">
        <f t="shared" si="67"/>
        <v>8.9818871973307529E-4</v>
      </c>
      <c r="W76" t="str">
        <f t="shared" si="52"/>
        <v>1-0.000497666756022256i</v>
      </c>
      <c r="X76" s="4">
        <f t="shared" si="68"/>
        <v>1.0000001238360923</v>
      </c>
      <c r="Y76" s="4">
        <f t="shared" si="69"/>
        <v>-4.9766671493618861E-4</v>
      </c>
      <c r="Z76" t="str">
        <f t="shared" si="53"/>
        <v>0.99999999855456+0.000370264066480558i</v>
      </c>
      <c r="AA76" s="4">
        <f t="shared" si="70"/>
        <v>1.0000000671022973</v>
      </c>
      <c r="AB76" s="4">
        <f t="shared" si="71"/>
        <v>3.7026405009524401E-4</v>
      </c>
      <c r="AC76" s="47" t="str">
        <f t="shared" si="72"/>
        <v>19.04747952723-1.02068727921422i</v>
      </c>
      <c r="AD76" s="20">
        <f t="shared" si="73"/>
        <v>25.609203248877606</v>
      </c>
      <c r="AE76" s="43">
        <f t="shared" si="74"/>
        <v>-3.0673451113883967</v>
      </c>
      <c r="AF76" t="str">
        <f t="shared" si="54"/>
        <v>69.5520360182888</v>
      </c>
      <c r="AG76" t="str">
        <f t="shared" si="55"/>
        <v>1+0.0427709029175699i</v>
      </c>
      <c r="AH76">
        <f t="shared" si="75"/>
        <v>1.0009142571351375</v>
      </c>
      <c r="AI76">
        <f t="shared" si="76"/>
        <v>4.274485052127474E-2</v>
      </c>
      <c r="AJ76" t="str">
        <f t="shared" si="56"/>
        <v>1+0.000898188961268967i</v>
      </c>
      <c r="AK76">
        <f t="shared" si="77"/>
        <v>1.0000004033716237</v>
      </c>
      <c r="AL76">
        <f t="shared" si="78"/>
        <v>8.9818871973307529E-4</v>
      </c>
      <c r="AM76" t="str">
        <f t="shared" si="57"/>
        <v>1-0.000109033323357524i</v>
      </c>
      <c r="AN76">
        <f t="shared" si="79"/>
        <v>1.0000000059441327</v>
      </c>
      <c r="AO76">
        <f t="shared" si="80"/>
        <v>-1.0903332292545164E-4</v>
      </c>
      <c r="AP76" s="41" t="str">
        <f t="shared" si="81"/>
        <v>69.4273834192279-2.91458449469265i</v>
      </c>
      <c r="AQ76">
        <f t="shared" si="82"/>
        <v>36.838263001623616</v>
      </c>
      <c r="AR76" s="43">
        <f t="shared" si="83"/>
        <v>-2.4038842571695742</v>
      </c>
      <c r="AS76" t="str">
        <f t="shared" si="58"/>
        <v>-0.0000166666666666667</v>
      </c>
      <c r="AT76" t="str">
        <f t="shared" si="59"/>
        <v>8.12192145828322E-07i</v>
      </c>
      <c r="AU76">
        <f t="shared" si="84"/>
        <v>8.1219214582832201E-7</v>
      </c>
      <c r="AV76">
        <f t="shared" si="85"/>
        <v>1.5707963267948966</v>
      </c>
      <c r="AW76" t="str">
        <f t="shared" si="60"/>
        <v>1+0.000825400807023454i</v>
      </c>
      <c r="AX76">
        <f t="shared" si="86"/>
        <v>1.0000003406431881</v>
      </c>
      <c r="AY76">
        <f t="shared" si="87"/>
        <v>8.2540061957872383E-4</v>
      </c>
      <c r="AZ76" t="str">
        <f t="shared" si="61"/>
        <v>1+0.0280636274387974i</v>
      </c>
      <c r="BA76">
        <f t="shared" si="88"/>
        <v>1.000393706090269</v>
      </c>
      <c r="BB76">
        <f t="shared" si="89"/>
        <v>2.8056263587513057E-2</v>
      </c>
      <c r="BC76" s="41" t="str">
        <f t="shared" si="90"/>
        <v>-0.55894425587703+20.5210570670862i</v>
      </c>
      <c r="BD76">
        <f t="shared" si="91"/>
        <v>26.247215340181743</v>
      </c>
      <c r="BE76" s="43">
        <f t="shared" si="92"/>
        <v>91.560213520561717</v>
      </c>
      <c r="BF76" s="41" t="str">
        <f t="shared" si="93"/>
        <v>10.2991026337234+391.444921654206i</v>
      </c>
      <c r="BG76" s="20">
        <f t="shared" si="94"/>
        <v>51.856418589059331</v>
      </c>
      <c r="BH76" s="43">
        <f t="shared" si="95"/>
        <v>88.492868409173326</v>
      </c>
      <c r="BI76" s="41" t="str">
        <f t="shared" si="101"/>
        <v>21.0043175796829+1426.35238742603i</v>
      </c>
      <c r="BJ76" s="20">
        <f t="shared" si="97"/>
        <v>63.085478341805377</v>
      </c>
      <c r="BK76" s="43">
        <f t="shared" si="102"/>
        <v>89.156329263392152</v>
      </c>
      <c r="BL76">
        <f t="shared" si="99"/>
        <v>51.856418589059331</v>
      </c>
      <c r="BM76" s="43">
        <f t="shared" si="100"/>
        <v>88.492868409173326</v>
      </c>
    </row>
    <row r="77" spans="1:65" x14ac:dyDescent="0.25">
      <c r="A77" t="s">
        <v>462</v>
      </c>
      <c r="B77">
        <f>2*Fsw/(DC_VIN_var_DCM)</f>
        <v>2190890.2300206646</v>
      </c>
      <c r="C77" t="s">
        <v>385</v>
      </c>
      <c r="N77" s="9">
        <v>59</v>
      </c>
      <c r="O77" s="34">
        <f t="shared" si="62"/>
        <v>38.904514499428053</v>
      </c>
      <c r="P77" s="33" t="str">
        <f t="shared" si="50"/>
        <v>19.1021967526266</v>
      </c>
      <c r="Q77" s="4" t="str">
        <f t="shared" si="63"/>
        <v>1+0.0548657157241204i</v>
      </c>
      <c r="R77" s="4">
        <f t="shared" si="64"/>
        <v>1.0015039923844138</v>
      </c>
      <c r="S77" s="4">
        <f t="shared" si="65"/>
        <v>5.4810761830528187E-2</v>
      </c>
      <c r="T77" s="4" t="str">
        <f t="shared" si="51"/>
        <v>1+0.000919110469810464i</v>
      </c>
      <c r="U77" s="4">
        <f t="shared" si="66"/>
        <v>1.0000004223819388</v>
      </c>
      <c r="V77" s="4">
        <f t="shared" si="67"/>
        <v>9.1911021100009912E-4</v>
      </c>
      <c r="W77" t="str">
        <f t="shared" si="52"/>
        <v>1-0.000509258903928671i</v>
      </c>
      <c r="X77" s="4">
        <f t="shared" si="68"/>
        <v>1.0000001296723073</v>
      </c>
      <c r="Y77" s="4">
        <f t="shared" si="69"/>
        <v>-5.0925885990415695E-4</v>
      </c>
      <c r="Z77" t="str">
        <f t="shared" si="53"/>
        <v>0.999999998486439+0.000378888624522931i</v>
      </c>
      <c r="AA77" s="4">
        <f t="shared" si="70"/>
        <v>1.0000000702647314</v>
      </c>
      <c r="AB77" s="4">
        <f t="shared" si="71"/>
        <v>3.7888860696575058E-4</v>
      </c>
      <c r="AC77" s="47" t="str">
        <f t="shared" si="72"/>
        <v>19.0449085231916-1.04432108031007i</v>
      </c>
      <c r="AD77" s="20">
        <f t="shared" si="73"/>
        <v>25.608616766477464</v>
      </c>
      <c r="AE77" s="43">
        <f t="shared" si="74"/>
        <v>-3.1386512902252113</v>
      </c>
      <c r="AF77" t="str">
        <f t="shared" si="54"/>
        <v>69.5520360182888</v>
      </c>
      <c r="AG77" t="str">
        <f t="shared" si="55"/>
        <v>1+0.0437671652290698i</v>
      </c>
      <c r="AH77">
        <f t="shared" si="75"/>
        <v>1.0009573241413385</v>
      </c>
      <c r="AI77">
        <f t="shared" si="76"/>
        <v>4.3739251025259968E-2</v>
      </c>
      <c r="AJ77" t="str">
        <f t="shared" si="56"/>
        <v>1+0.000919110469810464i</v>
      </c>
      <c r="AK77">
        <f t="shared" si="77"/>
        <v>1.0000004223819388</v>
      </c>
      <c r="AL77">
        <f t="shared" si="78"/>
        <v>9.1911021100009912E-4</v>
      </c>
      <c r="AM77" t="str">
        <f t="shared" si="57"/>
        <v>1-0.000111573035716836i</v>
      </c>
      <c r="AN77">
        <f t="shared" si="79"/>
        <v>1.0000000062242711</v>
      </c>
      <c r="AO77">
        <f t="shared" si="80"/>
        <v>-1.1157303525386211E-4</v>
      </c>
      <c r="AP77" s="41" t="str">
        <f t="shared" si="81"/>
        <v>69.4215199550687-2.98221726162446i</v>
      </c>
      <c r="AQ77">
        <f t="shared" si="82"/>
        <v>36.837889443644201</v>
      </c>
      <c r="AR77" s="43">
        <f t="shared" si="83"/>
        <v>-2.45980601084048</v>
      </c>
      <c r="AS77" t="str">
        <f t="shared" si="58"/>
        <v>-0.0000166666666666667</v>
      </c>
      <c r="AT77" t="str">
        <f t="shared" si="59"/>
        <v>8.31110531211589E-07i</v>
      </c>
      <c r="AU77">
        <f t="shared" si="84"/>
        <v>8.3111053121158899E-7</v>
      </c>
      <c r="AV77">
        <f t="shared" si="85"/>
        <v>1.5707963267948966</v>
      </c>
      <c r="AW77" t="str">
        <f t="shared" si="60"/>
        <v>1+0.00084462686164998i</v>
      </c>
      <c r="AX77">
        <f t="shared" si="86"/>
        <v>1.000000356697204</v>
      </c>
      <c r="AY77">
        <f t="shared" si="87"/>
        <v>8.4462666079933681E-4</v>
      </c>
      <c r="AZ77" t="str">
        <f t="shared" si="61"/>
        <v>1+0.0287173132960993i</v>
      </c>
      <c r="BA77">
        <f t="shared" si="88"/>
        <v>1.0004122570635299</v>
      </c>
      <c r="BB77">
        <f t="shared" si="89"/>
        <v>2.8709422962890713E-2</v>
      </c>
      <c r="BC77" s="41" t="str">
        <f t="shared" si="90"/>
        <v>-0.558944237930438+20.0539620272699i</v>
      </c>
      <c r="BD77">
        <f t="shared" si="91"/>
        <v>26.047376267537871</v>
      </c>
      <c r="BE77" s="43">
        <f t="shared" si="92"/>
        <v>91.596535225101576</v>
      </c>
      <c r="BF77" s="41" t="str">
        <f t="shared" si="93"/>
        <v>10.2977334078654+382.509589587302i</v>
      </c>
      <c r="BG77" s="20">
        <f t="shared" si="94"/>
        <v>51.655993034015339</v>
      </c>
      <c r="BH77" s="43">
        <f t="shared" si="95"/>
        <v>88.457883934876378</v>
      </c>
      <c r="BI77" s="41" t="str">
        <f t="shared" si="101"/>
        <v>21.0025131544272+1393.84341820895i</v>
      </c>
      <c r="BJ77" s="20">
        <f t="shared" si="97"/>
        <v>62.885265711182072</v>
      </c>
      <c r="BK77" s="43">
        <f t="shared" si="102"/>
        <v>89.136729214261095</v>
      </c>
      <c r="BL77">
        <f t="shared" si="99"/>
        <v>51.655993034015339</v>
      </c>
      <c r="BM77" s="43">
        <f t="shared" si="100"/>
        <v>88.457883934876378</v>
      </c>
    </row>
    <row r="78" spans="1:65" x14ac:dyDescent="0.25">
      <c r="B78">
        <f>B77/(2*PI())</f>
        <v>348691.00987952837</v>
      </c>
      <c r="C78" t="s">
        <v>65</v>
      </c>
      <c r="N78" s="9">
        <v>60</v>
      </c>
      <c r="O78" s="34">
        <f t="shared" si="62"/>
        <v>39.810717055349755</v>
      </c>
      <c r="P78" s="33" t="str">
        <f t="shared" si="50"/>
        <v>19.1021967526266</v>
      </c>
      <c r="Q78" s="4" t="str">
        <f t="shared" si="63"/>
        <v>1+0.0561437024169603i</v>
      </c>
      <c r="R78" s="4">
        <f t="shared" si="64"/>
        <v>1.0015748176352499</v>
      </c>
      <c r="S78" s="4">
        <f t="shared" si="65"/>
        <v>5.6084823258391328E-2</v>
      </c>
      <c r="T78" s="4" t="str">
        <f t="shared" si="51"/>
        <v>1+0.000940519302888917i</v>
      </c>
      <c r="U78" s="4">
        <f t="shared" si="66"/>
        <v>1.0000004422881819</v>
      </c>
      <c r="V78" s="4">
        <f t="shared" si="67"/>
        <v>9.4051902556862123E-4</v>
      </c>
      <c r="W78" t="str">
        <f t="shared" si="52"/>
        <v>1-0.000521121067646785i</v>
      </c>
      <c r="X78" s="4">
        <f t="shared" si="68"/>
        <v>1.0000001357835744</v>
      </c>
      <c r="Y78" s="4">
        <f t="shared" si="69"/>
        <v>-5.211210204736687E-4</v>
      </c>
      <c r="Z78" t="str">
        <f t="shared" si="53"/>
        <v>0.999999998415107+0.000387714074329208i</v>
      </c>
      <c r="AA78" s="4">
        <f t="shared" si="70"/>
        <v>1.000000073576206</v>
      </c>
      <c r="AB78" s="4">
        <f t="shared" si="71"/>
        <v>3.877140555163503E-4</v>
      </c>
      <c r="AC78" s="47" t="str">
        <f t="shared" si="72"/>
        <v>19.0422170957979-1.06849533664165i</v>
      </c>
      <c r="AD78" s="20">
        <f t="shared" si="73"/>
        <v>25.608002728942935</v>
      </c>
      <c r="AE78" s="43">
        <f t="shared" si="74"/>
        <v>-3.2116083108538382</v>
      </c>
      <c r="AF78" t="str">
        <f t="shared" si="54"/>
        <v>69.5520360182888</v>
      </c>
      <c r="AG78" t="str">
        <f t="shared" si="55"/>
        <v>1+0.0447866334709009i</v>
      </c>
      <c r="AH78">
        <f t="shared" si="75"/>
        <v>1.0010024188470559</v>
      </c>
      <c r="AI78">
        <f t="shared" si="76"/>
        <v>4.4756724480115202E-2</v>
      </c>
      <c r="AJ78" t="str">
        <f t="shared" si="56"/>
        <v>1+0.000940519302888917i</v>
      </c>
      <c r="AK78">
        <f t="shared" si="77"/>
        <v>1.0000004422881819</v>
      </c>
      <c r="AL78">
        <f t="shared" si="78"/>
        <v>9.4051902556862123E-4</v>
      </c>
      <c r="AM78" t="str">
        <f t="shared" si="57"/>
        <v>1-0.000114171905576528i</v>
      </c>
      <c r="AN78">
        <f t="shared" si="79"/>
        <v>1.000000006517612</v>
      </c>
      <c r="AO78">
        <f t="shared" si="80"/>
        <v>-1.1417190508044256E-4</v>
      </c>
      <c r="AP78" s="41" t="str">
        <f t="shared" si="81"/>
        <v>69.415381235816-3.05140709270985i</v>
      </c>
      <c r="AQ78">
        <f t="shared" si="82"/>
        <v>36.837498314886126</v>
      </c>
      <c r="AR78" s="43">
        <f t="shared" si="83"/>
        <v>-2.5170252151236912</v>
      </c>
      <c r="AS78" t="str">
        <f t="shared" si="58"/>
        <v>-0.0000166666666666667</v>
      </c>
      <c r="AT78" t="str">
        <f t="shared" si="59"/>
        <v>8.50469582399555E-07i</v>
      </c>
      <c r="AU78">
        <f t="shared" si="84"/>
        <v>8.5046958239955501E-7</v>
      </c>
      <c r="AV78">
        <f t="shared" si="85"/>
        <v>1.5707963267948966</v>
      </c>
      <c r="AW78" t="str">
        <f t="shared" si="60"/>
        <v>1+0.000864300748618508i</v>
      </c>
      <c r="AX78">
        <f t="shared" si="86"/>
        <v>1.0000003735078222</v>
      </c>
      <c r="AY78">
        <f t="shared" si="87"/>
        <v>8.6430053340317073E-4</v>
      </c>
      <c r="AZ78" t="str">
        <f t="shared" si="61"/>
        <v>1+0.0293862254530293i</v>
      </c>
      <c r="BA78">
        <f t="shared" si="88"/>
        <v>1.0004316819485357</v>
      </c>
      <c r="BB78">
        <f t="shared" si="89"/>
        <v>2.9377771005691212E-2</v>
      </c>
      <c r="BC78" s="41" t="str">
        <f t="shared" si="90"/>
        <v>-0.558944219138048+19.5974998635645i</v>
      </c>
      <c r="BD78">
        <f t="shared" si="91"/>
        <v>25.84754477276444</v>
      </c>
      <c r="BE78" s="43">
        <f t="shared" si="92"/>
        <v>91.633701517332995</v>
      </c>
      <c r="BF78" s="41" t="str">
        <f t="shared" si="93"/>
        <v>10.2963000487861+373.777076228457i</v>
      </c>
      <c r="BG78" s="20">
        <f t="shared" si="94"/>
        <v>51.455547501707386</v>
      </c>
      <c r="BH78" s="43">
        <f t="shared" si="95"/>
        <v>88.422093206479175</v>
      </c>
      <c r="BI78" s="41" t="str">
        <f t="shared" si="101"/>
        <v>21.000624022038+1362.07349065289i</v>
      </c>
      <c r="BJ78" s="20">
        <f t="shared" si="97"/>
        <v>62.685043087650584</v>
      </c>
      <c r="BK78" s="43">
        <f t="shared" si="102"/>
        <v>89.116676302209314</v>
      </c>
      <c r="BL78">
        <f t="shared" si="99"/>
        <v>51.455547501707386</v>
      </c>
      <c r="BM78" s="43">
        <f t="shared" si="100"/>
        <v>88.422093206479175</v>
      </c>
    </row>
    <row r="79" spans="1:65" x14ac:dyDescent="0.25">
      <c r="N79" s="9">
        <v>61</v>
      </c>
      <c r="O79" s="34">
        <f t="shared" si="62"/>
        <v>40.738027780411279</v>
      </c>
      <c r="P79" s="33" t="str">
        <f t="shared" si="50"/>
        <v>19.1021967526266</v>
      </c>
      <c r="Q79" s="4" t="str">
        <f t="shared" si="63"/>
        <v>1+0.0574514572439715i</v>
      </c>
      <c r="R79" s="4">
        <f t="shared" si="64"/>
        <v>1.001648975409777</v>
      </c>
      <c r="S79" s="4">
        <f t="shared" si="65"/>
        <v>5.7388372697050001E-2</v>
      </c>
      <c r="T79" s="4" t="str">
        <f t="shared" si="51"/>
        <v>1+0.00096242681175101i</v>
      </c>
      <c r="U79" s="4">
        <f t="shared" si="66"/>
        <v>1.0000004631325767</v>
      </c>
      <c r="V79" s="4">
        <f t="shared" si="67"/>
        <v>9.6242651459696688E-4</v>
      </c>
      <c r="W79" t="str">
        <f t="shared" si="52"/>
        <v>1-0.000533259536652821i</v>
      </c>
      <c r="X79" s="4">
        <f t="shared" si="68"/>
        <v>1.0000001421828566</v>
      </c>
      <c r="Y79" s="4">
        <f t="shared" si="69"/>
        <v>-5.332594861059166E-4</v>
      </c>
      <c r="Z79" t="str">
        <f t="shared" si="53"/>
        <v>0.999999998340413+0.000396745095269698i</v>
      </c>
      <c r="AA79" s="4">
        <f t="shared" si="70"/>
        <v>1.0000000770437454</v>
      </c>
      <c r="AB79" s="4">
        <f t="shared" si="71"/>
        <v>3.9674507511135799E-4</v>
      </c>
      <c r="AC79" s="47" t="str">
        <f t="shared" si="72"/>
        <v>19.0393996411365-1.09322192357401i</v>
      </c>
      <c r="AD79" s="20">
        <f t="shared" si="73"/>
        <v>25.607359845808105</v>
      </c>
      <c r="AE79" s="43">
        <f t="shared" si="74"/>
        <v>-3.2862539075725428</v>
      </c>
      <c r="AF79" t="str">
        <f t="shared" si="54"/>
        <v>69.5520360182888</v>
      </c>
      <c r="AG79" t="str">
        <f t="shared" si="55"/>
        <v>1+0.0458298481786196i</v>
      </c>
      <c r="AH79">
        <f t="shared" si="75"/>
        <v>1.0010496366235169</v>
      </c>
      <c r="AI79">
        <f t="shared" si="76"/>
        <v>4.579780193220355E-2</v>
      </c>
      <c r="AJ79" t="str">
        <f t="shared" si="56"/>
        <v>1+0.00096242681175101i</v>
      </c>
      <c r="AK79">
        <f t="shared" si="77"/>
        <v>1.0000004631325767</v>
      </c>
      <c r="AL79">
        <f t="shared" si="78"/>
        <v>9.6242651459696688E-4</v>
      </c>
      <c r="AM79" t="str">
        <f t="shared" si="57"/>
        <v>1-0.000116831310891801i</v>
      </c>
      <c r="AN79">
        <f t="shared" si="79"/>
        <v>1.0000000068247776</v>
      </c>
      <c r="AO79">
        <f t="shared" si="80"/>
        <v>-1.1683131036023586E-4</v>
      </c>
      <c r="AP79" s="41" t="str">
        <f t="shared" si="81"/>
        <v>69.4089543931134-3.12218895334046i</v>
      </c>
      <c r="AQ79">
        <f t="shared" si="82"/>
        <v>36.837088790582584</v>
      </c>
      <c r="AR79" s="43">
        <f t="shared" si="83"/>
        <v>-2.5755717253120851</v>
      </c>
      <c r="AS79" t="str">
        <f t="shared" si="58"/>
        <v>-0.0000166666666666667</v>
      </c>
      <c r="AT79" t="str">
        <f t="shared" si="59"/>
        <v>8.70279563817404E-07i</v>
      </c>
      <c r="AU79">
        <f t="shared" si="84"/>
        <v>8.7027956381740398E-7</v>
      </c>
      <c r="AV79">
        <f t="shared" si="85"/>
        <v>1.5707963267948966</v>
      </c>
      <c r="AW79" t="str">
        <f t="shared" si="60"/>
        <v>1+0.00088443289928433i</v>
      </c>
      <c r="AX79">
        <f t="shared" si="86"/>
        <v>1.0000003911107003</v>
      </c>
      <c r="AY79">
        <f t="shared" si="87"/>
        <v>8.8443266867694616E-4</v>
      </c>
      <c r="AZ79" t="str">
        <f t="shared" si="61"/>
        <v>1+0.0300707185756672i</v>
      </c>
      <c r="BA79">
        <f t="shared" si="88"/>
        <v>1.0004520218959312</v>
      </c>
      <c r="BB79">
        <f t="shared" si="89"/>
        <v>3.0061659693176472E-2</v>
      </c>
      <c r="BC79" s="41" t="str">
        <f t="shared" si="90"/>
        <v>-0.558944199460001+19.1514285536889i</v>
      </c>
      <c r="BD79">
        <f t="shared" si="91"/>
        <v>25.647721212378443</v>
      </c>
      <c r="BE79" s="43">
        <f t="shared" si="92"/>
        <v>91.671731966398866</v>
      </c>
      <c r="BF79" s="41" t="str">
        <f t="shared" si="93"/>
        <v>10.2947995720399+365.24275198526i</v>
      </c>
      <c r="BG79" s="20">
        <f t="shared" si="94"/>
        <v>51.255081058186548</v>
      </c>
      <c r="BH79" s="43">
        <f t="shared" si="95"/>
        <v>88.385478058826337</v>
      </c>
      <c r="BI79" s="41" t="str">
        <f t="shared" si="101"/>
        <v>20.9986462224021+1331.02576045105i</v>
      </c>
      <c r="BJ79" s="20">
        <f t="shared" si="97"/>
        <v>62.484810002961026</v>
      </c>
      <c r="BK79" s="43">
        <f t="shared" si="102"/>
        <v>89.096160241086778</v>
      </c>
      <c r="BL79">
        <f t="shared" si="99"/>
        <v>51.255081058186548</v>
      </c>
      <c r="BM79" s="43">
        <f t="shared" si="100"/>
        <v>88.385478058826337</v>
      </c>
    </row>
    <row r="80" spans="1:65" x14ac:dyDescent="0.25">
      <c r="N80" s="9">
        <v>62</v>
      </c>
      <c r="O80" s="34">
        <f t="shared" si="62"/>
        <v>41.686938347033561</v>
      </c>
      <c r="P80" s="33" t="str">
        <f t="shared" si="50"/>
        <v>19.1021967526266</v>
      </c>
      <c r="Q80" s="4" t="str">
        <f t="shared" si="63"/>
        <v>1+0.0587896735940736i</v>
      </c>
      <c r="R80" s="4">
        <f t="shared" si="64"/>
        <v>1.0017266222484544</v>
      </c>
      <c r="S80" s="4">
        <f t="shared" si="65"/>
        <v>5.8722083575282899E-2</v>
      </c>
      <c r="T80" s="4" t="str">
        <f t="shared" si="51"/>
        <v>1+0.000984844612047919i</v>
      </c>
      <c r="U80" s="4">
        <f t="shared" si="66"/>
        <v>1.0000004849593374</v>
      </c>
      <c r="V80" s="4">
        <f t="shared" si="67"/>
        <v>9.8484429364163349E-4</v>
      </c>
      <c r="W80" t="str">
        <f t="shared" si="52"/>
        <v>1-0.000545680746923715i</v>
      </c>
      <c r="X80" s="4">
        <f t="shared" si="68"/>
        <v>1.0000001488837278</v>
      </c>
      <c r="Y80" s="4">
        <f t="shared" si="69"/>
        <v>-5.4568069276173155E-4</v>
      </c>
      <c r="Z80" t="str">
        <f t="shared" si="53"/>
        <v>0.999999998262199+0.000405986475711243i</v>
      </c>
      <c r="AA80" s="4">
        <f t="shared" si="70"/>
        <v>1.0000000806747049</v>
      </c>
      <c r="AB80" s="4">
        <f t="shared" si="71"/>
        <v>4.0598645411119266E-4</v>
      </c>
      <c r="AC80" s="47" t="str">
        <f t="shared" si="72"/>
        <v>19.0364502980343-1.11851294267552i</v>
      </c>
      <c r="AD80" s="20">
        <f t="shared" si="73"/>
        <v>25.606686766573269</v>
      </c>
      <c r="AE80" s="43">
        <f t="shared" si="74"/>
        <v>-3.362626642592077</v>
      </c>
      <c r="AF80" t="str">
        <f t="shared" si="54"/>
        <v>69.5520360182888</v>
      </c>
      <c r="AG80" t="str">
        <f t="shared" si="55"/>
        <v>1+0.0468973624784724i</v>
      </c>
      <c r="AH80">
        <f t="shared" si="75"/>
        <v>1.0010990773182429</v>
      </c>
      <c r="AI80">
        <f t="shared" si="76"/>
        <v>4.6863026342523345E-2</v>
      </c>
      <c r="AJ80" t="str">
        <f t="shared" si="56"/>
        <v>1+0.000984844612047919i</v>
      </c>
      <c r="AK80">
        <f t="shared" si="77"/>
        <v>1.0000004849593374</v>
      </c>
      <c r="AL80">
        <f t="shared" si="78"/>
        <v>9.8484429364163349E-4</v>
      </c>
      <c r="AM80" t="str">
        <f t="shared" si="57"/>
        <v>1-0.000119552661714555i</v>
      </c>
      <c r="AN80">
        <f t="shared" si="79"/>
        <v>1.0000000071464195</v>
      </c>
      <c r="AO80">
        <f t="shared" si="80"/>
        <v>-1.195526611449727E-4</v>
      </c>
      <c r="AP80" s="41" t="str">
        <f t="shared" si="81"/>
        <v>69.4022259621257-3.19459853086274i</v>
      </c>
      <c r="AQ80">
        <f t="shared" si="82"/>
        <v>36.836660007415837</v>
      </c>
      <c r="AR80" s="43">
        <f t="shared" si="83"/>
        <v>-2.6354760660469463</v>
      </c>
      <c r="AS80" t="str">
        <f t="shared" si="58"/>
        <v>-0.0000166666666666667</v>
      </c>
      <c r="AT80" t="str">
        <f t="shared" si="59"/>
        <v>8.90550978979501E-07i</v>
      </c>
      <c r="AU80">
        <f t="shared" si="84"/>
        <v>8.90550978979501E-7</v>
      </c>
      <c r="AV80">
        <f t="shared" si="85"/>
        <v>1.5707963267948966</v>
      </c>
      <c r="AW80" t="str">
        <f t="shared" si="60"/>
        <v>1+0.000905033987980207i</v>
      </c>
      <c r="AX80">
        <f t="shared" si="86"/>
        <v>1.0000004095431758</v>
      </c>
      <c r="AY80">
        <f t="shared" si="87"/>
        <v>9.0503374087994872E-4</v>
      </c>
      <c r="AZ80" t="str">
        <f t="shared" si="61"/>
        <v>1+0.030771155591327i</v>
      </c>
      <c r="BA80">
        <f t="shared" si="88"/>
        <v>1.0004733199923053</v>
      </c>
      <c r="BB80">
        <f t="shared" si="89"/>
        <v>3.0761449071858536E-2</v>
      </c>
      <c r="BC80" s="41" t="str">
        <f t="shared" si="90"/>
        <v>-0.558944178854559+18.7155115847299i</v>
      </c>
      <c r="BD80">
        <f t="shared" si="91"/>
        <v>25.447905959639399</v>
      </c>
      <c r="BE80" s="43">
        <f t="shared" si="92"/>
        <v>91.710646589854747</v>
      </c>
      <c r="BF80" s="41" t="str">
        <f t="shared" si="93"/>
        <v>10.2932288561736+356.902092383278i</v>
      </c>
      <c r="BG80" s="20">
        <f t="shared" si="94"/>
        <v>51.054592726212668</v>
      </c>
      <c r="BH80" s="43">
        <f t="shared" si="95"/>
        <v>88.348019947262685</v>
      </c>
      <c r="BI80" s="41" t="str">
        <f t="shared" si="101"/>
        <v>20.9965756118438+1300.68376625281i</v>
      </c>
      <c r="BJ80" s="20">
        <f t="shared" si="97"/>
        <v>62.284565967055244</v>
      </c>
      <c r="BK80" s="43">
        <f t="shared" si="102"/>
        <v>89.075170523807813</v>
      </c>
      <c r="BL80">
        <f t="shared" si="99"/>
        <v>51.054592726212668</v>
      </c>
      <c r="BM80" s="43">
        <f t="shared" si="100"/>
        <v>88.348019947262685</v>
      </c>
    </row>
    <row r="81" spans="14:65" x14ac:dyDescent="0.25">
      <c r="N81" s="9">
        <v>63</v>
      </c>
      <c r="O81" s="34">
        <f t="shared" si="62"/>
        <v>42.657951880159267</v>
      </c>
      <c r="P81" s="33" t="str">
        <f t="shared" si="50"/>
        <v>19.1021967526266</v>
      </c>
      <c r="Q81" s="4" t="str">
        <f t="shared" si="63"/>
        <v>1+0.0601590610072883i</v>
      </c>
      <c r="R81" s="4">
        <f t="shared" si="64"/>
        <v>1.0018079220196248</v>
      </c>
      <c r="S81" s="4">
        <f t="shared" si="65"/>
        <v>6.0086644054440183E-2</v>
      </c>
      <c r="T81" s="4" t="str">
        <f t="shared" si="51"/>
        <v>1+0.00100778458999409i</v>
      </c>
      <c r="U81" s="4">
        <f t="shared" si="66"/>
        <v>1.0000005078147609</v>
      </c>
      <c r="V81" s="4">
        <f t="shared" si="67"/>
        <v>1.0077842488156175E-3</v>
      </c>
      <c r="W81" t="str">
        <f t="shared" si="52"/>
        <v>1-0.000558391284349564i</v>
      </c>
      <c r="X81" s="4">
        <f t="shared" si="68"/>
        <v>1.000000155900401</v>
      </c>
      <c r="Y81" s="4">
        <f t="shared" si="69"/>
        <v>-5.5839122631395346E-4</v>
      </c>
      <c r="Z81" t="str">
        <f t="shared" si="53"/>
        <v>0.999999998180299+0.000415443115556076i</v>
      </c>
      <c r="AA81" s="4">
        <f t="shared" si="70"/>
        <v>1.0000000844767867</v>
      </c>
      <c r="AB81" s="4">
        <f t="shared" si="71"/>
        <v>4.1544309241120514E-4</v>
      </c>
      <c r="AC81" s="47" t="str">
        <f t="shared" si="72"/>
        <v>19.033362936586-1.14438072345609i</v>
      </c>
      <c r="AD81" s="20">
        <f t="shared" si="73"/>
        <v>25.605982077950756</v>
      </c>
      <c r="AE81" s="43">
        <f t="shared" si="74"/>
        <v>-3.440765921715319</v>
      </c>
      <c r="AF81" t="str">
        <f t="shared" si="54"/>
        <v>69.5520360182888</v>
      </c>
      <c r="AG81" t="str">
        <f t="shared" si="55"/>
        <v>1+0.0479897423806712i</v>
      </c>
      <c r="AH81">
        <f t="shared" si="75"/>
        <v>1.0011508454642402</v>
      </c>
      <c r="AI81">
        <f t="shared" si="76"/>
        <v>4.7952952831949336E-2</v>
      </c>
      <c r="AJ81" t="str">
        <f t="shared" si="56"/>
        <v>1+0.00100778458999409i</v>
      </c>
      <c r="AK81">
        <f t="shared" si="77"/>
        <v>1.0000005078147609</v>
      </c>
      <c r="AL81">
        <f t="shared" si="78"/>
        <v>1.0077842488156175E-3</v>
      </c>
      <c r="AM81" t="str">
        <f t="shared" si="57"/>
        <v>1-0.000122337400941015i</v>
      </c>
      <c r="AN81">
        <f t="shared" si="79"/>
        <v>1.0000000074832198</v>
      </c>
      <c r="AO81">
        <f t="shared" si="80"/>
        <v>-1.2233740033069658E-4</v>
      </c>
      <c r="AP81" s="41" t="str">
        <f t="shared" si="81"/>
        <v>69.3951818543838-3.2686722448664i</v>
      </c>
      <c r="AQ81">
        <f t="shared" si="82"/>
        <v>36.836211061731021</v>
      </c>
      <c r="AR81" s="43">
        <f t="shared" si="83"/>
        <v>-2.6967694450592647</v>
      </c>
      <c r="AS81" t="str">
        <f t="shared" si="58"/>
        <v>-0.0000166666666666667</v>
      </c>
      <c r="AT81" t="str">
        <f t="shared" si="59"/>
        <v>9.11294576058488E-07i</v>
      </c>
      <c r="AU81">
        <f t="shared" si="84"/>
        <v>9.1129457605848803E-7</v>
      </c>
      <c r="AV81">
        <f t="shared" si="85"/>
        <v>1.5707963267948966</v>
      </c>
      <c r="AW81" t="str">
        <f t="shared" si="60"/>
        <v>1+0.000926114937676049i</v>
      </c>
      <c r="AX81">
        <f t="shared" si="86"/>
        <v>1.0000004288443469</v>
      </c>
      <c r="AY81">
        <f t="shared" si="87"/>
        <v>9.2611467290335805E-4</v>
      </c>
      <c r="AZ81" t="str">
        <f t="shared" si="61"/>
        <v>1+0.0314879078809857i</v>
      </c>
      <c r="BA81">
        <f t="shared" si="88"/>
        <v>1.0004956213510989</v>
      </c>
      <c r="BB81">
        <f t="shared" si="89"/>
        <v>3.1477507436236576E-2</v>
      </c>
      <c r="BC81" s="41" t="str">
        <f t="shared" si="90"/>
        <v>-0.558944157278016+18.2895178277404i</v>
      </c>
      <c r="BD81">
        <f t="shared" si="91"/>
        <v>25.24809940533288</v>
      </c>
      <c r="BE81" s="43">
        <f t="shared" si="92"/>
        <v>91.750465863585518</v>
      </c>
      <c r="BF81" s="41" t="str">
        <f t="shared" si="93"/>
        <v>10.2915846366159+348.75067566962i</v>
      </c>
      <c r="BG81" s="20">
        <f t="shared" si="94"/>
        <v>50.854081483283622</v>
      </c>
      <c r="BH81" s="43">
        <f t="shared" si="95"/>
        <v>88.309699941870207</v>
      </c>
      <c r="BI81" s="41" t="str">
        <f t="shared" si="101"/>
        <v>20.994407854771+1271.03142093836i</v>
      </c>
      <c r="BJ81" s="20">
        <f t="shared" si="97"/>
        <v>62.084310467063872</v>
      </c>
      <c r="BK81" s="43">
        <f t="shared" si="102"/>
        <v>89.053696418526258</v>
      </c>
      <c r="BL81">
        <f t="shared" si="99"/>
        <v>50.854081483283622</v>
      </c>
      <c r="BM81" s="43">
        <f t="shared" si="100"/>
        <v>88.309699941870207</v>
      </c>
    </row>
    <row r="82" spans="14:65" x14ac:dyDescent="0.25">
      <c r="N82" s="9">
        <v>64</v>
      </c>
      <c r="O82" s="34">
        <f t="shared" si="62"/>
        <v>43.651583224016633</v>
      </c>
      <c r="P82" s="33" t="str">
        <f t="shared" si="50"/>
        <v>19.1021967526266</v>
      </c>
      <c r="Q82" s="4" t="str">
        <f t="shared" si="63"/>
        <v>1+0.0615603455509484i</v>
      </c>
      <c r="R82" s="4">
        <f t="shared" si="64"/>
        <v>1.0018930462601046</v>
      </c>
      <c r="S82" s="4">
        <f t="shared" si="65"/>
        <v>6.1482757304292875E-2</v>
      </c>
      <c r="T82" s="4" t="str">
        <f t="shared" si="51"/>
        <v>1+0.00103125890866949i</v>
      </c>
      <c r="U82" s="4">
        <f t="shared" si="66"/>
        <v>1.0000005317473271</v>
      </c>
      <c r="V82" s="4">
        <f t="shared" si="67"/>
        <v>1.0312585430901809E-3</v>
      </c>
      <c r="W82" t="str">
        <f t="shared" si="52"/>
        <v>1-0.000571397888225558i</v>
      </c>
      <c r="X82" s="4">
        <f t="shared" si="68"/>
        <v>1.00000016324776</v>
      </c>
      <c r="Y82" s="4">
        <f t="shared" si="69"/>
        <v>-5.7139782603928154E-4</v>
      </c>
      <c r="Z82" t="str">
        <f t="shared" si="53"/>
        <v>0.999999998094539+0.000425120028839815i</v>
      </c>
      <c r="AA82" s="4">
        <f t="shared" si="70"/>
        <v>1.0000000884580547</v>
      </c>
      <c r="AB82" s="4">
        <f t="shared" si="71"/>
        <v>4.2512000403963925E-4</v>
      </c>
      <c r="AC82" s="47" t="str">
        <f t="shared" si="72"/>
        <v>19.0301311462045-1.17083782490257i</v>
      </c>
      <c r="AD82" s="20">
        <f t="shared" si="73"/>
        <v>25.605244300988371</v>
      </c>
      <c r="AE82" s="43">
        <f t="shared" si="74"/>
        <v>-3.5207120101303016</v>
      </c>
      <c r="AF82" t="str">
        <f t="shared" si="54"/>
        <v>69.5520360182888</v>
      </c>
      <c r="AG82" t="str">
        <f t="shared" si="55"/>
        <v>1+0.0491075670794994i</v>
      </c>
      <c r="AH82">
        <f t="shared" si="75"/>
        <v>1.0012050504988814</v>
      </c>
      <c r="AI82">
        <f t="shared" si="76"/>
        <v>4.9068148929907768E-2</v>
      </c>
      <c r="AJ82" t="str">
        <f t="shared" si="56"/>
        <v>1+0.00103125890866949i</v>
      </c>
      <c r="AK82">
        <f t="shared" si="77"/>
        <v>1.0000005317473271</v>
      </c>
      <c r="AL82">
        <f t="shared" si="78"/>
        <v>1.0312585430901809E-3</v>
      </c>
      <c r="AM82" t="str">
        <f t="shared" si="57"/>
        <v>1-0.000125187005076782i</v>
      </c>
      <c r="AN82">
        <f t="shared" si="79"/>
        <v>1.000000007835893</v>
      </c>
      <c r="AO82">
        <f t="shared" si="80"/>
        <v>-1.2518700442281402E-4</v>
      </c>
      <c r="AP82" s="41" t="str">
        <f t="shared" si="81"/>
        <v>69.387807329442-3.34444725725612i</v>
      </c>
      <c r="AQ82">
        <f t="shared" si="82"/>
        <v>36.835741007668695</v>
      </c>
      <c r="AR82" s="43">
        <f t="shared" si="83"/>
        <v>-2.7594837671005226</v>
      </c>
      <c r="AS82" t="str">
        <f t="shared" si="58"/>
        <v>-0.0000166666666666667</v>
      </c>
      <c r="AT82" t="str">
        <f t="shared" si="59"/>
        <v>9.32521353584112E-07i</v>
      </c>
      <c r="AU82">
        <f t="shared" si="84"/>
        <v>9.3252135358411204E-7</v>
      </c>
      <c r="AV82">
        <f t="shared" si="85"/>
        <v>1.5707963267948966</v>
      </c>
      <c r="AW82" t="str">
        <f t="shared" si="60"/>
        <v>1+0.000947686925770427i</v>
      </c>
      <c r="AX82">
        <f t="shared" si="86"/>
        <v>1.0000004490551537</v>
      </c>
      <c r="AY82">
        <f t="shared" si="87"/>
        <v>9.4768664206138409E-4</v>
      </c>
      <c r="AZ82" t="str">
        <f t="shared" si="61"/>
        <v>1+0.0322213554761945i</v>
      </c>
      <c r="BA82">
        <f t="shared" si="88"/>
        <v>1.0005189732077664</v>
      </c>
      <c r="BB82">
        <f t="shared" si="89"/>
        <v>3.2210211511041802E-2</v>
      </c>
      <c r="BC82" s="41" t="str">
        <f t="shared" si="90"/>
        <v>-0.5589441346846+17.8732214151917i</v>
      </c>
      <c r="BD82">
        <f t="shared" si="91"/>
        <v>25.048301958590194</v>
      </c>
      <c r="BE82" s="43">
        <f t="shared" si="92"/>
        <v>91.791210731915371</v>
      </c>
      <c r="BF82" s="41" t="str">
        <f t="shared" si="93"/>
        <v>10.2898634993154+340.784180471145i</v>
      </c>
      <c r="BG82" s="20">
        <f t="shared" si="94"/>
        <v>50.653546259578562</v>
      </c>
      <c r="BH82" s="43">
        <f t="shared" si="95"/>
        <v>88.27049872178506</v>
      </c>
      <c r="BI82" s="41" t="str">
        <f t="shared" si="101"/>
        <v>20.9921384149525+1242.05300309198i</v>
      </c>
      <c r="BJ82" s="20">
        <f t="shared" si="97"/>
        <v>61.88404296625886</v>
      </c>
      <c r="BK82" s="43">
        <f t="shared" si="102"/>
        <v>89.031726964814837</v>
      </c>
      <c r="BL82">
        <f t="shared" si="99"/>
        <v>50.653546259578562</v>
      </c>
      <c r="BM82" s="43">
        <f t="shared" si="100"/>
        <v>88.27049872178506</v>
      </c>
    </row>
    <row r="83" spans="14:65" x14ac:dyDescent="0.25">
      <c r="N83" s="9">
        <v>65</v>
      </c>
      <c r="O83" s="34">
        <f t="shared" si="62"/>
        <v>44.668359215096324</v>
      </c>
      <c r="P83" s="33" t="str">
        <f t="shared" ref="P83:P146" si="103">COMPLEX(Adc,0)</f>
        <v>19.1021967526266</v>
      </c>
      <c r="Q83" s="4" t="str">
        <f t="shared" ref="Q83:Q146" si="104">IMSUM(COMPLEX(1,0),IMDIV(COMPLEX(0,2*PI()*O83),COMPLEX(wp_lf,0)))</f>
        <v>1+0.0629942702046672i</v>
      </c>
      <c r="R83" s="4">
        <f t="shared" si="64"/>
        <v>1.0019821745313728</v>
      </c>
      <c r="S83" s="4">
        <f t="shared" si="65"/>
        <v>6.2911141780597077E-2</v>
      </c>
      <c r="T83" s="4" t="str">
        <f t="shared" ref="T83:T146" si="105">IMSUM(COMPLEX(1,0),IMDIV(COMPLEX(0,2*PI()*O83),COMPLEX(wz_esr,0)))</f>
        <v>1+0.00105528001446858i</v>
      </c>
      <c r="U83" s="4">
        <f t="shared" si="66"/>
        <v>1.0000005568077994</v>
      </c>
      <c r="V83" s="4">
        <f t="shared" si="67"/>
        <v>1.0552796227433043E-3</v>
      </c>
      <c r="W83" t="str">
        <f t="shared" ref="W83:W146" si="106">IMSUB(COMPLEX(1,0),IMDIV(COMPLEX(0,2*PI()*O83),COMPLEX(wz_rhp,0)))</f>
        <v>1-0.000584707454825235i</v>
      </c>
      <c r="X83" s="4">
        <f t="shared" si="68"/>
        <v>1.0000001709413893</v>
      </c>
      <c r="Y83" s="4">
        <f t="shared" si="69"/>
        <v>-5.8470738819143989E-4</v>
      </c>
      <c r="Z83" t="str">
        <f t="shared" ref="Z83:Z146" si="107">IMSUM(COMPLEX(1,0),IMDIV(COMPLEX(0,2*PI()*O83),COMPLEX(Q*(wsl/2),0)),IMDIV(IMPOWER(COMPLEX(0,2*PI()*O83),2),IMPOWER(COMPLEX(wsl/2,0),2)))</f>
        <v>0.999999998004738+0.000435022346389975i</v>
      </c>
      <c r="AA83" s="4">
        <f t="shared" si="70"/>
        <v>1.0000000926269546</v>
      </c>
      <c r="AB83" s="4">
        <f t="shared" si="71"/>
        <v>4.3502231981610776E-4</v>
      </c>
      <c r="AC83" s="47" t="str">
        <f t="shared" si="72"/>
        <v>19.0267482231736-1.19789703678979i</v>
      </c>
      <c r="AD83" s="20">
        <f t="shared" si="73"/>
        <v>25.60447188806414</v>
      </c>
      <c r="AE83" s="43">
        <f t="shared" si="74"/>
        <v>-3.6025060483009397</v>
      </c>
      <c r="AF83" t="str">
        <f t="shared" ref="AF83:AF146" si="108">COMPLEX($B$72,0)</f>
        <v>69.5520360182888</v>
      </c>
      <c r="AG83" t="str">
        <f t="shared" ref="AG83:AG146" si="109">IMSUM(COMPLEX(1,0),IMDIV(COMPLEX(0,2*PI()*O83),COMPLEX(wp_lf_DCM,0)))</f>
        <v>1+0.0502514292604088i</v>
      </c>
      <c r="AH83">
        <f t="shared" si="75"/>
        <v>1.0012618069929133</v>
      </c>
      <c r="AI83">
        <f t="shared" si="76"/>
        <v>5.020919482640708E-2</v>
      </c>
      <c r="AJ83" t="str">
        <f t="shared" ref="AJ83:AJ146" si="110">IMSUM(COMPLEX(1,0),IMDIV(COMPLEX(0,2*PI()*O83),COMPLEX(wz1_dcm,0)))</f>
        <v>1+0.00105528001446858i</v>
      </c>
      <c r="AK83">
        <f t="shared" si="77"/>
        <v>1.0000005568077994</v>
      </c>
      <c r="AL83">
        <f t="shared" si="78"/>
        <v>1.0552796227433043E-3</v>
      </c>
      <c r="AM83" t="str">
        <f t="shared" ref="AM83:AM146" si="111">IMSUB(COMPLEX(1,0),IMDIV(COMPLEX(0,2*PI()*O83),COMPLEX(wz2_dcm,0)))</f>
        <v>1-0.000128102985019686i</v>
      </c>
      <c r="AN83">
        <f t="shared" si="79"/>
        <v>1.0000000082051874</v>
      </c>
      <c r="AO83">
        <f t="shared" si="80"/>
        <v>-1.2810298431894666E-4</v>
      </c>
      <c r="AP83" s="41" t="str">
        <f t="shared" si="81"/>
        <v>69.3800869652993-3.42196148207019i</v>
      </c>
      <c r="AQ83">
        <f t="shared" si="82"/>
        <v>36.835248855212612</v>
      </c>
      <c r="AR83" s="43">
        <f t="shared" si="83"/>
        <v>-2.8236516480583718</v>
      </c>
      <c r="AS83" t="str">
        <f t="shared" ref="AS83:AS146" si="112">COMPLEX(Adc_ea,0)</f>
        <v>-0.0000166666666666667</v>
      </c>
      <c r="AT83" t="str">
        <f t="shared" ref="AT83:AT146" si="113">COMPLEX(0,2*PI()*O83*wp0_ea)</f>
        <v>9.54242566274785E-07i</v>
      </c>
      <c r="AU83">
        <f t="shared" si="84"/>
        <v>9.5424256627478505E-7</v>
      </c>
      <c r="AV83">
        <f t="shared" si="85"/>
        <v>1.5707963267948966</v>
      </c>
      <c r="AW83" t="str">
        <f t="shared" ref="AW83:AW146" si="114">IMSUM(COMPLEX(1,0),IMDIV(COMPLEX(0,2*PI()*O83),COMPLEX(wp1_ea,0)))</f>
        <v>1+0.000969761390016969i</v>
      </c>
      <c r="AX83">
        <f t="shared" si="86"/>
        <v>1.0000004702184662</v>
      </c>
      <c r="AY83">
        <f t="shared" si="87"/>
        <v>9.6976108601726013E-4</v>
      </c>
      <c r="AZ83" t="str">
        <f t="shared" ref="AZ83:AZ146" si="115">IMSUM(COMPLEX(1,0),IMDIV(COMPLEX(0,2*PI()*O83),COMPLEX(wz_ea,0)))</f>
        <v>1+0.0329718872605769i</v>
      </c>
      <c r="BA83">
        <f t="shared" si="88"/>
        <v>1.0005434250193863</v>
      </c>
      <c r="BB83">
        <f t="shared" si="89"/>
        <v>3.2959946637025617E-2</v>
      </c>
      <c r="BC83" s="41" t="str">
        <f t="shared" si="90"/>
        <v>-0.558944111026391+17.4664016212155i</v>
      </c>
      <c r="BD83">
        <f t="shared" si="91"/>
        <v>24.848514047746097</v>
      </c>
      <c r="BE83" s="43">
        <f t="shared" si="92"/>
        <v>91.832902617913163</v>
      </c>
      <c r="BF83" s="41" t="str">
        <f t="shared" si="93"/>
        <v>10.2880618741097+332.998383506028i</v>
      </c>
      <c r="BG83" s="20">
        <f t="shared" si="94"/>
        <v>50.45298593581024</v>
      </c>
      <c r="BH83" s="43">
        <f t="shared" si="95"/>
        <v>88.230396569612225</v>
      </c>
      <c r="BI83" s="41" t="str">
        <f t="shared" si="101"/>
        <v>20.9897625464148+1213.73314866934i</v>
      </c>
      <c r="BJ83" s="20">
        <f t="shared" si="97"/>
        <v>61.683762902958719</v>
      </c>
      <c r="BK83" s="43">
        <f t="shared" si="102"/>
        <v>89.00925096985479</v>
      </c>
      <c r="BL83">
        <f t="shared" si="99"/>
        <v>50.45298593581024</v>
      </c>
      <c r="BM83" s="43">
        <f t="shared" si="100"/>
        <v>88.230396569612225</v>
      </c>
    </row>
    <row r="84" spans="14:65" x14ac:dyDescent="0.25">
      <c r="N84" s="9">
        <v>66</v>
      </c>
      <c r="O84" s="34">
        <f t="shared" ref="O84:O118" si="116">10^(1+(N84/100))</f>
        <v>45.70881896148753</v>
      </c>
      <c r="P84" s="33" t="str">
        <f t="shared" si="103"/>
        <v>19.1021967526266</v>
      </c>
      <c r="Q84" s="4" t="str">
        <f t="shared" si="104"/>
        <v>1+0.0644615952542763i</v>
      </c>
      <c r="R84" s="4">
        <f t="shared" ref="R84:R147" si="117">IMABS(Q84)</f>
        <v>1.0020754947920472</v>
      </c>
      <c r="S84" s="4">
        <f t="shared" ref="S84:S147" si="118">IMARGUMENT(Q84)</f>
        <v>6.4372531504093292E-2</v>
      </c>
      <c r="T84" s="4" t="str">
        <f t="shared" si="105"/>
        <v>1+0.00107986064369963i</v>
      </c>
      <c r="U84" s="4">
        <f t="shared" ref="U84:U147" si="119">IMABS(T84)</f>
        <v>1.000000583049335</v>
      </c>
      <c r="V84" s="4">
        <f t="shared" ref="V84:V147" si="120">IMARGUMENT(T84)</f>
        <v>1.0798602239584479E-3</v>
      </c>
      <c r="W84" t="str">
        <f t="shared" si="106"/>
        <v>1-0.000598327041056979i</v>
      </c>
      <c r="X84" s="4">
        <f t="shared" ref="X84:X147" si="121">IMABS(W84)</f>
        <v>1.0000001789976081</v>
      </c>
      <c r="Y84" s="4">
        <f t="shared" ref="Y84:Y147" si="122">IMARGUMENT(W84)</f>
        <v>-5.9832696965758181E-4</v>
      </c>
      <c r="Z84" t="str">
        <f t="shared" si="107"/>
        <v>0.999999997910704+0.000445155318546392i</v>
      </c>
      <c r="AA84" s="4">
        <f t="shared" ref="AA84:AA147" si="123">IMABS(Z84)</f>
        <v>1.0000000969923282</v>
      </c>
      <c r="AB84" s="4">
        <f t="shared" ref="AB84:AB147" si="124">IMARGUMENT(Z84)</f>
        <v>4.4515529007198046E-4</v>
      </c>
      <c r="AC84" s="47" t="str">
        <f t="shared" ref="AC84:AC147" si="125">(IMDIV(IMPRODUCT(P84,T84,W84),IMPRODUCT(Q84,Z84)))</f>
        <v>19.0232071576911-1.22557138074518i</v>
      </c>
      <c r="AD84" s="20">
        <f t="shared" ref="AD84:AD147" si="126">20*LOG(IMABS(AC84))</f>
        <v>25.603663219749336</v>
      </c>
      <c r="AE84" s="43">
        <f t="shared" ref="AE84:AE147" si="127">(180/PI())*IMARGUMENT(AC84)</f>
        <v>-3.6861900679398731</v>
      </c>
      <c r="AF84" t="str">
        <f t="shared" si="108"/>
        <v>69.5520360182888</v>
      </c>
      <c r="AG84" t="str">
        <f t="shared" si="109"/>
        <v>1+0.0514219354142684i</v>
      </c>
      <c r="AH84">
        <f t="shared" ref="AH84:AH147" si="128">IMABS(AG84)</f>
        <v>1.0013212348900573</v>
      </c>
      <c r="AI84">
        <f t="shared" ref="AI84:AI147" si="129">IMARGUMENT(AG84)</f>
        <v>5.1376683627330617E-2</v>
      </c>
      <c r="AJ84" t="str">
        <f t="shared" si="110"/>
        <v>1+0.00107986064369963i</v>
      </c>
      <c r="AK84">
        <f t="shared" ref="AK84:AK147" si="130">IMABS(AJ84)</f>
        <v>1.000000583049335</v>
      </c>
      <c r="AL84">
        <f t="shared" ref="AL84:AL147" si="131">IMARGUMENT(AJ84)</f>
        <v>1.0798602239584479E-3</v>
      </c>
      <c r="AM84" t="str">
        <f t="shared" si="111"/>
        <v>1-0.000131086886860891i</v>
      </c>
      <c r="AN84">
        <f t="shared" ref="AN84:AN147" si="132">IMABS(AM84)</f>
        <v>1.0000000085918859</v>
      </c>
      <c r="AO84">
        <f t="shared" ref="AO84:AO147" si="133">IMARGUMENT(AM84)</f>
        <v>-1.3108688611003529E-4</v>
      </c>
      <c r="AP84" s="41" t="str">
        <f t="shared" ref="AP84:AP147" si="134">(IMDIV(IMPRODUCT(AF84,AJ84,AM84),IMPRODUCT(AG84)))</f>
        <v>69.3720046275355-3.5012535950066i</v>
      </c>
      <c r="AQ84">
        <f t="shared" ref="AQ84:AQ147" si="135">20*LOG(IMABS(AP84))</f>
        <v>36.83473356814897</v>
      </c>
      <c r="AR84" s="43">
        <f t="shared" ref="AR84:AR147" si="136">(180/PI())*IMARGUMENT(AP84)</f>
        <v>-2.8893064292516648</v>
      </c>
      <c r="AS84" t="str">
        <f t="shared" si="112"/>
        <v>-0.0000166666666666667</v>
      </c>
      <c r="AT84" t="str">
        <f t="shared" si="113"/>
        <v>9.76469731004991E-07i</v>
      </c>
      <c r="AU84">
        <f t="shared" ref="AU84:AU147" si="137">IMABS(AT84)</f>
        <v>9.7646973100499102E-7</v>
      </c>
      <c r="AV84">
        <f t="shared" ref="AV84:AV147" si="138">IMARGUMENT(AT84)</f>
        <v>1.5707963267948966</v>
      </c>
      <c r="AW84" t="str">
        <f t="shared" si="114"/>
        <v>1+0.000992350034588808i</v>
      </c>
      <c r="AX84">
        <f t="shared" ref="AX84:AX147" si="139">IMABS(AW84)</f>
        <v>1.0000004923791743</v>
      </c>
      <c r="AY84">
        <f t="shared" ref="AY84:AY147" si="140">IMARGUMENT(AW84)</f>
        <v>9.9234970884725998E-4</v>
      </c>
      <c r="AZ84" t="str">
        <f t="shared" si="115"/>
        <v>1+0.0337399011760195i</v>
      </c>
      <c r="BA84">
        <f t="shared" ref="BA84:BA147" si="141">IMABS(AZ84)</f>
        <v>1.0005690285689277</v>
      </c>
      <c r="BB84">
        <f t="shared" ref="BB84:BB147" si="142">IMARGUMENT(AZ84)</f>
        <v>3.3727106960322939E-2</v>
      </c>
      <c r="BC84" s="41" t="str">
        <f t="shared" ref="BC84:BC147" si="143">IMPRODUCT(AS84,IMDIV(AZ84,IMPRODUCT(AT84,AW84)))</f>
        <v>-0.558944086253211+17.0688427445717i</v>
      </c>
      <c r="BD84">
        <f t="shared" ref="BD84:BD147" si="144">20*LOG(IMABS(BC84))</f>
        <v>24.64873612123607</v>
      </c>
      <c r="BE84" s="43">
        <f t="shared" ref="BE84:BE147" si="145">(180/PI())*IMARGUMENT(BC84)</f>
        <v>91.875563433894825</v>
      </c>
      <c r="BF84" s="41" t="str">
        <f t="shared" ref="BF84:BF147" si="146">IMPRODUCT(AC84,BC84)</f>
        <v>10.2861760278259+325.389157347589i</v>
      </c>
      <c r="BG84" s="20">
        <f t="shared" ref="BG84:BG147" si="147">20*LOG(IMABS(BF84))</f>
        <v>50.252399340985406</v>
      </c>
      <c r="BH84" s="43">
        <f t="shared" ref="BH84:BH147" si="148">(180/PI())*IMARGUMENT(BF84)</f>
        <v>88.189373365954964</v>
      </c>
      <c r="BI84" s="41" t="str">
        <f t="shared" si="101"/>
        <v>20.9872752839426+1186.05684285451i</v>
      </c>
      <c r="BJ84" s="20">
        <f t="shared" ref="BJ84:BJ147" si="149">20*LOG(IMABS(BI84))</f>
        <v>61.483469689385075</v>
      </c>
      <c r="BK84" s="43">
        <f t="shared" si="102"/>
        <v>88.986257004643178</v>
      </c>
      <c r="BL84">
        <f t="shared" ref="BL84:BL147" si="150">IF($B$31=0,BJ84,BG84)</f>
        <v>50.252399340985406</v>
      </c>
      <c r="BM84" s="43">
        <f t="shared" ref="BM84:BM147" si="151">IF($B$31=0,BK84,BH84)</f>
        <v>88.189373365954964</v>
      </c>
    </row>
    <row r="85" spans="14:65" x14ac:dyDescent="0.25">
      <c r="N85" s="9">
        <v>67</v>
      </c>
      <c r="O85" s="34">
        <f t="shared" si="116"/>
        <v>46.773514128719818</v>
      </c>
      <c r="P85" s="33" t="str">
        <f t="shared" si="103"/>
        <v>19.1021967526266</v>
      </c>
      <c r="Q85" s="4" t="str">
        <f t="shared" si="104"/>
        <v>1+0.0659630986949392i</v>
      </c>
      <c r="R85" s="4">
        <f t="shared" si="117"/>
        <v>1.0021732037873685</v>
      </c>
      <c r="S85" s="4">
        <f t="shared" si="118"/>
        <v>6.5867676340627374E-2</v>
      </c>
      <c r="T85" s="4" t="str">
        <f t="shared" si="105"/>
        <v>1+0.00110501382933762i</v>
      </c>
      <c r="U85" s="4">
        <f t="shared" si="119"/>
        <v>1.0000006105275951</v>
      </c>
      <c r="V85" s="4">
        <f t="shared" si="120"/>
        <v>1.1050133795768549E-3</v>
      </c>
      <c r="W85" t="str">
        <f t="shared" si="106"/>
        <v>1-0.000612263868205685i</v>
      </c>
      <c r="X85" s="4">
        <f t="shared" si="121"/>
        <v>1.0000001874335045</v>
      </c>
      <c r="Y85" s="4">
        <f t="shared" si="122"/>
        <v>-6.122637916998534E-4</v>
      </c>
      <c r="Z85" t="str">
        <f t="shared" si="107"/>
        <v>0.999999997812238+0.00045552431794503i</v>
      </c>
      <c r="AA85" s="4">
        <f t="shared" si="123"/>
        <v>1.000000101563435</v>
      </c>
      <c r="AB85" s="4">
        <f t="shared" si="124"/>
        <v>4.5552428743414881E-4</v>
      </c>
      <c r="AC85" s="47" t="str">
        <f t="shared" si="125"/>
        <v>19.0195006203797-1.2538741110423i</v>
      </c>
      <c r="AD85" s="20">
        <f t="shared" si="126"/>
        <v>25.602816601531913</v>
      </c>
      <c r="AE85" s="43">
        <f t="shared" si="127"/>
        <v>-3.7718070080451884</v>
      </c>
      <c r="AF85" t="str">
        <f t="shared" si="108"/>
        <v>69.5520360182888</v>
      </c>
      <c r="AG85" t="str">
        <f t="shared" si="109"/>
        <v>1+0.0526197061589344i</v>
      </c>
      <c r="AH85">
        <f t="shared" si="128"/>
        <v>1.0013834597576756</v>
      </c>
      <c r="AI85">
        <f t="shared" si="129"/>
        <v>5.2571221612888172E-2</v>
      </c>
      <c r="AJ85" t="str">
        <f t="shared" si="110"/>
        <v>1+0.00110501382933762i</v>
      </c>
      <c r="AK85">
        <f t="shared" si="130"/>
        <v>1.0000006105275951</v>
      </c>
      <c r="AL85">
        <f t="shared" si="131"/>
        <v>1.1050133795768549E-3</v>
      </c>
      <c r="AM85" t="str">
        <f t="shared" si="111"/>
        <v>1-0.00013414029270465i</v>
      </c>
      <c r="AN85">
        <f t="shared" si="132"/>
        <v>1.0000000089968091</v>
      </c>
      <c r="AO85">
        <f t="shared" si="133"/>
        <v>-1.341402919000936E-4</v>
      </c>
      <c r="AP85" s="41" t="str">
        <f t="shared" si="134"/>
        <v>69.363543437113-3.58236304261427i</v>
      </c>
      <c r="AQ85">
        <f t="shared" si="135"/>
        <v>36.834194061933339</v>
      </c>
      <c r="AR85" s="43">
        <f t="shared" si="136"/>
        <v>-2.9564821918987167</v>
      </c>
      <c r="AS85" t="str">
        <f t="shared" si="112"/>
        <v>-0.0000166666666666667</v>
      </c>
      <c r="AT85" t="str">
        <f t="shared" si="113"/>
        <v>9.99214632911679E-07i</v>
      </c>
      <c r="AU85">
        <f t="shared" si="137"/>
        <v>9.9921463291167896E-7</v>
      </c>
      <c r="AV85">
        <f t="shared" si="138"/>
        <v>1.5707963267948966</v>
      </c>
      <c r="AW85" t="str">
        <f t="shared" si="114"/>
        <v>1+0.00101546483628429i</v>
      </c>
      <c r="AX85">
        <f t="shared" si="139"/>
        <v>1.0000005155842839</v>
      </c>
      <c r="AY85">
        <f t="shared" si="140"/>
        <v>1.0154644872459424E-3</v>
      </c>
      <c r="AZ85" t="str">
        <f t="shared" si="115"/>
        <v>1+0.0345258044336659i</v>
      </c>
      <c r="BA85">
        <f t="shared" si="141"/>
        <v>1.0005958380743905</v>
      </c>
      <c r="BB85">
        <f t="shared" si="142"/>
        <v>3.4512095625421665E-2</v>
      </c>
      <c r="BC85" s="41" t="str">
        <f t="shared" si="143"/>
        <v>-0.558944060312508+16.6803339942817i</v>
      </c>
      <c r="BD85">
        <f t="shared" si="144"/>
        <v>24.448968648535839</v>
      </c>
      <c r="BE85" s="43">
        <f t="shared" si="145"/>
        <v>91.919215592123962</v>
      </c>
      <c r="BF85" s="41" t="str">
        <f t="shared" si="146"/>
        <v>10.2842020570973+317.952468239128i</v>
      </c>
      <c r="BG85" s="20">
        <f t="shared" si="147"/>
        <v>50.051785250067752</v>
      </c>
      <c r="BH85" s="43">
        <f t="shared" si="148"/>
        <v>88.147408584078804</v>
      </c>
      <c r="BI85" s="41" t="str">
        <f t="shared" si="101"/>
        <v>20.9846714331743+1159.00941210246i</v>
      </c>
      <c r="BJ85" s="20">
        <f t="shared" si="149"/>
        <v>61.283162710469156</v>
      </c>
      <c r="BK85" s="43">
        <f t="shared" si="102"/>
        <v>88.962733400225261</v>
      </c>
      <c r="BL85">
        <f t="shared" si="150"/>
        <v>50.051785250067752</v>
      </c>
      <c r="BM85" s="43">
        <f t="shared" si="151"/>
        <v>88.147408584078804</v>
      </c>
    </row>
    <row r="86" spans="14:65" x14ac:dyDescent="0.25">
      <c r="N86" s="9">
        <v>68</v>
      </c>
      <c r="O86" s="34">
        <f t="shared" si="116"/>
        <v>47.863009232263877</v>
      </c>
      <c r="P86" s="33" t="str">
        <f t="shared" si="103"/>
        <v>19.1021967526266</v>
      </c>
      <c r="Q86" s="4" t="str">
        <f t="shared" si="104"/>
        <v>1+0.0674995766436551i</v>
      </c>
      <c r="R86" s="4">
        <f t="shared" si="117"/>
        <v>1.0022755074564442</v>
      </c>
      <c r="S86" s="4">
        <f t="shared" si="118"/>
        <v>6.7397342282051256E-2</v>
      </c>
      <c r="T86" s="4" t="str">
        <f t="shared" si="105"/>
        <v>1+0.00113075290793451i</v>
      </c>
      <c r="U86" s="4">
        <f t="shared" si="119"/>
        <v>1.0000006393008651</v>
      </c>
      <c r="V86" s="4">
        <f t="shared" si="120"/>
        <v>1.1307524260071842E-3</v>
      </c>
      <c r="W86" t="str">
        <f t="shared" si="106"/>
        <v>1-0.000626525325761586i</v>
      </c>
      <c r="X86" s="4">
        <f t="shared" si="121"/>
        <v>1.0000001962669727</v>
      </c>
      <c r="Y86" s="4">
        <f t="shared" si="122"/>
        <v>-6.2652524378411123E-4</v>
      </c>
      <c r="Z86" t="str">
        <f t="shared" si="107"/>
        <v>0.999999997709132+0.000466134842366619i</v>
      </c>
      <c r="AA86" s="4">
        <f t="shared" si="123"/>
        <v>1.0000001063499717</v>
      </c>
      <c r="AB86" s="4">
        <f t="shared" si="124"/>
        <v>4.6613480967362095E-4</v>
      </c>
      <c r="AC86" s="47" t="str">
        <f t="shared" si="125"/>
        <v>19.0156209482521-1.28281871509759i</v>
      </c>
      <c r="AD86" s="20">
        <f t="shared" si="126"/>
        <v>25.601930260396479</v>
      </c>
      <c r="AE86" s="43">
        <f t="shared" si="127"/>
        <v>-3.8594007309814442</v>
      </c>
      <c r="AF86" t="str">
        <f t="shared" si="108"/>
        <v>69.5520360182888</v>
      </c>
      <c r="AG86" t="str">
        <f t="shared" si="109"/>
        <v>1+0.05384537656831i</v>
      </c>
      <c r="AH86">
        <f t="shared" si="128"/>
        <v>1.0014486130490086</v>
      </c>
      <c r="AI86">
        <f t="shared" si="129"/>
        <v>5.3793428499103992E-2</v>
      </c>
      <c r="AJ86" t="str">
        <f t="shared" si="110"/>
        <v>1+0.00113075290793451i</v>
      </c>
      <c r="AK86">
        <f t="shared" si="130"/>
        <v>1.0000006393008651</v>
      </c>
      <c r="AL86">
        <f t="shared" si="131"/>
        <v>1.1307524260071842E-3</v>
      </c>
      <c r="AM86" t="str">
        <f t="shared" si="111"/>
        <v>1-0.000137264821507157i</v>
      </c>
      <c r="AN86">
        <f t="shared" si="132"/>
        <v>1.0000000094208155</v>
      </c>
      <c r="AO86">
        <f t="shared" si="133"/>
        <v>-1.3726482064505932E-4</v>
      </c>
      <c r="AP86" s="41" t="str">
        <f t="shared" si="134"/>
        <v>69.3546857367921-3.66533005110343i</v>
      </c>
      <c r="AQ86">
        <f t="shared" si="135"/>
        <v>36.833629201461342</v>
      </c>
      <c r="AR86" s="43">
        <f t="shared" si="136"/>
        <v>-3.0252137717516101</v>
      </c>
      <c r="AS86" t="str">
        <f t="shared" si="112"/>
        <v>-0.0000166666666666667</v>
      </c>
      <c r="AT86" t="str">
        <f t="shared" si="113"/>
        <v>1.02248933164291E-06i</v>
      </c>
      <c r="AU86">
        <f t="shared" si="137"/>
        <v>1.02248933164291E-6</v>
      </c>
      <c r="AV86">
        <f t="shared" si="138"/>
        <v>1.5707963267948966</v>
      </c>
      <c r="AW86" t="str">
        <f t="shared" si="114"/>
        <v>1+0.00103911805087724i</v>
      </c>
      <c r="AX86">
        <f t="shared" si="139"/>
        <v>1.0000005398830161</v>
      </c>
      <c r="AY86">
        <f t="shared" si="140"/>
        <v>1.0391176768759231E-3</v>
      </c>
      <c r="AZ86" t="str">
        <f t="shared" si="115"/>
        <v>1+0.0353300137298261i</v>
      </c>
      <c r="BA86">
        <f t="shared" si="141"/>
        <v>1.0006239103030417</v>
      </c>
      <c r="BB86">
        <f t="shared" si="142"/>
        <v>3.5315324971766121E-2</v>
      </c>
      <c r="BC86" s="41" t="str">
        <f t="shared" si="143"/>
        <v>-0.558944033149256+16.3006693778633i</v>
      </c>
      <c r="BD86">
        <f t="shared" si="144"/>
        <v>24.249212121143454</v>
      </c>
      <c r="BE86" s="43">
        <f t="shared" si="145"/>
        <v>91.963882015712727</v>
      </c>
      <c r="BF86" s="41" t="str">
        <f t="shared" si="146"/>
        <v>10.2821358808877+310.684373958645i</v>
      </c>
      <c r="BG86" s="20">
        <f t="shared" si="147"/>
        <v>49.851142381539937</v>
      </c>
      <c r="BH86" s="43">
        <f t="shared" si="148"/>
        <v>88.104481284731293</v>
      </c>
      <c r="BI86" s="41" t="str">
        <f t="shared" si="101"/>
        <v>20.981945560262+1132.57651636265i</v>
      </c>
      <c r="BJ86" s="20">
        <f t="shared" si="149"/>
        <v>61.082841322604821</v>
      </c>
      <c r="BK86" s="43">
        <f t="shared" si="102"/>
        <v>88.938668243961132</v>
      </c>
      <c r="BL86">
        <f t="shared" si="150"/>
        <v>49.851142381539937</v>
      </c>
      <c r="BM86" s="43">
        <f t="shared" si="151"/>
        <v>88.104481284731293</v>
      </c>
    </row>
    <row r="87" spans="14:65" x14ac:dyDescent="0.25">
      <c r="N87" s="9">
        <v>69</v>
      </c>
      <c r="O87" s="34">
        <f t="shared" si="116"/>
        <v>48.977881936844632</v>
      </c>
      <c r="P87" s="33" t="str">
        <f t="shared" si="103"/>
        <v>19.1021967526266</v>
      </c>
      <c r="Q87" s="4" t="str">
        <f t="shared" si="104"/>
        <v>1+0.06907184376137i</v>
      </c>
      <c r="R87" s="4">
        <f t="shared" si="117"/>
        <v>1.0023826213580298</v>
      </c>
      <c r="S87" s="4">
        <f t="shared" si="118"/>
        <v>6.8962311727527467E-2</v>
      </c>
      <c r="T87" s="4" t="str">
        <f t="shared" si="105"/>
        <v>1+0.00115709152669047i</v>
      </c>
      <c r="U87" s="4">
        <f t="shared" si="119"/>
        <v>1.0000006694301764</v>
      </c>
      <c r="V87" s="4">
        <f t="shared" si="120"/>
        <v>1.1570910102960553E-3</v>
      </c>
      <c r="W87" t="str">
        <f t="shared" si="106"/>
        <v>1-0.000641118975338248i</v>
      </c>
      <c r="X87" s="4">
        <f t="shared" si="121"/>
        <v>1.0000002055167492</v>
      </c>
      <c r="Y87" s="4">
        <f t="shared" si="122"/>
        <v>-6.4111888749780223E-4</v>
      </c>
      <c r="Z87" t="str">
        <f t="shared" si="107"/>
        <v>0.999999997601167+0.000476992517651656i</v>
      </c>
      <c r="AA87" s="4">
        <f t="shared" si="123"/>
        <v>1.0000001113620915</v>
      </c>
      <c r="AB87" s="4">
        <f t="shared" si="124"/>
        <v>4.7699248262047752E-4</v>
      </c>
      <c r="AC87" s="47" t="str">
        <f t="shared" si="125"/>
        <v>19.0115601301107-1.3124189136425i</v>
      </c>
      <c r="AD87" s="20">
        <f t="shared" si="126"/>
        <v>25.601002341253917</v>
      </c>
      <c r="AE87" s="43">
        <f t="shared" si="127"/>
        <v>-3.9490160385837383</v>
      </c>
      <c r="AF87" t="str">
        <f t="shared" si="108"/>
        <v>69.5520360182888</v>
      </c>
      <c r="AG87" t="str">
        <f t="shared" si="109"/>
        <v>1+0.05509959650907i</v>
      </c>
      <c r="AH87">
        <f t="shared" si="128"/>
        <v>1.0015168323775006</v>
      </c>
      <c r="AI87">
        <f t="shared" si="129"/>
        <v>5.5043937702205011E-2</v>
      </c>
      <c r="AJ87" t="str">
        <f t="shared" si="110"/>
        <v>1+0.00115709152669047i</v>
      </c>
      <c r="AK87">
        <f t="shared" si="130"/>
        <v>1.0000006694301764</v>
      </c>
      <c r="AL87">
        <f t="shared" si="131"/>
        <v>1.1570910102960553E-3</v>
      </c>
      <c r="AM87" t="str">
        <f t="shared" si="111"/>
        <v>1-0.000140462129934943i</v>
      </c>
      <c r="AN87">
        <f t="shared" si="132"/>
        <v>1.000000009864805</v>
      </c>
      <c r="AO87">
        <f t="shared" si="133"/>
        <v>-1.4046212901118867E-4</v>
      </c>
      <c r="AP87" s="41" t="str">
        <f t="shared" si="134"/>
        <v>69.3454130561066-3.75019563472588i</v>
      </c>
      <c r="AQ87">
        <f t="shared" si="135"/>
        <v>36.833037798738772</v>
      </c>
      <c r="AR87" s="43">
        <f t="shared" si="136"/>
        <v>-3.095536773888651</v>
      </c>
      <c r="AS87" t="str">
        <f t="shared" si="112"/>
        <v>-0.0000166666666666667</v>
      </c>
      <c r="AT87" t="str">
        <f t="shared" si="113"/>
        <v>1.04630616775202E-06i</v>
      </c>
      <c r="AU87">
        <f t="shared" si="137"/>
        <v>1.0463061677520201E-6</v>
      </c>
      <c r="AV87">
        <f t="shared" si="138"/>
        <v>1.5707963267948966</v>
      </c>
      <c r="AW87" t="str">
        <f t="shared" si="114"/>
        <v>1+0.00106332221961512i</v>
      </c>
      <c r="AX87">
        <f t="shared" si="139"/>
        <v>1.0000005653269115</v>
      </c>
      <c r="AY87">
        <f t="shared" si="140"/>
        <v>1.0633218188655009E-3</v>
      </c>
      <c r="AZ87" t="str">
        <f t="shared" si="115"/>
        <v>1+0.0361529554669139i</v>
      </c>
      <c r="BA87">
        <f t="shared" si="141"/>
        <v>1.0006533046909867</v>
      </c>
      <c r="BB87">
        <f t="shared" si="142"/>
        <v>3.6137216734016084E-2</v>
      </c>
      <c r="BC87" s="41" t="str">
        <f t="shared" si="143"/>
        <v>-0.558944004705846+15.9296475921112i</v>
      </c>
      <c r="BD87">
        <f t="shared" si="144"/>
        <v>24.049467053607465</v>
      </c>
      <c r="BE87" s="43">
        <f t="shared" si="145"/>
        <v>92.009586149723489</v>
      </c>
      <c r="BF87" s="41" t="str">
        <f t="shared" si="146"/>
        <v>10.2799732327164+303.581021732338i</v>
      </c>
      <c r="BG87" s="20">
        <f t="shared" si="147"/>
        <v>49.650469394861375</v>
      </c>
      <c r="BH87" s="43">
        <f t="shared" si="148"/>
        <v>88.060570111139739</v>
      </c>
      <c r="BI87" s="41" t="str">
        <f t="shared" si="101"/>
        <v>20.9790919810958+1106.74414147967i</v>
      </c>
      <c r="BJ87" s="20">
        <f t="shared" si="149"/>
        <v>60.882504852346251</v>
      </c>
      <c r="BK87" s="43">
        <f t="shared" si="102"/>
        <v>88.914049375834836</v>
      </c>
      <c r="BL87">
        <f t="shared" si="150"/>
        <v>49.650469394861375</v>
      </c>
      <c r="BM87" s="43">
        <f t="shared" si="151"/>
        <v>88.060570111139739</v>
      </c>
    </row>
    <row r="88" spans="14:65" x14ac:dyDescent="0.25">
      <c r="N88" s="9">
        <v>70</v>
      </c>
      <c r="O88" s="34">
        <f t="shared" si="116"/>
        <v>50.118723362727238</v>
      </c>
      <c r="P88" s="33" t="str">
        <f t="shared" si="103"/>
        <v>19.1021967526266</v>
      </c>
      <c r="Q88" s="4" t="str">
        <f t="shared" si="104"/>
        <v>1+0.0706807336849209i</v>
      </c>
      <c r="R88" s="4">
        <f t="shared" si="117"/>
        <v>1.0024947711156595</v>
      </c>
      <c r="S88" s="4">
        <f t="shared" si="118"/>
        <v>7.0563383764829693E-2</v>
      </c>
      <c r="T88" s="4" t="str">
        <f t="shared" si="105"/>
        <v>1+0.00118404365068979i</v>
      </c>
      <c r="U88" s="4">
        <f t="shared" si="119"/>
        <v>1.0000007009794378</v>
      </c>
      <c r="V88" s="4">
        <f t="shared" si="120"/>
        <v>1.1840430973632267E-3</v>
      </c>
      <c r="W88" t="str">
        <f t="shared" si="106"/>
        <v>1-0.000656052554681846i</v>
      </c>
      <c r="X88" s="4">
        <f t="shared" si="121"/>
        <v>1.0000002152024541</v>
      </c>
      <c r="Y88" s="4">
        <f t="shared" si="122"/>
        <v>-6.5605246055911359E-4</v>
      </c>
      <c r="Z88" t="str">
        <f t="shared" si="107"/>
        <v>0.999999997488114+0.000488103100683293i</v>
      </c>
      <c r="AA88" s="4">
        <f t="shared" si="123"/>
        <v>1.0000001166104258</v>
      </c>
      <c r="AB88" s="4">
        <f t="shared" si="124"/>
        <v>4.8810306314670893E-4</v>
      </c>
      <c r="AC88" s="47" t="str">
        <f t="shared" si="125"/>
        <v>19.0073097913657-1.3426886605413i</v>
      </c>
      <c r="AD88" s="20">
        <f t="shared" si="126"/>
        <v>25.600030903215472</v>
      </c>
      <c r="AE88" s="43">
        <f t="shared" si="127"/>
        <v>-4.0406986882611209</v>
      </c>
      <c r="AF88" t="str">
        <f t="shared" si="108"/>
        <v>69.5520360182888</v>
      </c>
      <c r="AG88" t="str">
        <f t="shared" si="109"/>
        <v>1+0.0563830309852284i</v>
      </c>
      <c r="AH88">
        <f t="shared" si="128"/>
        <v>1.0015882618037619</v>
      </c>
      <c r="AI88">
        <f t="shared" si="129"/>
        <v>5.632339660575493E-2</v>
      </c>
      <c r="AJ88" t="str">
        <f t="shared" si="110"/>
        <v>1+0.00118404365068979i</v>
      </c>
      <c r="AK88">
        <f t="shared" si="130"/>
        <v>1.0000007009794378</v>
      </c>
      <c r="AL88">
        <f t="shared" si="131"/>
        <v>1.1840430973632267E-3</v>
      </c>
      <c r="AM88" t="str">
        <f t="shared" si="111"/>
        <v>1-0.000143733913243256i</v>
      </c>
      <c r="AN88">
        <f t="shared" si="132"/>
        <v>1.0000000103297189</v>
      </c>
      <c r="AO88">
        <f t="shared" si="133"/>
        <v>-1.4373391225343539E-4</v>
      </c>
      <c r="AP88" s="41" t="str">
        <f t="shared" si="134"/>
        <v>69.3357060748468-3.83700160367172i</v>
      </c>
      <c r="AQ88">
        <f t="shared" si="135"/>
        <v>36.832418610447213</v>
      </c>
      <c r="AR88" s="43">
        <f t="shared" si="136"/>
        <v>-3.1674875876557405</v>
      </c>
      <c r="AS88" t="str">
        <f t="shared" si="112"/>
        <v>-0.0000166666666666667</v>
      </c>
      <c r="AT88" t="str">
        <f t="shared" si="113"/>
        <v>1.07067776924077E-06i</v>
      </c>
      <c r="AU88">
        <f t="shared" si="137"/>
        <v>1.0706777692407701E-6</v>
      </c>
      <c r="AV88">
        <f t="shared" si="138"/>
        <v>1.5707963267948966</v>
      </c>
      <c r="AW88" t="str">
        <f t="shared" si="114"/>
        <v>1+0.00108809017586856i</v>
      </c>
      <c r="AX88">
        <f t="shared" si="139"/>
        <v>1.0000005919699402</v>
      </c>
      <c r="AY88">
        <f t="shared" si="140"/>
        <v>1.0880897464576205E-3</v>
      </c>
      <c r="AZ88" t="str">
        <f t="shared" si="115"/>
        <v>1+0.0369950659795312i</v>
      </c>
      <c r="BA88">
        <f t="shared" si="141"/>
        <v>1.0006840834683191</v>
      </c>
      <c r="BB88">
        <f t="shared" si="142"/>
        <v>3.6978202245983263E-2</v>
      </c>
      <c r="BC88" s="41" t="str">
        <f t="shared" si="143"/>
        <v>-0.558943974921944+15.5670719163635i</v>
      </c>
      <c r="BD88">
        <f t="shared" si="144"/>
        <v>23.849733984602434</v>
      </c>
      <c r="BE88" s="43">
        <f t="shared" si="145"/>
        <v>92.056351972472527</v>
      </c>
      <c r="BF88" s="41" t="str">
        <f t="shared" si="146"/>
        <v>10.2777096525735+296.638646195796i</v>
      </c>
      <c r="BG88" s="20">
        <f t="shared" si="147"/>
        <v>49.449764887817921</v>
      </c>
      <c r="BH88" s="43">
        <f t="shared" si="148"/>
        <v>88.015653284211425</v>
      </c>
      <c r="BI88" s="41" t="str">
        <f t="shared" si="101"/>
        <v>20.9761047500653+1081.49859176712i</v>
      </c>
      <c r="BJ88" s="20">
        <f t="shared" si="149"/>
        <v>60.682152595049644</v>
      </c>
      <c r="BK88" s="43">
        <f t="shared" si="102"/>
        <v>88.888864384816799</v>
      </c>
      <c r="BL88">
        <f t="shared" si="150"/>
        <v>49.449764887817921</v>
      </c>
      <c r="BM88" s="43">
        <f t="shared" si="151"/>
        <v>88.015653284211425</v>
      </c>
    </row>
    <row r="89" spans="14:65" x14ac:dyDescent="0.25">
      <c r="N89" s="9">
        <v>71</v>
      </c>
      <c r="O89" s="34">
        <f t="shared" si="116"/>
        <v>51.28613839913649</v>
      </c>
      <c r="P89" s="33" t="str">
        <f t="shared" si="103"/>
        <v>19.1021967526266</v>
      </c>
      <c r="Q89" s="4" t="str">
        <f t="shared" si="104"/>
        <v>1+0.0723270994690418i</v>
      </c>
      <c r="R89" s="4">
        <f t="shared" si="117"/>
        <v>1.0026121928829734</v>
      </c>
      <c r="S89" s="4">
        <f t="shared" si="118"/>
        <v>7.2201374451193109E-2</v>
      </c>
      <c r="T89" s="4" t="str">
        <f t="shared" si="105"/>
        <v>1+0.00121162357030539i</v>
      </c>
      <c r="U89" s="4">
        <f t="shared" si="119"/>
        <v>1.0000007340155688</v>
      </c>
      <c r="V89" s="4">
        <f t="shared" si="120"/>
        <v>1.2116229774053187E-3</v>
      </c>
      <c r="W89" t="str">
        <f t="shared" si="106"/>
        <v>1-0.000671333981773819i</v>
      </c>
      <c r="X89" s="4">
        <f t="shared" si="121"/>
        <v>1.0000002253446321</v>
      </c>
      <c r="Y89" s="4">
        <f t="shared" si="122"/>
        <v>-6.7133388091949542E-4</v>
      </c>
      <c r="Z89" t="str">
        <f t="shared" si="107"/>
        <v>0.999999997369732+0.000499472482439721i</v>
      </c>
      <c r="AA89" s="4">
        <f t="shared" si="123"/>
        <v>1.000000122106105</v>
      </c>
      <c r="AB89" s="4">
        <f t="shared" si="124"/>
        <v>4.9947244221854709E-4</v>
      </c>
      <c r="AC89" s="47" t="str">
        <f t="shared" si="125"/>
        <v>19.0028611782527-1.3736421422227i</v>
      </c>
      <c r="AD89" s="20">
        <f t="shared" si="126"/>
        <v>25.599013915704312</v>
      </c>
      <c r="AE89" s="43">
        <f t="shared" si="127"/>
        <v>-4.1344954090737014</v>
      </c>
      <c r="AF89" t="str">
        <f t="shared" si="108"/>
        <v>69.5520360182888</v>
      </c>
      <c r="AG89" t="str">
        <f t="shared" si="109"/>
        <v>1+0.0576963604907328i</v>
      </c>
      <c r="AH89">
        <f t="shared" si="128"/>
        <v>1.0016630521357353</v>
      </c>
      <c r="AI89">
        <f t="shared" si="129"/>
        <v>5.7632466830362869E-2</v>
      </c>
      <c r="AJ89" t="str">
        <f t="shared" si="110"/>
        <v>1+0.00121162357030539i</v>
      </c>
      <c r="AK89">
        <f t="shared" si="130"/>
        <v>1.0000007340155688</v>
      </c>
      <c r="AL89">
        <f t="shared" si="131"/>
        <v>1.2116229774053187E-3</v>
      </c>
      <c r="AM89" t="str">
        <f t="shared" si="111"/>
        <v>1-0.000147081906174913i</v>
      </c>
      <c r="AN89">
        <f t="shared" si="132"/>
        <v>1.0000000108165434</v>
      </c>
      <c r="AO89">
        <f t="shared" si="133"/>
        <v>-1.4708190511430111E-4</v>
      </c>
      <c r="AP89" s="41" t="str">
        <f t="shared" si="134"/>
        <v>69.3255445849913-3.92579057142546i</v>
      </c>
      <c r="AQ89">
        <f t="shared" si="135"/>
        <v>36.83177033540008</v>
      </c>
      <c r="AR89" s="43">
        <f t="shared" si="136"/>
        <v>-3.2411034017468987</v>
      </c>
      <c r="AS89" t="str">
        <f t="shared" si="112"/>
        <v>-0.0000166666666666667</v>
      </c>
      <c r="AT89" t="str">
        <f t="shared" si="113"/>
        <v>1.09561705825487E-06i</v>
      </c>
      <c r="AU89">
        <f t="shared" si="137"/>
        <v>1.0956170582548701E-6</v>
      </c>
      <c r="AV89">
        <f t="shared" si="138"/>
        <v>1.5707963267948966</v>
      </c>
      <c r="AW89" t="str">
        <f t="shared" si="114"/>
        <v>1+0.00111343505193583i</v>
      </c>
      <c r="AX89">
        <f t="shared" si="139"/>
        <v>1.0000006198686153</v>
      </c>
      <c r="AY89">
        <f t="shared" si="140"/>
        <v>1.1134345918137338E-3</v>
      </c>
      <c r="AZ89" t="str">
        <f t="shared" si="115"/>
        <v>1+0.0378567917658183i</v>
      </c>
      <c r="BA89">
        <f t="shared" si="141"/>
        <v>1.0007163117901099</v>
      </c>
      <c r="BB89">
        <f t="shared" si="142"/>
        <v>3.7838722648260222E-2</v>
      </c>
      <c r="BC89" s="41" t="str">
        <f t="shared" si="143"/>
        <v>-0.558943943734371+15.2127501081973i</v>
      </c>
      <c r="BD89">
        <f t="shared" si="144"/>
        <v>23.650013478053772</v>
      </c>
      <c r="BE89" s="43">
        <f t="shared" si="145"/>
        <v>92.104204007036586</v>
      </c>
      <c r="BF89" s="41" t="str">
        <f t="shared" si="146"/>
        <v>10.2753404785134+289.853567401776i</v>
      </c>
      <c r="BG89" s="20">
        <f t="shared" si="147"/>
        <v>49.249027393758098</v>
      </c>
      <c r="BH89" s="43">
        <f t="shared" si="148"/>
        <v>87.969708597962892</v>
      </c>
      <c r="BI89" s="41" t="str">
        <f t="shared" si="101"/>
        <v>20.9729776483446+1056.82648275043i</v>
      </c>
      <c r="BJ89" s="20">
        <f t="shared" si="149"/>
        <v>60.481783813453845</v>
      </c>
      <c r="BK89" s="43">
        <f t="shared" si="102"/>
        <v>88.863100605289688</v>
      </c>
      <c r="BL89">
        <f t="shared" si="150"/>
        <v>49.249027393758098</v>
      </c>
      <c r="BM89" s="43">
        <f t="shared" si="151"/>
        <v>87.969708597962892</v>
      </c>
    </row>
    <row r="90" spans="14:65" x14ac:dyDescent="0.25">
      <c r="N90" s="9">
        <v>72</v>
      </c>
      <c r="O90" s="34">
        <f t="shared" si="116"/>
        <v>52.480746024977286</v>
      </c>
      <c r="P90" s="33" t="str">
        <f t="shared" si="103"/>
        <v>19.1021967526266</v>
      </c>
      <c r="Q90" s="4" t="str">
        <f t="shared" si="104"/>
        <v>1+0.0740118140386637i</v>
      </c>
      <c r="R90" s="4">
        <f t="shared" si="117"/>
        <v>1.0027351338301125</v>
      </c>
      <c r="S90" s="4">
        <f t="shared" si="118"/>
        <v>7.3877117093225905E-2</v>
      </c>
      <c r="T90" s="4" t="str">
        <f t="shared" si="105"/>
        <v>1+0.00123984590877569i</v>
      </c>
      <c r="U90" s="4">
        <f t="shared" si="119"/>
        <v>1.0000007686086434</v>
      </c>
      <c r="V90" s="4">
        <f t="shared" si="120"/>
        <v>1.2398452734718437E-3</v>
      </c>
      <c r="W90" t="str">
        <f t="shared" si="106"/>
        <v>1-0.000686971359029086i</v>
      </c>
      <c r="X90" s="4">
        <f t="shared" si="121"/>
        <v>1.0000002359647961</v>
      </c>
      <c r="Y90" s="4">
        <f t="shared" si="122"/>
        <v>-6.869712509617326E-4</v>
      </c>
      <c r="Z90" t="str">
        <f t="shared" si="107"/>
        <v>0.999999997245771+0.000511106691117639i</v>
      </c>
      <c r="AA90" s="4">
        <f t="shared" si="123"/>
        <v>1.0000001278607877</v>
      </c>
      <c r="AB90" s="4">
        <f t="shared" si="124"/>
        <v>5.1110664801987506E-4</v>
      </c>
      <c r="AC90" s="47" t="str">
        <f t="shared" si="125"/>
        <v>18.9982051414333-1.40529377669154i</v>
      </c>
      <c r="AD90" s="20">
        <f t="shared" si="126"/>
        <v>25.597949254398848</v>
      </c>
      <c r="AE90" s="43">
        <f t="shared" si="127"/>
        <v>-4.2304539177560017</v>
      </c>
      <c r="AF90" t="str">
        <f t="shared" si="108"/>
        <v>69.5520360182888</v>
      </c>
      <c r="AG90" t="str">
        <f t="shared" si="109"/>
        <v>1+0.0590402813702712i</v>
      </c>
      <c r="AH90">
        <f t="shared" si="128"/>
        <v>1.0017413612426518</v>
      </c>
      <c r="AI90">
        <f t="shared" si="129"/>
        <v>5.8971824505772263E-2</v>
      </c>
      <c r="AJ90" t="str">
        <f t="shared" si="110"/>
        <v>1+0.00123984590877569i</v>
      </c>
      <c r="AK90">
        <f t="shared" si="130"/>
        <v>1.0000007686086434</v>
      </c>
      <c r="AL90">
        <f t="shared" si="131"/>
        <v>1.2398452734718437E-3</v>
      </c>
      <c r="AM90" t="str">
        <f t="shared" si="111"/>
        <v>1-0.000150507883880084i</v>
      </c>
      <c r="AN90">
        <f t="shared" si="132"/>
        <v>1.0000000113263114</v>
      </c>
      <c r="AO90">
        <f t="shared" si="133"/>
        <v>-1.505078827436179E-4</v>
      </c>
      <c r="AP90" s="41" t="str">
        <f t="shared" si="134"/>
        <v>69.3149074510351-4.01660596151979i</v>
      </c>
      <c r="AQ90">
        <f t="shared" si="135"/>
        <v>36.831091611885313</v>
      </c>
      <c r="AR90" s="43">
        <f t="shared" si="136"/>
        <v>-3.3164222194123925</v>
      </c>
      <c r="AS90" t="str">
        <f t="shared" si="112"/>
        <v>-0.0000166666666666667</v>
      </c>
      <c r="AT90" t="str">
        <f t="shared" si="113"/>
        <v>1.12113725793547E-06i</v>
      </c>
      <c r="AU90">
        <f t="shared" si="137"/>
        <v>1.1211372579354701E-6</v>
      </c>
      <c r="AV90">
        <f t="shared" si="138"/>
        <v>1.5707963267948966</v>
      </c>
      <c r="AW90" t="str">
        <f t="shared" si="114"/>
        <v>1+0.0011393702860057i</v>
      </c>
      <c r="AX90">
        <f t="shared" si="139"/>
        <v>1.0000006490821136</v>
      </c>
      <c r="AY90">
        <f t="shared" si="140"/>
        <v>1.1393697929760083E-3</v>
      </c>
      <c r="AZ90" t="str">
        <f t="shared" si="115"/>
        <v>1+0.0387385897241937i</v>
      </c>
      <c r="BA90">
        <f t="shared" si="141"/>
        <v>1.0007500578735029</v>
      </c>
      <c r="BB90">
        <f t="shared" si="142"/>
        <v>3.8719229099554241E-2</v>
      </c>
      <c r="BC90" s="41" t="str">
        <f t="shared" si="143"/>
        <v>-0.558943911076974+14.8664943014996i</v>
      </c>
      <c r="BD90">
        <f t="shared" si="144"/>
        <v>23.450306124314896</v>
      </c>
      <c r="BE90" s="43">
        <f t="shared" si="145"/>
        <v>92.153167332962354</v>
      </c>
      <c r="BF90" s="41" t="str">
        <f t="shared" si="146"/>
        <v>10.2728608379222+283.222188873595i</v>
      </c>
      <c r="BG90" s="20">
        <f t="shared" si="147"/>
        <v>49.048255378713748</v>
      </c>
      <c r="BH90" s="43">
        <f t="shared" si="148"/>
        <v>87.922713415206374</v>
      </c>
      <c r="BI90" s="41" t="str">
        <f t="shared" si="101"/>
        <v>20.9697041716832+1032.71473407517i</v>
      </c>
      <c r="BJ90" s="20">
        <f t="shared" si="149"/>
        <v>60.281397736200184</v>
      </c>
      <c r="BK90" s="43">
        <f t="shared" si="102"/>
        <v>88.836745113549981</v>
      </c>
      <c r="BL90">
        <f t="shared" si="150"/>
        <v>49.048255378713748</v>
      </c>
      <c r="BM90" s="43">
        <f t="shared" si="151"/>
        <v>87.922713415206374</v>
      </c>
    </row>
    <row r="91" spans="14:65" x14ac:dyDescent="0.25">
      <c r="N91" s="9">
        <v>73</v>
      </c>
      <c r="O91" s="34">
        <f t="shared" si="116"/>
        <v>53.703179637025293</v>
      </c>
      <c r="P91" s="33" t="str">
        <f t="shared" si="103"/>
        <v>19.1021967526266</v>
      </c>
      <c r="Q91" s="4" t="str">
        <f t="shared" si="104"/>
        <v>1+0.0757357706517507i</v>
      </c>
      <c r="R91" s="4">
        <f t="shared" si="117"/>
        <v>1.0028638526521008</v>
      </c>
      <c r="S91" s="4">
        <f t="shared" si="118"/>
        <v>7.5591462525356062E-2</v>
      </c>
      <c r="T91" s="4" t="str">
        <f t="shared" si="105"/>
        <v>1+0.00126872562995813i</v>
      </c>
      <c r="U91" s="4">
        <f t="shared" si="119"/>
        <v>1.0000008048320381</v>
      </c>
      <c r="V91" s="4">
        <f t="shared" si="120"/>
        <v>1.2687249492178236E-3</v>
      </c>
      <c r="W91" t="str">
        <f t="shared" si="106"/>
        <v>1-0.000702972977592048i</v>
      </c>
      <c r="X91" s="4">
        <f t="shared" si="121"/>
        <v>1.0000002470854732</v>
      </c>
      <c r="Y91" s="4">
        <f t="shared" si="122"/>
        <v>-7.0297286179579418E-4</v>
      </c>
      <c r="Z91" t="str">
        <f t="shared" si="107"/>
        <v>0.999999997115969+0.000523011895328483i</v>
      </c>
      <c r="AA91" s="4">
        <f t="shared" si="123"/>
        <v>1.0000001338866813</v>
      </c>
      <c r="AB91" s="4">
        <f t="shared" si="124"/>
        <v>5.2301184914839676E-4</v>
      </c>
      <c r="AC91" s="47" t="str">
        <f t="shared" si="125"/>
        <v>18.9933321189603-1.43765821208409i</v>
      </c>
      <c r="AD91" s="20">
        <f t="shared" si="126"/>
        <v>25.596834697000634</v>
      </c>
      <c r="AE91" s="43">
        <f t="shared" si="127"/>
        <v>-4.3286229346557672</v>
      </c>
      <c r="AF91" t="str">
        <f t="shared" si="108"/>
        <v>69.5520360182888</v>
      </c>
      <c r="AG91" t="str">
        <f t="shared" si="109"/>
        <v>1+0.0604155061884823i</v>
      </c>
      <c r="AH91">
        <f t="shared" si="128"/>
        <v>1.0018233543834014</v>
      </c>
      <c r="AI91">
        <f t="shared" si="129"/>
        <v>6.0342160545115854E-2</v>
      </c>
      <c r="AJ91" t="str">
        <f t="shared" si="110"/>
        <v>1+0.00126872562995813i</v>
      </c>
      <c r="AK91">
        <f t="shared" si="130"/>
        <v>1.0000008048320381</v>
      </c>
      <c r="AL91">
        <f t="shared" si="131"/>
        <v>1.2687249492178236E-3</v>
      </c>
      <c r="AM91" t="str">
        <f t="shared" si="111"/>
        <v>1-0.000154013662857496i</v>
      </c>
      <c r="AN91">
        <f t="shared" si="132"/>
        <v>1.000000011860104</v>
      </c>
      <c r="AO91">
        <f t="shared" si="133"/>
        <v>-1.5401366163975063E-4</v>
      </c>
      <c r="AP91" s="41" t="str">
        <f t="shared" si="134"/>
        <v>69.3037725686515-4.10949201362073i</v>
      </c>
      <c r="AQ91">
        <f t="shared" si="135"/>
        <v>36.830381014889063</v>
      </c>
      <c r="AR91" s="43">
        <f t="shared" si="136"/>
        <v>-3.3934828737821525</v>
      </c>
      <c r="AS91" t="str">
        <f t="shared" si="112"/>
        <v>-0.0000166666666666667</v>
      </c>
      <c r="AT91" t="str">
        <f t="shared" si="113"/>
        <v>1.14725189943022E-06i</v>
      </c>
      <c r="AU91">
        <f t="shared" si="137"/>
        <v>1.14725189943022E-6</v>
      </c>
      <c r="AV91">
        <f t="shared" si="138"/>
        <v>1.5707963267948966</v>
      </c>
      <c r="AW91" t="str">
        <f t="shared" si="114"/>
        <v>1+0.00116590962928255i</v>
      </c>
      <c r="AX91">
        <f t="shared" si="139"/>
        <v>1.0000006796724008</v>
      </c>
      <c r="AY91">
        <f t="shared" si="140"/>
        <v>1.1659091009917368E-3</v>
      </c>
      <c r="AZ91" t="str">
        <f t="shared" si="115"/>
        <v>1+0.0396409273956066i</v>
      </c>
      <c r="BA91">
        <f t="shared" si="141"/>
        <v>1.0007853931411987</v>
      </c>
      <c r="BB91">
        <f t="shared" si="142"/>
        <v>3.9620182991729945E-2</v>
      </c>
      <c r="BC91" s="41" t="str">
        <f t="shared" si="143"/>
        <v>-0.558943876880491+14.5281209068586i</v>
      </c>
      <c r="BD91">
        <f t="shared" si="144"/>
        <v>23.250612541398649</v>
      </c>
      <c r="BE91" s="43">
        <f t="shared" si="145"/>
        <v>92.203267598179409</v>
      </c>
      <c r="BF91" s="41" t="str">
        <f t="shared" si="146"/>
        <v>10.2702656384454+276.740995703067i</v>
      </c>
      <c r="BG91" s="20">
        <f t="shared" si="147"/>
        <v>48.847447238399269</v>
      </c>
      <c r="BH91" s="43">
        <f t="shared" si="148"/>
        <v>87.874644663523654</v>
      </c>
      <c r="BI91" s="41" t="str">
        <f t="shared" si="101"/>
        <v>20.9662775176859+1009.1505625769i</v>
      </c>
      <c r="BJ91" s="20">
        <f t="shared" si="149"/>
        <v>60.080993556287694</v>
      </c>
      <c r="BK91" s="43">
        <f t="shared" si="102"/>
        <v>88.809784724397261</v>
      </c>
      <c r="BL91">
        <f t="shared" si="150"/>
        <v>48.847447238399269</v>
      </c>
      <c r="BM91" s="43">
        <f t="shared" si="151"/>
        <v>87.874644663523654</v>
      </c>
    </row>
    <row r="92" spans="14:65" x14ac:dyDescent="0.25">
      <c r="N92" s="9">
        <v>74</v>
      </c>
      <c r="O92" s="34">
        <f t="shared" si="116"/>
        <v>54.95408738576247</v>
      </c>
      <c r="P92" s="33" t="str">
        <f t="shared" si="103"/>
        <v>19.1021967526266</v>
      </c>
      <c r="Q92" s="4" t="str">
        <f t="shared" si="104"/>
        <v>1+0.077499883372919i</v>
      </c>
      <c r="R92" s="4">
        <f t="shared" si="117"/>
        <v>1.0029986201001555</v>
      </c>
      <c r="S92" s="4">
        <f t="shared" si="118"/>
        <v>7.73452793862415E-2</v>
      </c>
      <c r="T92" s="4" t="str">
        <f t="shared" si="105"/>
        <v>1+0.00129827804626314i</v>
      </c>
      <c r="U92" s="4">
        <f t="shared" si="119"/>
        <v>1.0000008427625875</v>
      </c>
      <c r="V92" s="4">
        <f t="shared" si="120"/>
        <v>1.2982773168367932E-3</v>
      </c>
      <c r="W92" t="str">
        <f t="shared" si="106"/>
        <v>1-0.000719347321732679i</v>
      </c>
      <c r="X92" s="4">
        <f t="shared" si="121"/>
        <v>1.0000002587302512</v>
      </c>
      <c r="Y92" s="4">
        <f t="shared" si="122"/>
        <v>-7.1934719765475927E-4</v>
      </c>
      <c r="Z92" t="str">
        <f t="shared" si="107"/>
        <v>0.999999996980048+0.000535194407369113i</v>
      </c>
      <c r="AA92" s="4">
        <f t="shared" si="123"/>
        <v>1.0000001401965652</v>
      </c>
      <c r="AB92" s="4">
        <f t="shared" si="124"/>
        <v>5.3519435788625981E-4</v>
      </c>
      <c r="AC92" s="47" t="str">
        <f t="shared" si="125"/>
        <v>18.9882321185921-1.47075032472855i</v>
      </c>
      <c r="AD92" s="20">
        <f t="shared" si="126"/>
        <v>25.59566791882105</v>
      </c>
      <c r="AE92" s="43">
        <f t="shared" si="127"/>
        <v>-4.4290521995557848</v>
      </c>
      <c r="AF92" t="str">
        <f t="shared" si="108"/>
        <v>69.5520360182888</v>
      </c>
      <c r="AG92" t="str">
        <f t="shared" si="109"/>
        <v>1+0.0618227641077686i</v>
      </c>
      <c r="AH92">
        <f t="shared" si="128"/>
        <v>1.0019092045499556</v>
      </c>
      <c r="AI92">
        <f t="shared" si="129"/>
        <v>6.1744180921102829E-2</v>
      </c>
      <c r="AJ92" t="str">
        <f t="shared" si="110"/>
        <v>1+0.00129827804626314i</v>
      </c>
      <c r="AK92">
        <f t="shared" si="130"/>
        <v>1.0000008427625875</v>
      </c>
      <c r="AL92">
        <f t="shared" si="131"/>
        <v>1.2982773168367932E-3</v>
      </c>
      <c r="AM92" t="str">
        <f t="shared" si="111"/>
        <v>1-0.000157601101917566i</v>
      </c>
      <c r="AN92">
        <f t="shared" si="132"/>
        <v>1.0000000124190536</v>
      </c>
      <c r="AO92">
        <f t="shared" si="133"/>
        <v>-1.5760110061272832E-4</v>
      </c>
      <c r="AP92" s="41" t="str">
        <f t="shared" si="134"/>
        <v>69.2921168216323-4.20449378887336i</v>
      </c>
      <c r="AQ92">
        <f t="shared" si="135"/>
        <v>36.82963705319613</v>
      </c>
      <c r="AR92" s="43">
        <f t="shared" si="136"/>
        <v>-3.4723250432907777</v>
      </c>
      <c r="AS92" t="str">
        <f t="shared" si="112"/>
        <v>-0.0000166666666666667</v>
      </c>
      <c r="AT92" t="str">
        <f t="shared" si="113"/>
        <v>1.17397482906773E-06i</v>
      </c>
      <c r="AU92">
        <f t="shared" si="137"/>
        <v>1.17397482906773E-6</v>
      </c>
      <c r="AV92">
        <f t="shared" si="138"/>
        <v>1.5707963267948966</v>
      </c>
      <c r="AW92" t="str">
        <f t="shared" si="114"/>
        <v>1+0.00119306715327748i</v>
      </c>
      <c r="AX92">
        <f t="shared" si="139"/>
        <v>1.0000007117043628</v>
      </c>
      <c r="AY92">
        <f t="shared" si="140"/>
        <v>1.1930665872036967E-3</v>
      </c>
      <c r="AZ92" t="str">
        <f t="shared" si="115"/>
        <v>1+0.0405642832114345i</v>
      </c>
      <c r="BA92">
        <f t="shared" si="141"/>
        <v>1.0008223923716222</v>
      </c>
      <c r="BB92">
        <f t="shared" si="142"/>
        <v>4.0542056168566057E-2</v>
      </c>
      <c r="BC92" s="41" t="str">
        <f t="shared" si="143"/>
        <v>-0.558943841072379+14.1974505142209i</v>
      </c>
      <c r="BD92">
        <f t="shared" si="144"/>
        <v>23.050933376264421</v>
      </c>
      <c r="BE92" s="43">
        <f t="shared" si="145"/>
        <v>92.254531031116315</v>
      </c>
      <c r="BF92" s="41" t="str">
        <f t="shared" si="146"/>
        <v>10.2675495585681+270.406552692013i</v>
      </c>
      <c r="BG92" s="20">
        <f t="shared" si="147"/>
        <v>48.64660129508546</v>
      </c>
      <c r="BH92" s="43">
        <f t="shared" si="148"/>
        <v>87.825478831560545</v>
      </c>
      <c r="BI92" s="41" t="str">
        <f t="shared" si="101"/>
        <v>20.9626905725595+986.121475508856i</v>
      </c>
      <c r="BJ92" s="20">
        <f t="shared" si="149"/>
        <v>59.880570429460548</v>
      </c>
      <c r="BK92" s="43">
        <f t="shared" si="102"/>
        <v>88.782205987825549</v>
      </c>
      <c r="BL92">
        <f t="shared" si="150"/>
        <v>48.64660129508546</v>
      </c>
      <c r="BM92" s="43">
        <f t="shared" si="151"/>
        <v>87.825478831560545</v>
      </c>
    </row>
    <row r="93" spans="14:65" x14ac:dyDescent="0.25">
      <c r="N93" s="9">
        <v>75</v>
      </c>
      <c r="O93" s="34">
        <f t="shared" si="116"/>
        <v>56.234132519034915</v>
      </c>
      <c r="P93" s="33" t="str">
        <f t="shared" si="103"/>
        <v>19.1021967526266</v>
      </c>
      <c r="Q93" s="4" t="str">
        <f t="shared" si="104"/>
        <v>1+0.0793050875580837i</v>
      </c>
      <c r="R93" s="4">
        <f t="shared" si="117"/>
        <v>1.0031397195369125</v>
      </c>
      <c r="S93" s="4">
        <f t="shared" si="118"/>
        <v>7.913945439251531E-2</v>
      </c>
      <c r="T93" s="4" t="str">
        <f t="shared" si="105"/>
        <v>1+0.00132851882677302i</v>
      </c>
      <c r="U93" s="4">
        <f t="shared" si="119"/>
        <v>1.0000008824807471</v>
      </c>
      <c r="V93" s="4">
        <f t="shared" si="120"/>
        <v>1.3285180451786448E-3</v>
      </c>
      <c r="W93" t="str">
        <f t="shared" si="106"/>
        <v>1-0.000736103073344979i</v>
      </c>
      <c r="X93" s="4">
        <f t="shared" si="121"/>
        <v>1.0000002709238307</v>
      </c>
      <c r="Y93" s="4">
        <f t="shared" si="122"/>
        <v>-7.3610294039309465E-4</v>
      </c>
      <c r="Z93" t="str">
        <f t="shared" si="107"/>
        <v>0.999999996837722+0.000547660686568664i</v>
      </c>
      <c r="AA93" s="4">
        <f t="shared" si="123"/>
        <v>1.0000001468038251</v>
      </c>
      <c r="AB93" s="4">
        <f t="shared" si="124"/>
        <v>5.4766063354683202E-4</v>
      </c>
      <c r="AC93" s="47" t="str">
        <f t="shared" si="125"/>
        <v>18.9828946994369-1.5045852166693i</v>
      </c>
      <c r="AD93" s="20">
        <f t="shared" si="126"/>
        <v>25.594446488178555</v>
      </c>
      <c r="AE93" s="43">
        <f t="shared" si="127"/>
        <v>-4.5317924873428783</v>
      </c>
      <c r="AF93" t="str">
        <f t="shared" si="108"/>
        <v>69.5520360182888</v>
      </c>
      <c r="AG93" t="str">
        <f t="shared" si="109"/>
        <v>1+0.0632628012749057i</v>
      </c>
      <c r="AH93">
        <f t="shared" si="128"/>
        <v>1.0019990928265095</v>
      </c>
      <c r="AI93">
        <f t="shared" si="129"/>
        <v>6.3178606943869023E-2</v>
      </c>
      <c r="AJ93" t="str">
        <f t="shared" si="110"/>
        <v>1+0.00132851882677302i</v>
      </c>
      <c r="AK93">
        <f t="shared" si="130"/>
        <v>1.0000008824807471</v>
      </c>
      <c r="AL93">
        <f t="shared" si="131"/>
        <v>1.3285180451786448E-3</v>
      </c>
      <c r="AM93" t="str">
        <f t="shared" si="111"/>
        <v>1-0.00016127210316797i</v>
      </c>
      <c r="AN93">
        <f t="shared" si="132"/>
        <v>1.0000000130043456</v>
      </c>
      <c r="AO93">
        <f t="shared" si="133"/>
        <v>-1.6127210176981123E-4</v>
      </c>
      <c r="AP93" s="41" t="str">
        <f t="shared" si="134"/>
        <v>69.2799160370441-4.30165717443126i</v>
      </c>
      <c r="AQ93">
        <f t="shared" si="135"/>
        <v>36.828858166361513</v>
      </c>
      <c r="AR93" s="43">
        <f t="shared" si="136"/>
        <v>-3.5529892671885146</v>
      </c>
      <c r="AS93" t="str">
        <f t="shared" si="112"/>
        <v>-0.0000166666666666667</v>
      </c>
      <c r="AT93" t="str">
        <f t="shared" si="113"/>
        <v>1.20132021569901E-06i</v>
      </c>
      <c r="AU93">
        <f t="shared" si="137"/>
        <v>1.2013202156990099E-6</v>
      </c>
      <c r="AV93">
        <f t="shared" si="138"/>
        <v>1.5707963267948966</v>
      </c>
      <c r="AW93" t="str">
        <f t="shared" si="114"/>
        <v>1+0.0012208572572692i</v>
      </c>
      <c r="AX93">
        <f t="shared" si="139"/>
        <v>1.0000007452459436</v>
      </c>
      <c r="AY93">
        <f t="shared" si="140"/>
        <v>1.2208566507102372E-3</v>
      </c>
      <c r="AZ93" t="str">
        <f t="shared" si="115"/>
        <v>1+0.0415091467471527i</v>
      </c>
      <c r="BA93">
        <f t="shared" si="141"/>
        <v>1.0008611338560793</v>
      </c>
      <c r="BB93">
        <f t="shared" si="142"/>
        <v>4.1485331148216432E-2</v>
      </c>
      <c r="BC93" s="41" t="str">
        <f t="shared" si="143"/>
        <v>-0.558943803576684+13.8743077977673i</v>
      </c>
      <c r="BD93">
        <f t="shared" si="144"/>
        <v>22.85126930616595</v>
      </c>
      <c r="BE93" s="43">
        <f t="shared" si="145"/>
        <v>92.306984453019226</v>
      </c>
      <c r="BF93" s="41" t="str">
        <f t="shared" si="146"/>
        <v>10.2647070378413+264.215502536403i</v>
      </c>
      <c r="BG93" s="20">
        <f t="shared" si="147"/>
        <v>48.445715794344501</v>
      </c>
      <c r="BH93" s="43">
        <f t="shared" si="148"/>
        <v>87.77519196567637</v>
      </c>
      <c r="BI93" s="41" t="str">
        <f t="shared" si="101"/>
        <v>20.9589358973145+963.615263924184i</v>
      </c>
      <c r="BJ93" s="20">
        <f t="shared" si="149"/>
        <v>59.68012747252746</v>
      </c>
      <c r="BK93" s="43">
        <f t="shared" si="102"/>
        <v>88.753995185830732</v>
      </c>
      <c r="BL93">
        <f t="shared" si="150"/>
        <v>48.445715794344501</v>
      </c>
      <c r="BM93" s="43">
        <f t="shared" si="151"/>
        <v>87.77519196567637</v>
      </c>
    </row>
    <row r="94" spans="14:65" x14ac:dyDescent="0.25">
      <c r="N94" s="9">
        <v>76</v>
      </c>
      <c r="O94" s="34">
        <f t="shared" si="116"/>
        <v>57.543993733715695</v>
      </c>
      <c r="P94" s="33" t="str">
        <f t="shared" si="103"/>
        <v>19.1021967526266</v>
      </c>
      <c r="Q94" s="4" t="str">
        <f t="shared" si="104"/>
        <v>1+0.0811523403503988i</v>
      </c>
      <c r="R94" s="4">
        <f t="shared" si="117"/>
        <v>1.0032874475165863</v>
      </c>
      <c r="S94" s="4">
        <f t="shared" si="118"/>
        <v>8.0974892609201862E-2</v>
      </c>
      <c r="T94" s="4" t="str">
        <f t="shared" si="105"/>
        <v>1+0.00135946400554988i</v>
      </c>
      <c r="U94" s="4">
        <f t="shared" si="119"/>
        <v>1.0000009240707644</v>
      </c>
      <c r="V94" s="4">
        <f t="shared" si="120"/>
        <v>1.35946316805646E-3</v>
      </c>
      <c r="W94" t="str">
        <f t="shared" si="106"/>
        <v>1-0.000753249116550244i</v>
      </c>
      <c r="X94" s="4">
        <f t="shared" si="121"/>
        <v>1.0000002836920756</v>
      </c>
      <c r="Y94" s="4">
        <f t="shared" si="122"/>
        <v>-7.532489740897354E-4</v>
      </c>
      <c r="Z94" t="str">
        <f t="shared" si="107"/>
        <v>0.999999996688689+0.000560417342713381i</v>
      </c>
      <c r="AA94" s="4">
        <f t="shared" si="123"/>
        <v>1.0000001537224763</v>
      </c>
      <c r="AB94" s="4">
        <f t="shared" si="124"/>
        <v>5.604172858994647E-4</v>
      </c>
      <c r="AC94" s="47" t="str">
        <f t="shared" si="125"/>
        <v>18.9773089529131-1.53917821261112i</v>
      </c>
      <c r="AD94" s="20">
        <f t="shared" si="126"/>
        <v>25.593167861600694</v>
      </c>
      <c r="AE94" s="43">
        <f t="shared" si="127"/>
        <v>-4.6368956234853478</v>
      </c>
      <c r="AF94" t="str">
        <f t="shared" si="108"/>
        <v>69.5520360182888</v>
      </c>
      <c r="AG94" t="str">
        <f t="shared" si="109"/>
        <v>1+0.064736381216661i</v>
      </c>
      <c r="AH94">
        <f t="shared" si="128"/>
        <v>1.0020932087650474</v>
      </c>
      <c r="AI94">
        <f t="shared" si="129"/>
        <v>6.4646175540209475E-2</v>
      </c>
      <c r="AJ94" t="str">
        <f t="shared" si="110"/>
        <v>1+0.00135946400554988i</v>
      </c>
      <c r="AK94">
        <f t="shared" si="130"/>
        <v>1.0000009240707644</v>
      </c>
      <c r="AL94">
        <f t="shared" si="131"/>
        <v>1.35946316805646E-3</v>
      </c>
      <c r="AM94" t="str">
        <f t="shared" si="111"/>
        <v>1-0.000165028613022163i</v>
      </c>
      <c r="AN94">
        <f t="shared" si="132"/>
        <v>1.0000000136172216</v>
      </c>
      <c r="AO94">
        <f t="shared" si="133"/>
        <v>-1.650286115240089E-4</v>
      </c>
      <c r="AP94" s="41" t="str">
        <f t="shared" si="134"/>
        <v>69.2671449385399-4.40102888708842i</v>
      </c>
      <c r="AQ94">
        <f t="shared" si="135"/>
        <v>36.828042721548037</v>
      </c>
      <c r="AR94" s="43">
        <f t="shared" si="136"/>
        <v>-3.6355169611219647</v>
      </c>
      <c r="AS94" t="str">
        <f t="shared" si="112"/>
        <v>-0.0000166666666666667</v>
      </c>
      <c r="AT94" t="str">
        <f t="shared" si="113"/>
        <v>0.00000122930255821i</v>
      </c>
      <c r="AU94">
        <f t="shared" si="137"/>
        <v>1.22930255821E-6</v>
      </c>
      <c r="AV94">
        <f t="shared" si="138"/>
        <v>1.5707963267948966</v>
      </c>
      <c r="AW94" t="str">
        <f t="shared" si="114"/>
        <v>1+0.00124929467593867i</v>
      </c>
      <c r="AX94">
        <f t="shared" si="139"/>
        <v>1.0000007803682891</v>
      </c>
      <c r="AY94">
        <f t="shared" si="140"/>
        <v>1.249294025999059E-3</v>
      </c>
      <c r="AZ94" t="str">
        <f t="shared" si="115"/>
        <v>1+0.0424760189819149i</v>
      </c>
      <c r="BA94">
        <f t="shared" si="141"/>
        <v>1.0009016995632247</v>
      </c>
      <c r="BB94">
        <f t="shared" si="142"/>
        <v>4.2450501349369042E-2</v>
      </c>
      <c r="BC94" s="41" t="str">
        <f t="shared" si="143"/>
        <v>-0.558943764313883+13.558521422952i</v>
      </c>
      <c r="BD94">
        <f t="shared" si="144"/>
        <v>22.651621040059755</v>
      </c>
      <c r="BE94" s="43">
        <f t="shared" si="145"/>
        <v>92.360655290472593</v>
      </c>
      <c r="BF94" s="41" t="str">
        <f t="shared" si="146"/>
        <v>10.26173226674+258.164564052158i</v>
      </c>
      <c r="BG94" s="20">
        <f t="shared" si="147"/>
        <v>48.244788901660456</v>
      </c>
      <c r="BH94" s="43">
        <f t="shared" si="148"/>
        <v>87.723759666987263</v>
      </c>
      <c r="BI94" s="41" t="str">
        <f t="shared" si="101"/>
        <v>20.9550057133961+941.619996208918i</v>
      </c>
      <c r="BJ94" s="20">
        <f t="shared" si="149"/>
        <v>59.479663761607796</v>
      </c>
      <c r="BK94" s="43">
        <f t="shared" si="102"/>
        <v>88.725138329350642</v>
      </c>
      <c r="BL94">
        <f t="shared" si="150"/>
        <v>48.244788901660456</v>
      </c>
      <c r="BM94" s="43">
        <f t="shared" si="151"/>
        <v>87.723759666987263</v>
      </c>
    </row>
    <row r="95" spans="14:65" x14ac:dyDescent="0.25">
      <c r="N95" s="9">
        <v>77</v>
      </c>
      <c r="O95" s="34">
        <f t="shared" si="116"/>
        <v>58.884365535558949</v>
      </c>
      <c r="P95" s="33" t="str">
        <f t="shared" si="103"/>
        <v>19.1021967526266</v>
      </c>
      <c r="Q95" s="4" t="str">
        <f t="shared" si="104"/>
        <v>1+0.0830426211877457i</v>
      </c>
      <c r="R95" s="4">
        <f t="shared" si="117"/>
        <v>1.003442114391125</v>
      </c>
      <c r="S95" s="4">
        <f t="shared" si="118"/>
        <v>8.2852517716068441E-2</v>
      </c>
      <c r="T95" s="4" t="str">
        <f t="shared" si="105"/>
        <v>1+0.00139112999013711i</v>
      </c>
      <c r="U95" s="4">
        <f t="shared" si="119"/>
        <v>1.0000009676208566</v>
      </c>
      <c r="V95" s="4">
        <f t="shared" si="120"/>
        <v>1.3911290927467893E-3</v>
      </c>
      <c r="W95" t="str">
        <f t="shared" si="106"/>
        <v>1-0.000770794542407533i</v>
      </c>
      <c r="X95" s="4">
        <f t="shared" si="121"/>
        <v>1.0000002970620692</v>
      </c>
      <c r="Y95" s="4">
        <f t="shared" si="122"/>
        <v>-7.7079438975835037E-4</v>
      </c>
      <c r="Z95" t="str">
        <f t="shared" si="107"/>
        <v>0.999999996532631+0.000573471139551205i</v>
      </c>
      <c r="AA95" s="4">
        <f t="shared" si="123"/>
        <v>1.000000160967192</v>
      </c>
      <c r="AB95" s="4">
        <f t="shared" si="124"/>
        <v>5.7347107867399775E-4</v>
      </c>
      <c r="AC95" s="47" t="str">
        <f t="shared" si="125"/>
        <v>18.971463483008-1.57454485623668i</v>
      </c>
      <c r="AD95" s="20">
        <f t="shared" si="126"/>
        <v>25.591829378822666</v>
      </c>
      <c r="AE95" s="43">
        <f t="shared" si="127"/>
        <v>-4.7444144992777249</v>
      </c>
      <c r="AF95" t="str">
        <f t="shared" si="108"/>
        <v>69.5520360182888</v>
      </c>
      <c r="AG95" t="str">
        <f t="shared" si="109"/>
        <v>1+0.0662442852446246i</v>
      </c>
      <c r="AH95">
        <f t="shared" si="128"/>
        <v>1.0021917507780491</v>
      </c>
      <c r="AI95">
        <f t="shared" si="129"/>
        <v>6.6147639533868888E-2</v>
      </c>
      <c r="AJ95" t="str">
        <f t="shared" si="110"/>
        <v>1+0.00139112999013711i</v>
      </c>
      <c r="AK95">
        <f t="shared" si="130"/>
        <v>1.0000009676208566</v>
      </c>
      <c r="AL95">
        <f t="shared" si="131"/>
        <v>1.3911290927467893E-3</v>
      </c>
      <c r="AM95" t="str">
        <f t="shared" si="111"/>
        <v>1-0.000168872623231392i</v>
      </c>
      <c r="AN95">
        <f t="shared" si="132"/>
        <v>1.0000000142589813</v>
      </c>
      <c r="AO95">
        <f t="shared" si="133"/>
        <v>-1.6887262162609097E-4</v>
      </c>
      <c r="AP95" s="41" t="str">
        <f t="shared" si="134"/>
        <v>69.2537770977656-4.50265647592539i</v>
      </c>
      <c r="AQ95">
        <f t="shared" si="135"/>
        <v>36.827189010224529</v>
      </c>
      <c r="AR95" s="43">
        <f t="shared" si="136"/>
        <v>-3.7199504327656303</v>
      </c>
      <c r="AS95" t="str">
        <f t="shared" si="112"/>
        <v>-0.0000166666666666667</v>
      </c>
      <c r="AT95" t="str">
        <f t="shared" si="113"/>
        <v>1.25793669320909E-06i</v>
      </c>
      <c r="AU95">
        <f t="shared" si="137"/>
        <v>1.2579366932090899E-6</v>
      </c>
      <c r="AV95">
        <f t="shared" si="138"/>
        <v>1.5707963267948966</v>
      </c>
      <c r="AW95" t="str">
        <f t="shared" si="114"/>
        <v>1+0.0012783944871817i</v>
      </c>
      <c r="AX95">
        <f t="shared" si="139"/>
        <v>1.0000008171458985</v>
      </c>
      <c r="AY95">
        <f t="shared" si="140"/>
        <v>1.2783937907588903E-3</v>
      </c>
      <c r="AZ95" t="str">
        <f t="shared" si="115"/>
        <v>1+0.0434654125641778i</v>
      </c>
      <c r="BA95">
        <f t="shared" si="141"/>
        <v>1.0009441753111779</v>
      </c>
      <c r="BB95">
        <f t="shared" si="142"/>
        <v>4.343807132107947E-2</v>
      </c>
      <c r="BC95" s="41" t="str">
        <f t="shared" si="143"/>
        <v>-0.55894372320069+13.2499239556588i</v>
      </c>
      <c r="BD95">
        <f t="shared" si="144"/>
        <v>22.451989320078614</v>
      </c>
      <c r="BE95" s="43">
        <f t="shared" si="145"/>
        <v>92.415571588119903</v>
      </c>
      <c r="BF95" s="41" t="str">
        <f t="shared" si="146"/>
        <v>10.2586191761513+252.250530441705i</v>
      </c>
      <c r="BG95" s="20">
        <f t="shared" si="147"/>
        <v>48.043818698901276</v>
      </c>
      <c r="BH95" s="43">
        <f t="shared" si="148"/>
        <v>87.671157088842179</v>
      </c>
      <c r="BI95" s="41" t="str">
        <f t="shared" si="101"/>
        <v>20.9508918877303+920.124011762487i</v>
      </c>
      <c r="BJ95" s="20">
        <f t="shared" si="149"/>
        <v>59.279178330303139</v>
      </c>
      <c r="BK95" s="43">
        <f t="shared" si="102"/>
        <v>88.695621155354274</v>
      </c>
      <c r="BL95">
        <f t="shared" si="150"/>
        <v>48.043818698901276</v>
      </c>
      <c r="BM95" s="43">
        <f t="shared" si="151"/>
        <v>87.671157088842179</v>
      </c>
    </row>
    <row r="96" spans="14:65" x14ac:dyDescent="0.25">
      <c r="N96" s="9">
        <v>78</v>
      </c>
      <c r="O96" s="34">
        <f t="shared" si="116"/>
        <v>60.255958607435822</v>
      </c>
      <c r="P96" s="33" t="str">
        <f t="shared" si="103"/>
        <v>19.1021967526266</v>
      </c>
      <c r="Q96" s="4" t="str">
        <f t="shared" si="104"/>
        <v>1+0.0849769323220454i</v>
      </c>
      <c r="R96" s="4">
        <f t="shared" si="117"/>
        <v>1.0036040449434556</v>
      </c>
      <c r="S96" s="4">
        <f t="shared" si="118"/>
        <v>8.4773272269132421E-2</v>
      </c>
      <c r="T96" s="4" t="str">
        <f t="shared" si="105"/>
        <v>1+0.0014235335702589i</v>
      </c>
      <c r="U96" s="4">
        <f t="shared" si="119"/>
        <v>1.0000010132233996</v>
      </c>
      <c r="V96" s="4">
        <f t="shared" si="120"/>
        <v>1.4235326086878997E-3</v>
      </c>
      <c r="W96" t="str">
        <f t="shared" si="106"/>
        <v>1-0.000788748653733879i</v>
      </c>
      <c r="X96" s="4">
        <f t="shared" si="121"/>
        <v>1.0000003110621711</v>
      </c>
      <c r="Y96" s="4">
        <f t="shared" si="122"/>
        <v>-7.8874849016733557E-4</v>
      </c>
      <c r="Z96" t="str">
        <f t="shared" si="107"/>
        <v>0.999999996369219+0.000586828998378006i</v>
      </c>
      <c r="AA96" s="4">
        <f t="shared" si="123"/>
        <v>1.0000001685533415</v>
      </c>
      <c r="AB96" s="4">
        <f t="shared" si="124"/>
        <v>5.8682893314690378E-4</v>
      </c>
      <c r="AC96" s="47" t="str">
        <f t="shared" si="125"/>
        <v>18.9653463858214-1.61070090584742i</v>
      </c>
      <c r="AD96" s="20">
        <f t="shared" si="126"/>
        <v>25.590428257575738</v>
      </c>
      <c r="AE96" s="43">
        <f t="shared" si="127"/>
        <v>-4.8544030868070278</v>
      </c>
      <c r="AF96" t="str">
        <f t="shared" si="108"/>
        <v>69.5520360182888</v>
      </c>
      <c r="AG96" t="str">
        <f t="shared" si="109"/>
        <v>1+0.0677873128694717i</v>
      </c>
      <c r="AH96">
        <f t="shared" si="128"/>
        <v>1.002294926549099</v>
      </c>
      <c r="AI96">
        <f t="shared" si="129"/>
        <v>6.7683767926546706E-2</v>
      </c>
      <c r="AJ96" t="str">
        <f t="shared" si="110"/>
        <v>1+0.0014235335702589i</v>
      </c>
      <c r="AK96">
        <f t="shared" si="130"/>
        <v>1.0000010132233996</v>
      </c>
      <c r="AL96">
        <f t="shared" si="131"/>
        <v>1.4235326086878997E-3</v>
      </c>
      <c r="AM96" t="str">
        <f t="shared" si="111"/>
        <v>1-0.000172806171940751i</v>
      </c>
      <c r="AN96">
        <f t="shared" si="132"/>
        <v>1.0000000149309864</v>
      </c>
      <c r="AO96">
        <f t="shared" si="133"/>
        <v>-1.7280617022063995E-4</v>
      </c>
      <c r="AP96" s="41" t="str">
        <f t="shared" si="134"/>
        <v>69.2397848837974-4.606588323876i</v>
      </c>
      <c r="AQ96">
        <f t="shared" si="135"/>
        <v>36.826295244718693</v>
      </c>
      <c r="AR96" s="43">
        <f t="shared" si="136"/>
        <v>-3.8063328974844444</v>
      </c>
      <c r="AS96" t="str">
        <f t="shared" si="112"/>
        <v>-0.0000166666666666667</v>
      </c>
      <c r="AT96" t="str">
        <f t="shared" si="113"/>
        <v>1.28723780289369E-06i</v>
      </c>
      <c r="AU96">
        <f t="shared" si="137"/>
        <v>1.2872378028936899E-6</v>
      </c>
      <c r="AV96">
        <f t="shared" si="138"/>
        <v>1.5707963267948966</v>
      </c>
      <c r="AW96" t="str">
        <f t="shared" si="114"/>
        <v>1+0.00130817212010338i</v>
      </c>
      <c r="AX96">
        <f t="shared" si="139"/>
        <v>1.0000008556567819</v>
      </c>
      <c r="AY96">
        <f t="shared" si="140"/>
        <v>1.3081713738729293E-3</v>
      </c>
      <c r="AZ96" t="str">
        <f t="shared" si="115"/>
        <v>1+0.0444778520835149i</v>
      </c>
      <c r="BA96">
        <f t="shared" si="141"/>
        <v>1.0009886509476333</v>
      </c>
      <c r="BB96">
        <f t="shared" si="142"/>
        <v>4.4448556976257533E-2</v>
      </c>
      <c r="BC96" s="41" t="str">
        <f t="shared" si="143"/>
        <v>-0.558943680149891+12.9483517734254i</v>
      </c>
      <c r="BD96">
        <f t="shared" si="144"/>
        <v>22.25237492307247</v>
      </c>
      <c r="BE96" s="43">
        <f t="shared" si="145"/>
        <v>92.471762021583572</v>
      </c>
      <c r="BF96" s="41" t="str">
        <f t="shared" si="146"/>
        <v>10.2553614264789+246.470267600413i</v>
      </c>
      <c r="BG96" s="20">
        <f t="shared" si="147"/>
        <v>47.842803180648218</v>
      </c>
      <c r="BH96" s="43">
        <f t="shared" si="148"/>
        <v>87.617358934776547</v>
      </c>
      <c r="BI96" s="41" t="str">
        <f t="shared" si="101"/>
        <v>20.946585917164+899.115914822394i</v>
      </c>
      <c r="BJ96" s="20">
        <f t="shared" si="149"/>
        <v>59.078670167791159</v>
      </c>
      <c r="BK96" s="43">
        <f t="shared" si="102"/>
        <v>88.665429124099134</v>
      </c>
      <c r="BL96">
        <f t="shared" si="150"/>
        <v>47.842803180648218</v>
      </c>
      <c r="BM96" s="43">
        <f t="shared" si="151"/>
        <v>87.617358934776547</v>
      </c>
    </row>
    <row r="97" spans="14:65" x14ac:dyDescent="0.25">
      <c r="N97" s="9">
        <v>79</v>
      </c>
      <c r="O97" s="34">
        <f t="shared" si="116"/>
        <v>61.659500186148257</v>
      </c>
      <c r="P97" s="33" t="str">
        <f t="shared" si="103"/>
        <v>19.1021967526266</v>
      </c>
      <c r="Q97" s="4" t="str">
        <f t="shared" si="104"/>
        <v>1+0.0869562993506651i</v>
      </c>
      <c r="R97" s="4">
        <f t="shared" si="117"/>
        <v>1.0037735790489619</v>
      </c>
      <c r="S97" s="4">
        <f t="shared" si="118"/>
        <v>8.6738117956472127E-2</v>
      </c>
      <c r="T97" s="4" t="str">
        <f t="shared" si="105"/>
        <v>1+0.00145669192672234i</v>
      </c>
      <c r="U97" s="4">
        <f t="shared" si="119"/>
        <v>1.0000010609751218</v>
      </c>
      <c r="V97" s="4">
        <f t="shared" si="120"/>
        <v>1.4566908963805087E-3</v>
      </c>
      <c r="W97" t="str">
        <f t="shared" si="106"/>
        <v>1-0.000807120970036758i</v>
      </c>
      <c r="X97" s="4">
        <f t="shared" si="121"/>
        <v>1.0000003257220771</v>
      </c>
      <c r="Y97" s="4">
        <f t="shared" si="122"/>
        <v>-8.0712079477205203E-4</v>
      </c>
      <c r="Z97" t="str">
        <f t="shared" si="107"/>
        <v>0.999999996198106+0.000600498001707348i</v>
      </c>
      <c r="AA97" s="4">
        <f t="shared" si="123"/>
        <v>1.0000001764970152</v>
      </c>
      <c r="AB97" s="4">
        <f t="shared" si="124"/>
        <v>6.004979318109631E-4</v>
      </c>
      <c r="AC97" s="47" t="str">
        <f t="shared" si="125"/>
        <v>18.9589452283781-1.64766232927511i</v>
      </c>
      <c r="AD97" s="20">
        <f t="shared" si="126"/>
        <v>25.588961588157048</v>
      </c>
      <c r="AE97" s="43">
        <f t="shared" si="127"/>
        <v>-4.9669164535928054</v>
      </c>
      <c r="AF97" t="str">
        <f t="shared" si="108"/>
        <v>69.5520360182888</v>
      </c>
      <c r="AG97" t="str">
        <f t="shared" si="109"/>
        <v>1+0.0693662822248734i</v>
      </c>
      <c r="AH97">
        <f t="shared" si="128"/>
        <v>1.0024029534621797</v>
      </c>
      <c r="AI97">
        <f t="shared" si="129"/>
        <v>6.9255346179232777E-2</v>
      </c>
      <c r="AJ97" t="str">
        <f t="shared" si="110"/>
        <v>1+0.00145669192672234i</v>
      </c>
      <c r="AK97">
        <f t="shared" si="130"/>
        <v>1.0000010609751218</v>
      </c>
      <c r="AL97">
        <f t="shared" si="131"/>
        <v>1.4566908963805087E-3</v>
      </c>
      <c r="AM97" t="str">
        <f t="shared" si="111"/>
        <v>1-0.000176831344769834i</v>
      </c>
      <c r="AN97">
        <f t="shared" si="132"/>
        <v>1.000000015634662</v>
      </c>
      <c r="AO97">
        <f t="shared" si="133"/>
        <v>-1.7683134292670181E-4</v>
      </c>
      <c r="AP97" s="41" t="str">
        <f t="shared" si="134"/>
        <v>69.2251394105486-4.71287364811397i</v>
      </c>
      <c r="AQ97">
        <f t="shared" si="135"/>
        <v>36.825359554619169</v>
      </c>
      <c r="AR97" s="43">
        <f t="shared" si="136"/>
        <v>-3.8947084940051058</v>
      </c>
      <c r="AS97" t="str">
        <f t="shared" si="112"/>
        <v>-0.0000166666666666667</v>
      </c>
      <c r="AT97" t="str">
        <f t="shared" si="113"/>
        <v>1.31722142309999E-06i</v>
      </c>
      <c r="AU97">
        <f t="shared" si="137"/>
        <v>1.3172214230999901E-6</v>
      </c>
      <c r="AV97">
        <f t="shared" si="138"/>
        <v>1.5707963267948966</v>
      </c>
      <c r="AW97" t="str">
        <f t="shared" si="114"/>
        <v>1+0.00133864336319885i</v>
      </c>
      <c r="AX97">
        <f t="shared" si="139"/>
        <v>1.0000008959826254</v>
      </c>
      <c r="AY97">
        <f t="shared" si="140"/>
        <v>1.3386425635985547E-3</v>
      </c>
      <c r="AZ97" t="str">
        <f t="shared" si="115"/>
        <v>1+0.0455138743487608i</v>
      </c>
      <c r="BA97">
        <f t="shared" si="141"/>
        <v>1.0010352205383359</v>
      </c>
      <c r="BB97">
        <f t="shared" si="142"/>
        <v>4.5482485828769507E-2</v>
      </c>
      <c r="BC97" s="41" t="str">
        <f t="shared" si="143"/>
        <v>-0.558943635070181+12.6536449786886i</v>
      </c>
      <c r="BD97">
        <f t="shared" si="144"/>
        <v>22.052778662219819</v>
      </c>
      <c r="BE97" s="43">
        <f t="shared" si="145"/>
        <v>92.529255910581284</v>
      </c>
      <c r="BF97" s="41" t="str">
        <f t="shared" si="146"/>
        <v>10.2519523963602+240.820712461992i</v>
      </c>
      <c r="BG97" s="20">
        <f t="shared" si="147"/>
        <v>47.64174025037687</v>
      </c>
      <c r="BH97" s="43">
        <f t="shared" si="148"/>
        <v>87.562339456988497</v>
      </c>
      <c r="BI97" s="41" t="str">
        <f t="shared" si="101"/>
        <v>20.9420789122791+878.58456842981i</v>
      </c>
      <c r="BJ97" s="20">
        <f t="shared" si="149"/>
        <v>58.878138216838984</v>
      </c>
      <c r="BK97" s="43">
        <f t="shared" si="102"/>
        <v>88.634547416576183</v>
      </c>
      <c r="BL97">
        <f t="shared" si="150"/>
        <v>47.64174025037687</v>
      </c>
      <c r="BM97" s="43">
        <f t="shared" si="151"/>
        <v>87.562339456988497</v>
      </c>
    </row>
    <row r="98" spans="14:65" x14ac:dyDescent="0.25">
      <c r="N98" s="9">
        <v>80</v>
      </c>
      <c r="O98" s="34">
        <f t="shared" si="116"/>
        <v>63.095734448019364</v>
      </c>
      <c r="P98" s="33" t="str">
        <f t="shared" si="103"/>
        <v>19.1021967526266</v>
      </c>
      <c r="Q98" s="4" t="str">
        <f t="shared" si="104"/>
        <v>1+0.088981771760203i</v>
      </c>
      <c r="R98" s="4">
        <f t="shared" si="117"/>
        <v>1.0039510723663703</v>
      </c>
      <c r="S98" s="4">
        <f t="shared" si="118"/>
        <v>8.8748035847429588E-2</v>
      </c>
      <c r="T98" s="4" t="str">
        <f t="shared" si="105"/>
        <v>1+0.00149062264052692i</v>
      </c>
      <c r="U98" s="4">
        <f t="shared" si="119"/>
        <v>1.000001110977311</v>
      </c>
      <c r="V98" s="4">
        <f t="shared" si="120"/>
        <v>1.4906215364958232E-3</v>
      </c>
      <c r="W98" t="str">
        <f t="shared" si="106"/>
        <v>1-0.000825921232561458i</v>
      </c>
      <c r="X98" s="4">
        <f t="shared" si="121"/>
        <v>1.000000341072883</v>
      </c>
      <c r="Y98" s="4">
        <f t="shared" si="122"/>
        <v>-8.2592104476194553E-4</v>
      </c>
      <c r="Z98" t="str">
        <f t="shared" si="107"/>
        <v>0.999999996018928+0.000614485397025725i</v>
      </c>
      <c r="AA98" s="4">
        <f t="shared" si="123"/>
        <v>1.0000001848150624</v>
      </c>
      <c r="AB98" s="4">
        <f t="shared" si="124"/>
        <v>6.1448532213040016E-4</v>
      </c>
      <c r="AC98" s="47" t="str">
        <f t="shared" si="125"/>
        <v>18.9522470266988-1.68544529800782i</v>
      </c>
      <c r="AD98" s="20">
        <f t="shared" si="126"/>
        <v>25.587426327774303</v>
      </c>
      <c r="AE98" s="43">
        <f t="shared" si="127"/>
        <v>-5.082010776847663</v>
      </c>
      <c r="AF98" t="str">
        <f t="shared" si="108"/>
        <v>69.5520360182888</v>
      </c>
      <c r="AG98" t="str">
        <f t="shared" si="109"/>
        <v>1+0.0709820305012819i</v>
      </c>
      <c r="AH98">
        <f t="shared" si="128"/>
        <v>1.0025160590504698</v>
      </c>
      <c r="AI98">
        <f t="shared" si="129"/>
        <v>7.0863176493459315E-2</v>
      </c>
      <c r="AJ98" t="str">
        <f t="shared" si="110"/>
        <v>1+0.00149062264052692i</v>
      </c>
      <c r="AK98">
        <f t="shared" si="130"/>
        <v>1.000001110977311</v>
      </c>
      <c r="AL98">
        <f t="shared" si="131"/>
        <v>1.4906215364958232E-3</v>
      </c>
      <c r="AM98" t="str">
        <f t="shared" si="111"/>
        <v>1-0.000180950275918553i</v>
      </c>
      <c r="AN98">
        <f t="shared" si="132"/>
        <v>1.000000016371501</v>
      </c>
      <c r="AO98">
        <f t="shared" si="133"/>
        <v>-1.8095027394360126E-4</v>
      </c>
      <c r="AP98" s="41" t="str">
        <f t="shared" si="134"/>
        <v>69.209810482082-4.82156249915168i</v>
      </c>
      <c r="AQ98">
        <f t="shared" si="135"/>
        <v>36.824379983020322</v>
      </c>
      <c r="AR98" s="43">
        <f t="shared" si="136"/>
        <v>-3.985122300072065</v>
      </c>
      <c r="AS98" t="str">
        <f t="shared" si="112"/>
        <v>-0.0000166666666666667</v>
      </c>
      <c r="AT98" t="str">
        <f t="shared" si="113"/>
        <v>0.0000013479034515403i</v>
      </c>
      <c r="AU98">
        <f t="shared" si="137"/>
        <v>1.3479034515403E-6</v>
      </c>
      <c r="AV98">
        <f t="shared" si="138"/>
        <v>1.5707963267948966</v>
      </c>
      <c r="AW98" t="str">
        <f t="shared" si="114"/>
        <v>1+0.00136982437272452i</v>
      </c>
      <c r="AX98">
        <f t="shared" si="139"/>
        <v>1.0000009382089659</v>
      </c>
      <c r="AY98">
        <f t="shared" si="140"/>
        <v>1.3698235159374105E-3</v>
      </c>
      <c r="AZ98" t="str">
        <f t="shared" si="115"/>
        <v>1+0.0465740286726336i</v>
      </c>
      <c r="BA98">
        <f t="shared" si="141"/>
        <v>1.0010839825642999</v>
      </c>
      <c r="BB98">
        <f t="shared" si="142"/>
        <v>4.6540397234112858E-2</v>
      </c>
      <c r="BC98" s="41" t="str">
        <f t="shared" si="143"/>
        <v>-0.558943587865938+12.3656473140046i</v>
      </c>
      <c r="BD98">
        <f t="shared" si="144"/>
        <v>21.853201388712659</v>
      </c>
      <c r="BE98" s="43">
        <f t="shared" si="145"/>
        <v>92.588083232236002</v>
      </c>
      <c r="BF98" s="41" t="str">
        <f t="shared" si="146"/>
        <v>10.2483851709875+235.29887138207i</v>
      </c>
      <c r="BG98" s="20">
        <f t="shared" si="147"/>
        <v>47.440627716486965</v>
      </c>
      <c r="BH98" s="43">
        <f t="shared" si="148"/>
        <v>87.506072455388349</v>
      </c>
      <c r="BI98" s="41" t="str">
        <f t="shared" si="101"/>
        <v>20.9373615805638+858.51908853292i</v>
      </c>
      <c r="BJ98" s="20">
        <f t="shared" si="149"/>
        <v>58.677581371732977</v>
      </c>
      <c r="BK98" s="43">
        <f t="shared" si="102"/>
        <v>88.602960932163953</v>
      </c>
      <c r="BL98">
        <f t="shared" si="150"/>
        <v>47.440627716486965</v>
      </c>
      <c r="BM98" s="43">
        <f t="shared" si="151"/>
        <v>87.506072455388349</v>
      </c>
    </row>
    <row r="99" spans="14:65" x14ac:dyDescent="0.25">
      <c r="N99" s="9">
        <v>81</v>
      </c>
      <c r="O99" s="34">
        <f t="shared" si="116"/>
        <v>64.565422903465588</v>
      </c>
      <c r="P99" s="33" t="str">
        <f t="shared" si="103"/>
        <v>19.1021967526266</v>
      </c>
      <c r="Q99" s="4" t="str">
        <f t="shared" si="104"/>
        <v>1+0.0910544234829412i</v>
      </c>
      <c r="R99" s="4">
        <f t="shared" si="117"/>
        <v>1.0041368970592659</v>
      </c>
      <c r="S99" s="4">
        <f t="shared" si="118"/>
        <v>9.0804026634223781E-2</v>
      </c>
      <c r="T99" s="4" t="str">
        <f t="shared" si="105"/>
        <v>1+0.00152534370218623i</v>
      </c>
      <c r="U99" s="4">
        <f t="shared" si="119"/>
        <v>1.0000011633360282</v>
      </c>
      <c r="V99" s="4">
        <f t="shared" si="120"/>
        <v>1.5253425191956705E-3</v>
      </c>
      <c r="W99" t="str">
        <f t="shared" si="106"/>
        <v>1-0.000845159409456023i</v>
      </c>
      <c r="X99" s="4">
        <f t="shared" si="121"/>
        <v>1.0000003571471499</v>
      </c>
      <c r="Y99" s="4">
        <f t="shared" si="122"/>
        <v>-8.4515920822522369E-4</v>
      </c>
      <c r="Z99" t="str">
        <f t="shared" si="107"/>
        <v>0.999999995831306+0.000628798600635281i</v>
      </c>
      <c r="AA99" s="4">
        <f t="shared" si="123"/>
        <v>1.0000001935251275</v>
      </c>
      <c r="AB99" s="4">
        <f t="shared" si="124"/>
        <v>6.2879852038349527E-4</v>
      </c>
      <c r="AC99" s="47" t="str">
        <f t="shared" si="125"/>
        <v>18.9452382231155-1.72406618047082i</v>
      </c>
      <c r="AD99" s="20">
        <f t="shared" si="126"/>
        <v>25.585819294656492</v>
      </c>
      <c r="AE99" s="43">
        <f t="shared" si="127"/>
        <v>-5.1997433573027489</v>
      </c>
      <c r="AF99" t="str">
        <f t="shared" si="108"/>
        <v>69.5520360182888</v>
      </c>
      <c r="AG99" t="str">
        <f t="shared" si="109"/>
        <v>1+0.0726354143898205i</v>
      </c>
      <c r="AH99">
        <f t="shared" si="128"/>
        <v>1.0026344814654944</v>
      </c>
      <c r="AI99">
        <f t="shared" si="129"/>
        <v>7.2508078092015593E-2</v>
      </c>
      <c r="AJ99" t="str">
        <f t="shared" si="110"/>
        <v>1+0.00152534370218623i</v>
      </c>
      <c r="AK99">
        <f t="shared" si="130"/>
        <v>1.0000011633360282</v>
      </c>
      <c r="AL99">
        <f t="shared" si="131"/>
        <v>1.5253425191956705E-3</v>
      </c>
      <c r="AM99" t="str">
        <f t="shared" si="111"/>
        <v>1-0.000185165149298724i</v>
      </c>
      <c r="AN99">
        <f t="shared" si="132"/>
        <v>1.0000000171430661</v>
      </c>
      <c r="AO99">
        <f t="shared" si="133"/>
        <v>-1.8516514718252511E-4</v>
      </c>
      <c r="AP99" s="41" t="str">
        <f t="shared" si="134"/>
        <v>69.1937665357658-4.93270575853648i</v>
      </c>
      <c r="AQ99">
        <f t="shared" si="135"/>
        <v>36.823354482603946</v>
      </c>
      <c r="AR99" s="43">
        <f t="shared" si="136"/>
        <v>-4.0776203480621982</v>
      </c>
      <c r="AS99" t="str">
        <f t="shared" si="112"/>
        <v>-0.0000166666666666667</v>
      </c>
      <c r="AT99" t="str">
        <f t="shared" si="113"/>
        <v>1.37930015623223E-06i</v>
      </c>
      <c r="AU99">
        <f t="shared" si="137"/>
        <v>1.37930015623223E-6</v>
      </c>
      <c r="AV99">
        <f t="shared" si="138"/>
        <v>1.5707963267948966</v>
      </c>
      <c r="AW99" t="str">
        <f t="shared" si="114"/>
        <v>1+0.00140173168126438i</v>
      </c>
      <c r="AX99">
        <f t="shared" si="139"/>
        <v>1.0000009824253706</v>
      </c>
      <c r="AY99">
        <f t="shared" si="140"/>
        <v>1.4017307632005005E-3</v>
      </c>
      <c r="AZ99" t="str">
        <f t="shared" si="115"/>
        <v>1+0.0476588771629889i</v>
      </c>
      <c r="BA99">
        <f t="shared" si="141"/>
        <v>1.0011350401281722</v>
      </c>
      <c r="BB99">
        <f t="shared" si="142"/>
        <v>4.7622842633612467E-2</v>
      </c>
      <c r="BC99" s="41" t="str">
        <f t="shared" si="143"/>
        <v>-0.558943538437036+12.0842060791991i</v>
      </c>
      <c r="BD99">
        <f t="shared" si="144"/>
        <v>21.653643993518124</v>
      </c>
      <c r="BE99" s="43">
        <f t="shared" si="145"/>
        <v>92.648274634576637</v>
      </c>
      <c r="BF99" s="41" t="str">
        <f t="shared" si="146"/>
        <v>10.2446525300263+229.901818559059i</v>
      </c>
      <c r="BG99" s="20">
        <f t="shared" si="147"/>
        <v>47.239463288174591</v>
      </c>
      <c r="BH99" s="43">
        <f t="shared" si="148"/>
        <v>87.448531277273887</v>
      </c>
      <c r="BI99" s="41" t="str">
        <f t="shared" si="101"/>
        <v>20.9324242089198+838.90883822493i</v>
      </c>
      <c r="BJ99" s="20">
        <f t="shared" si="149"/>
        <v>58.476998476122077</v>
      </c>
      <c r="BK99" s="43">
        <f t="shared" si="102"/>
        <v>88.57065428651444</v>
      </c>
      <c r="BL99">
        <f t="shared" si="150"/>
        <v>47.239463288174591</v>
      </c>
      <c r="BM99" s="43">
        <f t="shared" si="151"/>
        <v>87.448531277273887</v>
      </c>
    </row>
    <row r="100" spans="14:65" x14ac:dyDescent="0.25">
      <c r="N100" s="9">
        <v>82</v>
      </c>
      <c r="O100" s="34">
        <f t="shared" si="116"/>
        <v>66.069344800759623</v>
      </c>
      <c r="P100" s="33" t="str">
        <f t="shared" si="103"/>
        <v>19.1021967526266</v>
      </c>
      <c r="Q100" s="4" t="str">
        <f t="shared" si="104"/>
        <v>1+0.0931753534662579i</v>
      </c>
      <c r="R100" s="4">
        <f t="shared" si="117"/>
        <v>1.0043314425495014</v>
      </c>
      <c r="S100" s="4">
        <f t="shared" si="118"/>
        <v>9.2907110864913281E-2</v>
      </c>
      <c r="T100" s="4" t="str">
        <f t="shared" si="105"/>
        <v>1+0.00156087352126675i</v>
      </c>
      <c r="U100" s="4">
        <f t="shared" si="119"/>
        <v>1.0000012181623328</v>
      </c>
      <c r="V100" s="4">
        <f t="shared" si="120"/>
        <v>1.560872253669611E-3</v>
      </c>
      <c r="W100" t="str">
        <f t="shared" si="106"/>
        <v>1-0.00086484570105649i</v>
      </c>
      <c r="X100" s="4">
        <f t="shared" si="121"/>
        <v>1.0000003739789733</v>
      </c>
      <c r="Y100" s="4">
        <f t="shared" si="122"/>
        <v>-8.6484548543380821E-4</v>
      </c>
      <c r="Z100" t="str">
        <f t="shared" si="107"/>
        <v>0.999999995634842+0.000643445201586028i</v>
      </c>
      <c r="AA100" s="4">
        <f t="shared" si="123"/>
        <v>1.0000002026456853</v>
      </c>
      <c r="AB100" s="4">
        <f t="shared" si="124"/>
        <v>6.4344511559469091E-4</v>
      </c>
      <c r="AC100" s="47" t="str">
        <f t="shared" si="125"/>
        <v>18.9379046628213-1.76354153439916i</v>
      </c>
      <c r="AD100" s="20">
        <f t="shared" si="126"/>
        <v>25.584137161922811</v>
      </c>
      <c r="AE100" s="43">
        <f t="shared" si="127"/>
        <v>-5.3201726325374139</v>
      </c>
      <c r="AF100" t="str">
        <f t="shared" si="108"/>
        <v>69.5520360182888</v>
      </c>
      <c r="AG100" t="str">
        <f t="shared" si="109"/>
        <v>1+0.0743273105365121i</v>
      </c>
      <c r="AH100">
        <f t="shared" si="128"/>
        <v>1.0027584699675147</v>
      </c>
      <c r="AI100">
        <f t="shared" si="129"/>
        <v>7.4190887498630356E-2</v>
      </c>
      <c r="AJ100" t="str">
        <f t="shared" si="110"/>
        <v>1+0.00156087352126675i</v>
      </c>
      <c r="AK100">
        <f t="shared" si="130"/>
        <v>1.0000012181623328</v>
      </c>
      <c r="AL100">
        <f t="shared" si="131"/>
        <v>1.560872253669611E-3</v>
      </c>
      <c r="AM100" t="str">
        <f t="shared" si="111"/>
        <v>1-0.000189478199692004i</v>
      </c>
      <c r="AN100">
        <f t="shared" si="132"/>
        <v>1.0000000179509938</v>
      </c>
      <c r="AO100">
        <f t="shared" si="133"/>
        <v>-1.8947819742445605E-4</v>
      </c>
      <c r="AP100" s="41" t="str">
        <f t="shared" si="134"/>
        <v>69.1769745832099-5.04635513502117i</v>
      </c>
      <c r="AQ100">
        <f t="shared" si="135"/>
        <v>36.822280911551189</v>
      </c>
      <c r="AR100" s="43">
        <f t="shared" si="136"/>
        <v>-4.1722496405292491</v>
      </c>
      <c r="AS100" t="str">
        <f t="shared" si="112"/>
        <v>-0.0000166666666666667</v>
      </c>
      <c r="AT100" t="str">
        <f t="shared" si="113"/>
        <v>1.41142818412419E-06i</v>
      </c>
      <c r="AU100">
        <f t="shared" si="137"/>
        <v>1.41142818412419E-6</v>
      </c>
      <c r="AV100">
        <f t="shared" si="138"/>
        <v>1.5707963267948966</v>
      </c>
      <c r="AW100" t="str">
        <f t="shared" si="114"/>
        <v>1+0.00143438220649576i</v>
      </c>
      <c r="AX100">
        <f t="shared" si="139"/>
        <v>1.000001028725628</v>
      </c>
      <c r="AY100">
        <f t="shared" si="140"/>
        <v>1.4343812227726443E-3</v>
      </c>
      <c r="AZ100" t="str">
        <f t="shared" si="115"/>
        <v>1+0.0487689950208559i</v>
      </c>
      <c r="BA100">
        <f t="shared" si="141"/>
        <v>1.0011885011701565</v>
      </c>
      <c r="BB100">
        <f t="shared" si="142"/>
        <v>4.8730385802070716E-2</v>
      </c>
      <c r="BC100" s="41" t="str">
        <f t="shared" si="143"/>
        <v>-0.558943486678633+11.8091720504037i</v>
      </c>
      <c r="BD100">
        <f t="shared" si="144"/>
        <v>21.454107409220384</v>
      </c>
      <c r="BE100" s="43">
        <f t="shared" si="145"/>
        <v>92.709861450225176</v>
      </c>
      <c r="BF100" s="41" t="str">
        <f t="shared" si="146"/>
        <v>10.2407469351277+224.626694491539i</v>
      </c>
      <c r="BG100" s="20">
        <f t="shared" si="147"/>
        <v>47.03824457114321</v>
      </c>
      <c r="BH100" s="43">
        <f t="shared" si="148"/>
        <v>87.389688817687784</v>
      </c>
      <c r="BI100" s="41" t="str">
        <f t="shared" si="101"/>
        <v>20.9272566454847+819.743422113717i</v>
      </c>
      <c r="BJ100" s="20">
        <f t="shared" si="149"/>
        <v>58.276388320771574</v>
      </c>
      <c r="BK100" s="43">
        <f t="shared" si="102"/>
        <v>88.537611809695932</v>
      </c>
      <c r="BL100">
        <f t="shared" si="150"/>
        <v>47.03824457114321</v>
      </c>
      <c r="BM100" s="43">
        <f t="shared" si="151"/>
        <v>87.389688817687784</v>
      </c>
    </row>
    <row r="101" spans="14:65" x14ac:dyDescent="0.25">
      <c r="N101" s="9">
        <v>83</v>
      </c>
      <c r="O101" s="34">
        <f t="shared" si="116"/>
        <v>67.60829753919819</v>
      </c>
      <c r="P101" s="33" t="str">
        <f t="shared" si="103"/>
        <v>19.1021967526266</v>
      </c>
      <c r="Q101" s="4" t="str">
        <f t="shared" si="104"/>
        <v>1+0.095345686255304i</v>
      </c>
      <c r="R101" s="4">
        <f t="shared" si="117"/>
        <v>1.004535116303803</v>
      </c>
      <c r="S101" s="4">
        <f t="shared" si="118"/>
        <v>9.5058329166575695E-2</v>
      </c>
      <c r="T101" s="4" t="str">
        <f t="shared" si="105"/>
        <v>1+0.00159723093614885i</v>
      </c>
      <c r="U101" s="4">
        <f t="shared" si="119"/>
        <v>1.0000012755725183</v>
      </c>
      <c r="V101" s="4">
        <f t="shared" si="120"/>
        <v>1.5972295778941378E-3</v>
      </c>
      <c r="W101" t="str">
        <f t="shared" si="106"/>
        <v>1-0.000884990545295242i</v>
      </c>
      <c r="X101" s="4">
        <f t="shared" si="121"/>
        <v>1.0000003916040561</v>
      </c>
      <c r="Y101" s="4">
        <f t="shared" si="122"/>
        <v>-8.8499031425138066E-4</v>
      </c>
      <c r="Z101" t="str">
        <f t="shared" si="107"/>
        <v>0.999999995429118+0.000658432965699659i</v>
      </c>
      <c r="AA101" s="4">
        <f t="shared" si="123"/>
        <v>1.0000002121960807</v>
      </c>
      <c r="AB101" s="4">
        <f t="shared" si="124"/>
        <v>6.584328735582826E-4</v>
      </c>
      <c r="AC101" s="47" t="str">
        <f t="shared" si="125"/>
        <v>18.9302315696482-1.80388809823503i</v>
      </c>
      <c r="AD101" s="20">
        <f t="shared" si="126"/>
        <v>25.582376451202698</v>
      </c>
      <c r="AE101" s="43">
        <f t="shared" si="127"/>
        <v>-5.4433581897474692</v>
      </c>
      <c r="AF101" t="str">
        <f t="shared" si="108"/>
        <v>69.5520360182888</v>
      </c>
      <c r="AG101" t="str">
        <f t="shared" si="109"/>
        <v>1+0.0760586160070882i</v>
      </c>
      <c r="AH101">
        <f t="shared" si="128"/>
        <v>1.002888285438071</v>
      </c>
      <c r="AI101">
        <f t="shared" si="129"/>
        <v>7.5912458816086506E-2</v>
      </c>
      <c r="AJ101" t="str">
        <f t="shared" si="110"/>
        <v>1+0.00159723093614885i</v>
      </c>
      <c r="AK101">
        <f t="shared" si="130"/>
        <v>1.0000012755725183</v>
      </c>
      <c r="AL101">
        <f t="shared" si="131"/>
        <v>1.5972295778941378E-3</v>
      </c>
      <c r="AM101" t="str">
        <f t="shared" si="111"/>
        <v>1-0.000193891713934801i</v>
      </c>
      <c r="AN101">
        <f t="shared" si="132"/>
        <v>1.0000000187969982</v>
      </c>
      <c r="AO101">
        <f t="shared" si="133"/>
        <v>-1.9389171150507956E-4</v>
      </c>
      <c r="AP101" s="41" t="str">
        <f t="shared" si="134"/>
        <v>69.1594001489194-5.16256315907791i</v>
      </c>
      <c r="AQ101">
        <f t="shared" si="135"/>
        <v>36.821157029278062</v>
      </c>
      <c r="AR101" s="43">
        <f t="shared" si="136"/>
        <v>-4.2690581656474489</v>
      </c>
      <c r="AS101" t="str">
        <f t="shared" si="112"/>
        <v>-0.0000166666666666667</v>
      </c>
      <c r="AT101" t="str">
        <f t="shared" si="113"/>
        <v>1.44430456992183E-06i</v>
      </c>
      <c r="AU101">
        <f t="shared" si="137"/>
        <v>1.44430456992183E-6</v>
      </c>
      <c r="AV101">
        <f t="shared" si="138"/>
        <v>1.5707963267948966</v>
      </c>
      <c r="AW101" t="str">
        <f t="shared" si="114"/>
        <v>1+0.00146779326015932i</v>
      </c>
      <c r="AX101">
        <f t="shared" si="139"/>
        <v>1.0000010772079471</v>
      </c>
      <c r="AY101">
        <f t="shared" si="140"/>
        <v>1.4677922060810718E-3</v>
      </c>
      <c r="AZ101" t="str">
        <f t="shared" si="115"/>
        <v>1+0.0499049708454168i</v>
      </c>
      <c r="BA101">
        <f t="shared" si="141"/>
        <v>1.0012444786939312</v>
      </c>
      <c r="BB101">
        <f t="shared" si="142"/>
        <v>4.9863603098798913E-2</v>
      </c>
      <c r="BC101" s="41" t="str">
        <f t="shared" si="143"/>
        <v>-0.558943432480939+11.5403994009352i</v>
      </c>
      <c r="BD101">
        <f t="shared" si="144"/>
        <v>21.254592611946066</v>
      </c>
      <c r="BE101" s="43">
        <f t="shared" si="145"/>
        <v>92.772875710265993</v>
      </c>
      <c r="BF101" s="41" t="str">
        <f t="shared" si="146"/>
        <v>10.2366605170275+219.470704471372i</v>
      </c>
      <c r="BG101" s="20">
        <f t="shared" si="147"/>
        <v>46.836969063148779</v>
      </c>
      <c r="BH101" s="43">
        <f t="shared" si="148"/>
        <v>87.329517520518522</v>
      </c>
      <c r="BI101" s="41" t="str">
        <f t="shared" si="101"/>
        <v>20.9218482807531+801.012680820162i</v>
      </c>
      <c r="BJ101" s="20">
        <f t="shared" si="149"/>
        <v>58.075749641224128</v>
      </c>
      <c r="BK101" s="43">
        <f t="shared" si="102"/>
        <v>88.503817544618542</v>
      </c>
      <c r="BL101">
        <f t="shared" si="150"/>
        <v>46.836969063148779</v>
      </c>
      <c r="BM101" s="43">
        <f t="shared" si="151"/>
        <v>87.329517520518522</v>
      </c>
    </row>
    <row r="102" spans="14:65" x14ac:dyDescent="0.25">
      <c r="N102" s="9">
        <v>84</v>
      </c>
      <c r="O102" s="34">
        <f t="shared" si="116"/>
        <v>69.183097091893657</v>
      </c>
      <c r="P102" s="33" t="str">
        <f t="shared" si="103"/>
        <v>19.1021967526266</v>
      </c>
      <c r="Q102" s="4" t="str">
        <f t="shared" si="104"/>
        <v>1+0.097566572589252i</v>
      </c>
      <c r="R102" s="4">
        <f t="shared" si="117"/>
        <v>1.0047483446549259</v>
      </c>
      <c r="S102" s="4">
        <f t="shared" si="118"/>
        <v>9.7258742457484129E-2</v>
      </c>
      <c r="T102" s="4" t="str">
        <f t="shared" si="105"/>
        <v>1+0.00163443522401515i</v>
      </c>
      <c r="U102" s="4">
        <f t="shared" si="119"/>
        <v>1.0000013356883588</v>
      </c>
      <c r="V102" s="4">
        <f t="shared" si="120"/>
        <v>1.6344337686191096E-3</v>
      </c>
      <c r="W102" t="str">
        <f t="shared" si="106"/>
        <v>1-0.000905604623235344i</v>
      </c>
      <c r="X102" s="4">
        <f t="shared" si="121"/>
        <v>1.0000004100597828</v>
      </c>
      <c r="Y102" s="4">
        <f t="shared" si="122"/>
        <v>-9.0560437566739168E-4</v>
      </c>
      <c r="Z102" t="str">
        <f t="shared" si="107"/>
        <v>0.999999995213699+0.000673769839687095i</v>
      </c>
      <c r="AA102" s="4">
        <f t="shared" si="123"/>
        <v>1.0000002221965727</v>
      </c>
      <c r="AB102" s="4">
        <f t="shared" si="124"/>
        <v>6.7376974095583245E-4</v>
      </c>
      <c r="AC102" s="47" t="str">
        <f t="shared" si="125"/>
        <v>18.9222035210623-1.84512278147889i</v>
      </c>
      <c r="AD102" s="20">
        <f t="shared" si="126"/>
        <v>25.580533525996945</v>
      </c>
      <c r="AE102" s="43">
        <f t="shared" si="127"/>
        <v>-5.5693607778828511</v>
      </c>
      <c r="AF102" t="str">
        <f t="shared" si="108"/>
        <v>69.5520360182888</v>
      </c>
      <c r="AG102" t="str">
        <f t="shared" si="109"/>
        <v>1+0.0778302487626262i</v>
      </c>
      <c r="AH102">
        <f t="shared" si="128"/>
        <v>1.0030242009156372</v>
      </c>
      <c r="AI102">
        <f t="shared" si="129"/>
        <v>7.7673664002187309E-2</v>
      </c>
      <c r="AJ102" t="str">
        <f t="shared" si="110"/>
        <v>1+0.00163443522401515i</v>
      </c>
      <c r="AK102">
        <f t="shared" si="130"/>
        <v>1.0000013356883588</v>
      </c>
      <c r="AL102">
        <f t="shared" si="131"/>
        <v>1.6344337686191096E-3</v>
      </c>
      <c r="AM102" t="str">
        <f t="shared" si="111"/>
        <v>1-0.000198408032130786i</v>
      </c>
      <c r="AN102">
        <f t="shared" si="132"/>
        <v>1.0000000196828733</v>
      </c>
      <c r="AO102">
        <f t="shared" si="133"/>
        <v>-1.9840802952729257E-4</v>
      </c>
      <c r="AP102" s="41" t="str">
        <f t="shared" si="134"/>
        <v>69.1410072066072-5.28138317561559i</v>
      </c>
      <c r="AQ102">
        <f t="shared" si="135"/>
        <v>36.819980491988204</v>
      </c>
      <c r="AR102" s="43">
        <f t="shared" si="136"/>
        <v>-4.3680949125204505</v>
      </c>
      <c r="AS102" t="str">
        <f t="shared" si="112"/>
        <v>-0.0000166666666666667</v>
      </c>
      <c r="AT102" t="str">
        <f t="shared" si="113"/>
        <v>1.47794674512008E-06i</v>
      </c>
      <c r="AU102">
        <f t="shared" si="137"/>
        <v>1.47794674512008E-6</v>
      </c>
      <c r="AV102">
        <f t="shared" si="138"/>
        <v>1.5707963267948966</v>
      </c>
      <c r="AW102" t="str">
        <f t="shared" si="114"/>
        <v>1+0.00150198255723795i</v>
      </c>
      <c r="AX102">
        <f t="shared" si="139"/>
        <v>1.0000011279751648</v>
      </c>
      <c r="AY102">
        <f t="shared" si="140"/>
        <v>1.5019814277728266E-3</v>
      </c>
      <c r="AZ102" t="str">
        <f t="shared" si="115"/>
        <v>1+0.0510674069460903i</v>
      </c>
      <c r="BA102">
        <f t="shared" si="141"/>
        <v>1.0013030910030176</v>
      </c>
      <c r="BB102">
        <f t="shared" si="142"/>
        <v>5.102308372194124E-2</v>
      </c>
      <c r="BC102" s="41" t="str">
        <f t="shared" si="143"/>
        <v>-0.558943375728998+11.2777456239769i</v>
      </c>
      <c r="BD102">
        <f t="shared" si="144"/>
        <v>21.055100623377491</v>
      </c>
      <c r="BE102" s="43">
        <f t="shared" si="145"/>
        <v>92.837350158291457</v>
      </c>
      <c r="BF102" s="41" t="str">
        <f t="shared" si="146"/>
        <v>10.2323850622299+214.431117111775i</v>
      </c>
      <c r="BG102" s="20">
        <f t="shared" si="147"/>
        <v>46.635634149374432</v>
      </c>
      <c r="BH102" s="43">
        <f t="shared" si="148"/>
        <v>87.267989380408622</v>
      </c>
      <c r="BI102" s="41" t="str">
        <f t="shared" si="101"/>
        <v>20.9161880279799+782.706685602367i</v>
      </c>
      <c r="BJ102" s="20">
        <f t="shared" si="149"/>
        <v>57.875081115365688</v>
      </c>
      <c r="BK102" s="43">
        <f t="shared" si="102"/>
        <v>88.469255245771009</v>
      </c>
      <c r="BL102">
        <f t="shared" si="150"/>
        <v>46.635634149374432</v>
      </c>
      <c r="BM102" s="43">
        <f t="shared" si="151"/>
        <v>87.267989380408622</v>
      </c>
    </row>
    <row r="103" spans="14:65" x14ac:dyDescent="0.25">
      <c r="N103" s="9">
        <v>85</v>
      </c>
      <c r="O103" s="34">
        <f t="shared" si="116"/>
        <v>70.794578438413865</v>
      </c>
      <c r="P103" s="33" t="str">
        <f t="shared" si="103"/>
        <v>19.1021967526266</v>
      </c>
      <c r="Q103" s="4" t="str">
        <f t="shared" si="104"/>
        <v>1+0.0998391900114332i</v>
      </c>
      <c r="R103" s="4">
        <f t="shared" si="117"/>
        <v>1.0049715736587472</v>
      </c>
      <c r="S103" s="4">
        <f t="shared" si="118"/>
        <v>9.9509432146973831E-2</v>
      </c>
      <c r="T103" s="4" t="str">
        <f t="shared" si="105"/>
        <v>1+0.00167250611107153i</v>
      </c>
      <c r="U103" s="4">
        <f t="shared" si="119"/>
        <v>1.0000013986373677</v>
      </c>
      <c r="V103" s="4">
        <f t="shared" si="120"/>
        <v>1.6725045515866939E-3</v>
      </c>
      <c r="W103" t="str">
        <f t="shared" si="106"/>
        <v>1-0.000926698864733781i</v>
      </c>
      <c r="X103" s="4">
        <f t="shared" si="121"/>
        <v>1.0000004293853006</v>
      </c>
      <c r="Y103" s="4">
        <f t="shared" si="122"/>
        <v>-9.2669859945994685E-4</v>
      </c>
      <c r="Z103" t="str">
        <f t="shared" si="107"/>
        <v>0.999999994988128+0.000689463955361933i</v>
      </c>
      <c r="AA103" s="4">
        <f t="shared" si="123"/>
        <v>1.0000002326683739</v>
      </c>
      <c r="AB103" s="4">
        <f t="shared" si="124"/>
        <v>6.8946384956948027E-4</v>
      </c>
      <c r="AC103" s="47" t="str">
        <f t="shared" si="125"/>
        <v>18.9138044223771-1.88726265391984i</v>
      </c>
      <c r="AD103" s="20">
        <f t="shared" si="126"/>
        <v>25.578604584774133</v>
      </c>
      <c r="AE103" s="43">
        <f t="shared" si="127"/>
        <v>-5.6982423190796032</v>
      </c>
      <c r="AF103" t="str">
        <f t="shared" si="108"/>
        <v>69.5520360182888</v>
      </c>
      <c r="AG103" t="str">
        <f t="shared" si="109"/>
        <v>1+0.0796431481462633i</v>
      </c>
      <c r="AH103">
        <f t="shared" si="128"/>
        <v>1.003166502155374</v>
      </c>
      <c r="AI103">
        <f t="shared" si="129"/>
        <v>7.9475393142939235E-2</v>
      </c>
      <c r="AJ103" t="str">
        <f t="shared" si="110"/>
        <v>1+0.00167250611107153i</v>
      </c>
      <c r="AK103">
        <f t="shared" si="130"/>
        <v>1.0000013986373677</v>
      </c>
      <c r="AL103">
        <f t="shared" si="131"/>
        <v>1.6725045515866939E-3</v>
      </c>
      <c r="AM103" t="str">
        <f t="shared" si="111"/>
        <v>1-0.000203029548891649i</v>
      </c>
      <c r="AN103">
        <f t="shared" si="132"/>
        <v>1.0000000206104986</v>
      </c>
      <c r="AO103">
        <f t="shared" si="133"/>
        <v>-2.0302954610195556E-4</v>
      </c>
      <c r="AP103" s="41" t="str">
        <f t="shared" si="134"/>
        <v>69.1217581131033-5.4028693347513i</v>
      </c>
      <c r="AQ103">
        <f t="shared" si="135"/>
        <v>36.81874884803544</v>
      </c>
      <c r="AR103" s="43">
        <f t="shared" si="136"/>
        <v>-4.4694098863191449</v>
      </c>
      <c r="AS103" t="str">
        <f t="shared" si="112"/>
        <v>-0.0000166666666666667</v>
      </c>
      <c r="AT103" t="str">
        <f t="shared" si="113"/>
        <v>1.51237254724553E-06i</v>
      </c>
      <c r="AU103">
        <f t="shared" si="137"/>
        <v>1.51237254724553E-6</v>
      </c>
      <c r="AV103">
        <f t="shared" si="138"/>
        <v>1.5707963267948966</v>
      </c>
      <c r="AW103" t="str">
        <f t="shared" si="114"/>
        <v>1+0.00153696822534952i</v>
      </c>
      <c r="AX103">
        <f t="shared" si="139"/>
        <v>1.0000011811349654</v>
      </c>
      <c r="AY103">
        <f t="shared" si="140"/>
        <v>1.5369670151059128E-3</v>
      </c>
      <c r="AZ103" t="str">
        <f t="shared" si="115"/>
        <v>1+0.0522569196618838i</v>
      </c>
      <c r="BA103">
        <f t="shared" si="141"/>
        <v>1.0013644619480704</v>
      </c>
      <c r="BB103">
        <f t="shared" si="142"/>
        <v>5.2209429965988867E-2</v>
      </c>
      <c r="BC103" s="41" t="str">
        <f t="shared" si="143"/>
        <v>-0.558943316302433+11.0210714570189i</v>
      </c>
      <c r="BD103">
        <f t="shared" si="144"/>
        <v>20.855632512856161</v>
      </c>
      <c r="BE103" s="43">
        <f t="shared" si="145"/>
        <v>92.903318264618619</v>
      </c>
      <c r="BF103" s="41" t="str">
        <f t="shared" si="146"/>
        <v>10.2279119992746+209.505262909614i</v>
      </c>
      <c r="BG103" s="20">
        <f t="shared" si="147"/>
        <v>46.434237097630302</v>
      </c>
      <c r="BH103" s="43">
        <f t="shared" si="148"/>
        <v>87.205075945539022</v>
      </c>
      <c r="BI103" s="41" t="str">
        <f t="shared" si="101"/>
        <v>20.9102643028377+764.815733102802i</v>
      </c>
      <c r="BJ103" s="20">
        <f t="shared" si="149"/>
        <v>57.674381360891608</v>
      </c>
      <c r="BK103" s="43">
        <f t="shared" si="102"/>
        <v>88.433908378299478</v>
      </c>
      <c r="BL103">
        <f t="shared" si="150"/>
        <v>46.434237097630302</v>
      </c>
      <c r="BM103" s="43">
        <f t="shared" si="151"/>
        <v>87.205075945539022</v>
      </c>
    </row>
    <row r="104" spans="14:65" x14ac:dyDescent="0.25">
      <c r="N104" s="9">
        <v>86</v>
      </c>
      <c r="O104" s="34">
        <f t="shared" si="116"/>
        <v>72.443596007499011</v>
      </c>
      <c r="P104" s="33" t="str">
        <f t="shared" si="103"/>
        <v>19.1021967526266</v>
      </c>
      <c r="Q104" s="4" t="str">
        <f t="shared" si="104"/>
        <v>1+0.102164743493686i</v>
      </c>
      <c r="R104" s="4">
        <f t="shared" si="117"/>
        <v>1.0052052699887375</v>
      </c>
      <c r="S104" s="4">
        <f t="shared" si="118"/>
        <v>0.10181150032159865</v>
      </c>
      <c r="T104" s="4" t="str">
        <f t="shared" si="105"/>
        <v>1+0.00171146378300622i</v>
      </c>
      <c r="U104" s="4">
        <f t="shared" si="119"/>
        <v>1.0000014645530679</v>
      </c>
      <c r="V104" s="4">
        <f t="shared" si="120"/>
        <v>1.7114621119882439E-3</v>
      </c>
      <c r="W104" t="str">
        <f t="shared" si="106"/>
        <v>1-0.000948284454236606i</v>
      </c>
      <c r="X104" s="4">
        <f t="shared" si="121"/>
        <v>1.000000449621602</v>
      </c>
      <c r="Y104" s="4">
        <f t="shared" si="122"/>
        <v>-9.4828416999057845E-4</v>
      </c>
      <c r="Z104" t="str">
        <f t="shared" si="107"/>
        <v>0.999999994751925+0.000705523633952035i</v>
      </c>
      <c r="AA104" s="4">
        <f t="shared" si="123"/>
        <v>1.0000002436336946</v>
      </c>
      <c r="AB104" s="4">
        <f t="shared" si="124"/>
        <v>7.0552352059338156E-4</v>
      </c>
      <c r="AC104" s="47" t="str">
        <f t="shared" si="125"/>
        <v>18.9050174801782-1.93032493366554i</v>
      </c>
      <c r="AD104" s="20">
        <f t="shared" si="126"/>
        <v>25.576585653791728</v>
      </c>
      <c r="AE104" s="43">
        <f t="shared" si="127"/>
        <v>-5.8300659193057172</v>
      </c>
      <c r="AF104" t="str">
        <f t="shared" si="108"/>
        <v>69.5520360182888</v>
      </c>
      <c r="AG104" t="str">
        <f t="shared" si="109"/>
        <v>1+0.0814982753812489i</v>
      </c>
      <c r="AH104">
        <f t="shared" si="128"/>
        <v>1.0033154882140103</v>
      </c>
      <c r="AI104">
        <f t="shared" si="129"/>
        <v>8.1318554722272729E-2</v>
      </c>
      <c r="AJ104" t="str">
        <f t="shared" si="110"/>
        <v>1+0.00171146378300622i</v>
      </c>
      <c r="AK104">
        <f t="shared" si="130"/>
        <v>1.0000014645530679</v>
      </c>
      <c r="AL104">
        <f t="shared" si="131"/>
        <v>1.7114621119882439E-3</v>
      </c>
      <c r="AM104" t="str">
        <f t="shared" si="111"/>
        <v>1-0.000207758714606746i</v>
      </c>
      <c r="AN104">
        <f t="shared" si="132"/>
        <v>1.0000000215818414</v>
      </c>
      <c r="AO104">
        <f t="shared" si="133"/>
        <v>-2.0775871161753562E-4</v>
      </c>
      <c r="AP104" s="41" t="str">
        <f t="shared" si="134"/>
        <v>69.1016135398027-5.52707658047728i</v>
      </c>
      <c r="AQ104">
        <f t="shared" si="135"/>
        <v>36.817459533089256</v>
      </c>
      <c r="AR104" s="43">
        <f t="shared" si="136"/>
        <v>-4.5730541232091495</v>
      </c>
      <c r="AS104" t="str">
        <f t="shared" si="112"/>
        <v>-0.0000166666666666667</v>
      </c>
      <c r="AT104" t="str">
        <f t="shared" si="113"/>
        <v>1.54760022931414E-06i</v>
      </c>
      <c r="AU104">
        <f t="shared" si="137"/>
        <v>1.5476002293141401E-6</v>
      </c>
      <c r="AV104">
        <f t="shared" si="138"/>
        <v>1.5707963267948966</v>
      </c>
      <c r="AW104" t="str">
        <f t="shared" si="114"/>
        <v>1+0.00157276881435835i</v>
      </c>
      <c r="AX104">
        <f t="shared" si="139"/>
        <v>1.0000012368001068</v>
      </c>
      <c r="AY104">
        <f t="shared" si="140"/>
        <v>1.5727675175590476E-3</v>
      </c>
      <c r="AZ104" t="str">
        <f t="shared" si="115"/>
        <v>1+0.0534741396881839i</v>
      </c>
      <c r="BA104">
        <f t="shared" si="141"/>
        <v>1.0014287211855826</v>
      </c>
      <c r="BB104">
        <f t="shared" si="142"/>
        <v>5.3423257482368466E-2</v>
      </c>
      <c r="BC104" s="41" t="str">
        <f t="shared" si="143"/>
        <v>-0.558943254075195+10.77024080802i</v>
      </c>
      <c r="BD104">
        <f t="shared" si="144"/>
        <v>20.656189399582363</v>
      </c>
      <c r="BE104" s="43">
        <f t="shared" si="145"/>
        <v>92.970814240669014</v>
      </c>
      <c r="BF104" s="41" t="str">
        <f t="shared" si="146"/>
        <v>10.2232323845839+204.690532841192i</v>
      </c>
      <c r="BG104" s="20">
        <f t="shared" si="147"/>
        <v>46.232775053374084</v>
      </c>
      <c r="BH104" s="43">
        <f t="shared" si="148"/>
        <v>87.14074832136329</v>
      </c>
      <c r="BI104" s="41" t="str">
        <f t="shared" si="101"/>
        <v>20.9040650023242+747.330340215825i</v>
      </c>
      <c r="BJ104" s="20">
        <f t="shared" si="149"/>
        <v>57.473648932671615</v>
      </c>
      <c r="BK104" s="43">
        <f t="shared" si="102"/>
        <v>88.397760117459868</v>
      </c>
      <c r="BL104">
        <f t="shared" si="150"/>
        <v>46.232775053374084</v>
      </c>
      <c r="BM104" s="43">
        <f t="shared" si="151"/>
        <v>87.14074832136329</v>
      </c>
    </row>
    <row r="105" spans="14:65" x14ac:dyDescent="0.25">
      <c r="N105" s="9">
        <v>87</v>
      </c>
      <c r="O105" s="34">
        <f t="shared" si="116"/>
        <v>74.131024130091816</v>
      </c>
      <c r="P105" s="33" t="str">
        <f t="shared" si="103"/>
        <v>19.1021967526266</v>
      </c>
      <c r="Q105" s="4" t="str">
        <f t="shared" si="104"/>
        <v>1+0.10454446607525i</v>
      </c>
      <c r="R105" s="4">
        <f t="shared" si="117"/>
        <v>1.0054499218692889</v>
      </c>
      <c r="S105" s="4">
        <f t="shared" si="118"/>
        <v>0.10416606991608328</v>
      </c>
      <c r="T105" s="4" t="str">
        <f t="shared" si="105"/>
        <v>1+0.00175132889569258i</v>
      </c>
      <c r="U105" s="4">
        <f t="shared" si="119"/>
        <v>1.0000015335752745</v>
      </c>
      <c r="V105" s="4">
        <f t="shared" si="120"/>
        <v>1.7513271051647075E-3</v>
      </c>
      <c r="W105" t="str">
        <f t="shared" si="106"/>
        <v>1-0.0009703728367091i</v>
      </c>
      <c r="X105" s="4">
        <f t="shared" si="121"/>
        <v>1.0000004708116104</v>
      </c>
      <c r="Y105" s="4">
        <f t="shared" si="122"/>
        <v>-9.7037253213400174E-4</v>
      </c>
      <c r="Z105" t="str">
        <f t="shared" si="107"/>
        <v>0.999999994504591+0.00072195739051157i</v>
      </c>
      <c r="AA105" s="4">
        <f t="shared" si="123"/>
        <v>1.0000002551157954</v>
      </c>
      <c r="AB105" s="4">
        <f t="shared" si="124"/>
        <v>7.2195726904558601E-4</v>
      </c>
      <c r="AC105" s="47" t="str">
        <f t="shared" si="125"/>
        <v>18.8958251749648-1.97432697388863i</v>
      </c>
      <c r="AD105" s="20">
        <f t="shared" si="126"/>
        <v>25.574472579635611</v>
      </c>
      <c r="AE105" s="43">
        <f t="shared" si="127"/>
        <v>-5.9648958781352359</v>
      </c>
      <c r="AF105" t="str">
        <f t="shared" si="108"/>
        <v>69.5520360182888</v>
      </c>
      <c r="AG105" t="str">
        <f t="shared" si="109"/>
        <v>1+0.0833966140805993i</v>
      </c>
      <c r="AH105">
        <f t="shared" si="128"/>
        <v>1.0034714720609192</v>
      </c>
      <c r="AI105">
        <f t="shared" si="129"/>
        <v>8.3204075887562054E-2</v>
      </c>
      <c r="AJ105" t="str">
        <f t="shared" si="110"/>
        <v>1+0.00175132889569258i</v>
      </c>
      <c r="AK105">
        <f t="shared" si="130"/>
        <v>1.0000015335752745</v>
      </c>
      <c r="AL105">
        <f t="shared" si="131"/>
        <v>1.7513271051647075E-3</v>
      </c>
      <c r="AM105" t="str">
        <f t="shared" si="111"/>
        <v>1-0.000212598036742341i</v>
      </c>
      <c r="AN105">
        <f t="shared" si="132"/>
        <v>1.0000000225989623</v>
      </c>
      <c r="AO105">
        <f t="shared" si="133"/>
        <v>-2.1259803353934438E-4</v>
      </c>
      <c r="AP105" s="41" t="str">
        <f t="shared" si="134"/>
        <v>69.080532401598-5.65406063705424i</v>
      </c>
      <c r="AQ105">
        <f t="shared" si="135"/>
        <v>36.816109865095882</v>
      </c>
      <c r="AR105" s="43">
        <f t="shared" si="136"/>
        <v>-4.6790797050253046</v>
      </c>
      <c r="AS105" t="str">
        <f t="shared" si="112"/>
        <v>-0.0000166666666666667</v>
      </c>
      <c r="AT105" t="str">
        <f t="shared" si="113"/>
        <v>1.58364846950925E-06i</v>
      </c>
      <c r="AU105">
        <f t="shared" si="137"/>
        <v>1.5836484695092501E-6</v>
      </c>
      <c r="AV105">
        <f t="shared" si="138"/>
        <v>1.5707963267948966</v>
      </c>
      <c r="AW105" t="str">
        <f t="shared" si="114"/>
        <v>1+0.00160940330621061i</v>
      </c>
      <c r="AX105">
        <f t="shared" si="139"/>
        <v>1.0000012950886623</v>
      </c>
      <c r="AY105">
        <f t="shared" si="140"/>
        <v>1.6094019166652195E-3</v>
      </c>
      <c r="AZ105" t="str">
        <f t="shared" si="115"/>
        <v>1+0.0547197124111608i</v>
      </c>
      <c r="BA105">
        <f t="shared" si="141"/>
        <v>1.001496004448525</v>
      </c>
      <c r="BB105">
        <f t="shared" si="142"/>
        <v>5.4665195542975734E-2</v>
      </c>
      <c r="BC105" s="41" t="str">
        <f t="shared" si="143"/>
        <v>-0.558943188915291+10.5251206832493i</v>
      </c>
      <c r="BD105">
        <f t="shared" si="144"/>
        <v>20.456772454912887</v>
      </c>
      <c r="BE105" s="43">
        <f t="shared" si="145"/>
        <v>93.039873053504678</v>
      </c>
      <c r="BF105" s="41" t="str">
        <f t="shared" si="146"/>
        <v>10.2183368878916+199.984376990832i</v>
      </c>
      <c r="BG105" s="20">
        <f t="shared" si="147"/>
        <v>46.031245034548512</v>
      </c>
      <c r="BH105" s="43">
        <f t="shared" si="148"/>
        <v>87.07497717536944</v>
      </c>
      <c r="BI105" s="41" t="str">
        <f t="shared" si="101"/>
        <v>20.89757748289+730.241239072728i</v>
      </c>
      <c r="BJ105" s="20">
        <f t="shared" si="149"/>
        <v>57.272882320008769</v>
      </c>
      <c r="BK105" s="43">
        <f t="shared" si="102"/>
        <v>88.360793348479376</v>
      </c>
      <c r="BL105">
        <f t="shared" si="150"/>
        <v>46.031245034548512</v>
      </c>
      <c r="BM105" s="43">
        <f t="shared" si="151"/>
        <v>87.07497717536944</v>
      </c>
    </row>
    <row r="106" spans="14:65" x14ac:dyDescent="0.25">
      <c r="N106" s="9">
        <v>88</v>
      </c>
      <c r="O106" s="34">
        <f t="shared" si="116"/>
        <v>75.857757502918361</v>
      </c>
      <c r="P106" s="33" t="str">
        <f t="shared" si="103"/>
        <v>19.1021967526266</v>
      </c>
      <c r="Q106" s="4" t="str">
        <f t="shared" si="104"/>
        <v>1+0.106979619516536i</v>
      </c>
      <c r="R106" s="4">
        <f t="shared" si="117"/>
        <v>1.0057060400494284</v>
      </c>
      <c r="S106" s="4">
        <f t="shared" si="118"/>
        <v>0.10657428486746154</v>
      </c>
      <c r="T106" s="4" t="str">
        <f t="shared" si="105"/>
        <v>1+0.00179212258614101i</v>
      </c>
      <c r="U106" s="4">
        <f t="shared" si="119"/>
        <v>1.0000016058503924</v>
      </c>
      <c r="V106" s="4">
        <f t="shared" si="120"/>
        <v>1.7921206675559946E-3</v>
      </c>
      <c r="W106" t="str">
        <f t="shared" si="106"/>
        <v>1-0.000992975723704019i</v>
      </c>
      <c r="X106" s="4">
        <f t="shared" si="121"/>
        <v>1.0000004930002724</v>
      </c>
      <c r="Y106" s="4">
        <f t="shared" si="122"/>
        <v>-9.9297539734592992E-4</v>
      </c>
      <c r="Z106" t="str">
        <f t="shared" si="107"/>
        <v>0.999999994245601+0.00073877393843579i</v>
      </c>
      <c r="AA106" s="4">
        <f t="shared" si="123"/>
        <v>1.0000002671390313</v>
      </c>
      <c r="AB106" s="4">
        <f t="shared" si="124"/>
        <v>7.3877380828264456E-4</v>
      </c>
      <c r="AC106" s="47" t="str">
        <f t="shared" si="125"/>
        <v>18.8862092330097-2.0192862482014i</v>
      </c>
      <c r="AD106" s="20">
        <f t="shared" si="126"/>
        <v>25.572261021468567</v>
      </c>
      <c r="AE106" s="43">
        <f t="shared" si="127"/>
        <v>-6.1027976975590095</v>
      </c>
      <c r="AF106" t="str">
        <f t="shared" si="108"/>
        <v>69.5520360182888</v>
      </c>
      <c r="AG106" t="str">
        <f t="shared" si="109"/>
        <v>1+0.0853391707686197i</v>
      </c>
      <c r="AH106">
        <f t="shared" si="128"/>
        <v>1.0036347812164919</v>
      </c>
      <c r="AI106">
        <f t="shared" si="129"/>
        <v>8.5132902710142566E-2</v>
      </c>
      <c r="AJ106" t="str">
        <f t="shared" si="110"/>
        <v>1+0.00179212258614101i</v>
      </c>
      <c r="AK106">
        <f t="shared" si="130"/>
        <v>1.0000016058503924</v>
      </c>
      <c r="AL106">
        <f t="shared" si="131"/>
        <v>1.7921206675559946E-3</v>
      </c>
      <c r="AM106" t="str">
        <f t="shared" si="111"/>
        <v>1-0.000217550081171084i</v>
      </c>
      <c r="AN106">
        <f t="shared" si="132"/>
        <v>1.0000000236640185</v>
      </c>
      <c r="AO106">
        <f t="shared" si="133"/>
        <v>-2.1755007773901128E-4</v>
      </c>
      <c r="AP106" s="41" t="str">
        <f t="shared" si="134"/>
        <v>69.0584717832419-5.78387799295091i</v>
      </c>
      <c r="AQ106">
        <f t="shared" si="135"/>
        <v>36.814697039027607</v>
      </c>
      <c r="AR106" s="43">
        <f t="shared" si="136"/>
        <v>-4.7875397736470795</v>
      </c>
      <c r="AS106" t="str">
        <f t="shared" si="112"/>
        <v>-0.0000166666666666667</v>
      </c>
      <c r="AT106" t="str">
        <f t="shared" si="113"/>
        <v>1.62053638108496E-06i</v>
      </c>
      <c r="AU106">
        <f t="shared" si="137"/>
        <v>1.6205363810849601E-6</v>
      </c>
      <c r="AV106">
        <f t="shared" si="138"/>
        <v>1.5707963267948966</v>
      </c>
      <c r="AW106" t="str">
        <f t="shared" si="114"/>
        <v>1+0.0016468911249988i</v>
      </c>
      <c r="AX106">
        <f t="shared" si="139"/>
        <v>1.0000013561242693</v>
      </c>
      <c r="AY106">
        <f t="shared" si="140"/>
        <v>1.6468896360741978E-3</v>
      </c>
      <c r="AZ106" t="str">
        <f t="shared" si="115"/>
        <v>1+0.0559942982499591i</v>
      </c>
      <c r="BA106">
        <f t="shared" si="141"/>
        <v>1.0015664538294526</v>
      </c>
      <c r="BB106">
        <f t="shared" si="142"/>
        <v>5.5935887306500509E-2</v>
      </c>
      <c r="BC106" s="41" t="str">
        <f t="shared" si="143"/>
        <v>-0.558943120684511+10.2855811167713i</v>
      </c>
      <c r="BD106">
        <f t="shared" si="144"/>
        <v>20.257382904762661</v>
      </c>
      <c r="BE106" s="43">
        <f t="shared" si="145"/>
        <v>93.110530440510985</v>
      </c>
      <c r="BF106" s="41" t="str">
        <f t="shared" si="146"/>
        <v>10.2132157772572+195.384303211561i</v>
      </c>
      <c r="BG106" s="20">
        <f t="shared" si="147"/>
        <v>45.829643926231213</v>
      </c>
      <c r="BH106" s="43">
        <f t="shared" si="148"/>
        <v>87.007732742951987</v>
      </c>
      <c r="BI106" s="41" t="str">
        <f t="shared" si="101"/>
        <v>20.8907885377765+713.539372141835i</v>
      </c>
      <c r="BJ106" s="20">
        <f t="shared" si="149"/>
        <v>57.072079943790264</v>
      </c>
      <c r="BK106" s="43">
        <f t="shared" si="102"/>
        <v>88.322990666863916</v>
      </c>
      <c r="BL106">
        <f t="shared" si="150"/>
        <v>45.829643926231213</v>
      </c>
      <c r="BM106" s="43">
        <f t="shared" si="151"/>
        <v>87.007732742951987</v>
      </c>
    </row>
    <row r="107" spans="14:65" x14ac:dyDescent="0.25">
      <c r="N107" s="9">
        <v>89</v>
      </c>
      <c r="O107" s="34">
        <f t="shared" si="116"/>
        <v>77.624711662869217</v>
      </c>
      <c r="P107" s="33" t="str">
        <f t="shared" si="103"/>
        <v>19.1021967526266</v>
      </c>
      <c r="Q107" s="4" t="str">
        <f t="shared" si="104"/>
        <v>1+0.109471494968133i</v>
      </c>
      <c r="R107" s="4">
        <f t="shared" si="117"/>
        <v>1.0059741588184847</v>
      </c>
      <c r="S107" s="4">
        <f t="shared" si="118"/>
        <v>0.1090373102507048</v>
      </c>
      <c r="T107" s="4" t="str">
        <f t="shared" si="105"/>
        <v>1+0.00183386648370616i</v>
      </c>
      <c r="U107" s="4">
        <f t="shared" si="119"/>
        <v>1.0000016815317263</v>
      </c>
      <c r="V107" s="4">
        <f t="shared" si="120"/>
        <v>1.8338644279054638E-3</v>
      </c>
      <c r="W107" t="str">
        <f t="shared" si="106"/>
        <v>1-0.00101610509957123i</v>
      </c>
      <c r="X107" s="4">
        <f t="shared" si="121"/>
        <v>1.0000005162346535</v>
      </c>
      <c r="Y107" s="4">
        <f t="shared" si="122"/>
        <v>-1.0161047498722471E-3</v>
      </c>
      <c r="Z107" t="str">
        <f t="shared" si="107"/>
        <v>0.999999993974404+0.000755982194080997i</v>
      </c>
      <c r="AA107" s="4">
        <f t="shared" si="123"/>
        <v>1.0000002797289038</v>
      </c>
      <c r="AB107" s="4">
        <f t="shared" si="124"/>
        <v>7.5598205461939168E-4</v>
      </c>
      <c r="AC107" s="47" t="str">
        <f t="shared" si="125"/>
        <v>18.8761505974471-2.06522033456608i</v>
      </c>
      <c r="AD107" s="20">
        <f t="shared" si="126"/>
        <v>25.569946442980015</v>
      </c>
      <c r="AE107" s="43">
        <f t="shared" si="127"/>
        <v>-6.2438380897339503</v>
      </c>
      <c r="AF107" t="str">
        <f t="shared" si="108"/>
        <v>69.5520360182888</v>
      </c>
      <c r="AG107" t="str">
        <f t="shared" si="109"/>
        <v>1+0.0873269754145792i</v>
      </c>
      <c r="AH107">
        <f t="shared" si="128"/>
        <v>1.0038057584189575</v>
      </c>
      <c r="AI107">
        <f t="shared" si="129"/>
        <v>8.7106000439974463E-2</v>
      </c>
      <c r="AJ107" t="str">
        <f t="shared" si="110"/>
        <v>1+0.00183386648370616i</v>
      </c>
      <c r="AK107">
        <f t="shared" si="130"/>
        <v>1.0000016815317263</v>
      </c>
      <c r="AL107">
        <f t="shared" si="131"/>
        <v>1.8338644279054638E-3</v>
      </c>
      <c r="AM107" t="str">
        <f t="shared" si="111"/>
        <v>1-0.000222617473532479i</v>
      </c>
      <c r="AN107">
        <f t="shared" si="132"/>
        <v>1.0000000247792695</v>
      </c>
      <c r="AO107">
        <f t="shared" si="133"/>
        <v>-2.2261746985494682E-4</v>
      </c>
      <c r="AP107" s="41" t="str">
        <f t="shared" si="134"/>
        <v>69.03538686309-5.91658588213899i</v>
      </c>
      <c r="AQ107">
        <f t="shared" si="135"/>
        <v>36.813218121412497</v>
      </c>
      <c r="AR107" s="43">
        <f t="shared" si="136"/>
        <v>-4.8984885450256392</v>
      </c>
      <c r="AS107" t="str">
        <f t="shared" si="112"/>
        <v>-0.0000166666666666667</v>
      </c>
      <c r="AT107" t="str">
        <f t="shared" si="113"/>
        <v>1.65828352250025E-06i</v>
      </c>
      <c r="AU107">
        <f t="shared" si="137"/>
        <v>1.65828352250025E-6</v>
      </c>
      <c r="AV107">
        <f t="shared" si="138"/>
        <v>1.5707963267948966</v>
      </c>
      <c r="AW107" t="str">
        <f t="shared" si="114"/>
        <v>1+0.00168525214726064i</v>
      </c>
      <c r="AX107">
        <f t="shared" si="139"/>
        <v>1.0000014200363916</v>
      </c>
      <c r="AY107">
        <f t="shared" si="140"/>
        <v>1.685250551849307E-3</v>
      </c>
      <c r="AZ107" t="str">
        <f t="shared" si="115"/>
        <v>1+0.0572985730068617i</v>
      </c>
      <c r="BA107">
        <f t="shared" si="141"/>
        <v>1.0016402180766419</v>
      </c>
      <c r="BB107">
        <f t="shared" si="142"/>
        <v>5.7235990087381776E-2</v>
      </c>
      <c r="BC107" s="41" t="str">
        <f t="shared" si="143"/>
        <v>-0.558943049238135+10.0514951015367i</v>
      </c>
      <c r="BD107">
        <f t="shared" si="144"/>
        <v>20.058022032114508</v>
      </c>
      <c r="BE107" s="43">
        <f t="shared" si="145"/>
        <v>93.182822924216538</v>
      </c>
      <c r="BF107" s="41" t="str">
        <f t="shared" si="146"/>
        <v>10.2078589036696+190.88787581726i</v>
      </c>
      <c r="BG107" s="20">
        <f t="shared" si="147"/>
        <v>45.627968475094548</v>
      </c>
      <c r="BH107" s="43">
        <f t="shared" si="148"/>
        <v>86.938984834482611</v>
      </c>
      <c r="BI107" s="41" t="str">
        <f t="shared" si="101"/>
        <v>20.8836843735514+697.215887441082i</v>
      </c>
      <c r="BJ107" s="20">
        <f t="shared" si="149"/>
        <v>56.871240153527005</v>
      </c>
      <c r="BK107" s="43">
        <f t="shared" si="102"/>
        <v>88.284334379190909</v>
      </c>
      <c r="BL107">
        <f t="shared" si="150"/>
        <v>45.627968475094548</v>
      </c>
      <c r="BM107" s="43">
        <f t="shared" si="151"/>
        <v>86.938984834482611</v>
      </c>
    </row>
    <row r="108" spans="14:65" x14ac:dyDescent="0.25">
      <c r="N108" s="9">
        <v>90</v>
      </c>
      <c r="O108" s="34">
        <f t="shared" si="116"/>
        <v>79.432823472428197</v>
      </c>
      <c r="P108" s="33" t="str">
        <f t="shared" si="103"/>
        <v>19.1021967526266</v>
      </c>
      <c r="Q108" s="4" t="str">
        <f t="shared" si="104"/>
        <v>1+0.112021413655388i</v>
      </c>
      <c r="R108" s="4">
        <f t="shared" si="117"/>
        <v>1.0062548370653188</v>
      </c>
      <c r="S108" s="4">
        <f t="shared" si="118"/>
        <v>0.11155633239399723</v>
      </c>
      <c r="T108" s="4" t="str">
        <f t="shared" si="105"/>
        <v>1+0.00187658272155506i</v>
      </c>
      <c r="U108" s="4">
        <f t="shared" si="119"/>
        <v>1.0000017607798053</v>
      </c>
      <c r="V108" s="4">
        <f t="shared" si="120"/>
        <v>1.8765805187251356E-3</v>
      </c>
      <c r="W108" t="str">
        <f t="shared" si="106"/>
        <v>1-0.00103977322781198i</v>
      </c>
      <c r="X108" s="4">
        <f t="shared" si="121"/>
        <v>1.0000005405640366</v>
      </c>
      <c r="Y108" s="4">
        <f t="shared" si="122"/>
        <v>-1.0397728531027796E-3</v>
      </c>
      <c r="Z108" t="str">
        <f t="shared" si="107"/>
        <v>0.999999993690427+0.000773591281492114i</v>
      </c>
      <c r="AA108" s="4">
        <f t="shared" si="123"/>
        <v>1.0000002929121194</v>
      </c>
      <c r="AB108" s="4">
        <f t="shared" si="124"/>
        <v>7.7359113205631338E-4</v>
      </c>
      <c r="AC108" s="47" t="str">
        <f t="shared" si="125"/>
        <v>18.8656293986002-2.11214689764312i</v>
      </c>
      <c r="AD108" s="20">
        <f t="shared" si="126"/>
        <v>25.567524104028895</v>
      </c>
      <c r="AE108" s="43">
        <f t="shared" si="127"/>
        <v>-6.3880849835658173</v>
      </c>
      <c r="AF108" t="str">
        <f t="shared" si="108"/>
        <v>69.5520360182888</v>
      </c>
      <c r="AG108" t="str">
        <f t="shared" si="109"/>
        <v>1+0.0893610819788126i</v>
      </c>
      <c r="AH108">
        <f t="shared" si="128"/>
        <v>1.0039847623208353</v>
      </c>
      <c r="AI108">
        <f t="shared" si="129"/>
        <v>8.9124353753518473E-2</v>
      </c>
      <c r="AJ108" t="str">
        <f t="shared" si="110"/>
        <v>1+0.00187658272155506i</v>
      </c>
      <c r="AK108">
        <f t="shared" si="130"/>
        <v>1.0000017607798053</v>
      </c>
      <c r="AL108">
        <f t="shared" si="131"/>
        <v>1.8765805187251356E-3</v>
      </c>
      <c r="AM108" t="str">
        <f t="shared" si="111"/>
        <v>1-0.000227802900625032i</v>
      </c>
      <c r="AN108">
        <f t="shared" si="132"/>
        <v>1.0000000259470805</v>
      </c>
      <c r="AO108">
        <f t="shared" si="133"/>
        <v>-2.2780289668448527E-4</v>
      </c>
      <c r="AP108" s="41" t="str">
        <f t="shared" si="134"/>
        <v>69.0112308341788-6.05224226254026i</v>
      </c>
      <c r="AQ108">
        <f t="shared" si="135"/>
        <v>36.811670044637125</v>
      </c>
      <c r="AR108" s="43">
        <f t="shared" si="136"/>
        <v>-5.0119813228090004</v>
      </c>
      <c r="AS108" t="str">
        <f t="shared" si="112"/>
        <v>-0.0000166666666666667</v>
      </c>
      <c r="AT108" t="str">
        <f t="shared" si="113"/>
        <v>1.69690990778915E-06i</v>
      </c>
      <c r="AU108">
        <f t="shared" si="137"/>
        <v>1.6969099077891499E-6</v>
      </c>
      <c r="AV108">
        <f t="shared" si="138"/>
        <v>1.5707963267948966</v>
      </c>
      <c r="AW108" t="str">
        <f t="shared" si="114"/>
        <v>1+0.0017245067125179i</v>
      </c>
      <c r="AX108">
        <f t="shared" si="139"/>
        <v>1.0000014869605953</v>
      </c>
      <c r="AY108">
        <f t="shared" si="140"/>
        <v>1.7245050030039941E-3</v>
      </c>
      <c r="AZ108" t="str">
        <f t="shared" si="115"/>
        <v>1+0.0586332282256087i</v>
      </c>
      <c r="BA108">
        <f t="shared" si="141"/>
        <v>1.0017174529038397</v>
      </c>
      <c r="BB108">
        <f t="shared" si="142"/>
        <v>5.8566175627202469E-2</v>
      </c>
      <c r="BC108" s="41" t="str">
        <f t="shared" si="143"/>
        <v>-0.558942974424611+9.82273852204082i</v>
      </c>
      <c r="BD108">
        <f t="shared" si="144"/>
        <v>19.858691179640189</v>
      </c>
      <c r="BE108" s="43">
        <f t="shared" si="145"/>
        <v>93.256787827239322</v>
      </c>
      <c r="BF108" s="41" t="str">
        <f t="shared" si="146"/>
        <v>10.2022556852421+186.492714305566i</v>
      </c>
      <c r="BG108" s="20">
        <f t="shared" si="147"/>
        <v>45.426215283669073</v>
      </c>
      <c r="BH108" s="43">
        <f t="shared" si="148"/>
        <v>86.868702843673518</v>
      </c>
      <c r="BI108" s="41" t="str">
        <f t="shared" si="101"/>
        <v>20.8762505858184+681.262133860502i</v>
      </c>
      <c r="BJ108" s="20">
        <f t="shared" si="149"/>
        <v>56.670361224277322</v>
      </c>
      <c r="BK108" s="43">
        <f t="shared" si="102"/>
        <v>88.244806504430329</v>
      </c>
      <c r="BL108">
        <f t="shared" si="150"/>
        <v>45.426215283669073</v>
      </c>
      <c r="BM108" s="43">
        <f t="shared" si="151"/>
        <v>86.868702843673518</v>
      </c>
    </row>
    <row r="109" spans="14:65" x14ac:dyDescent="0.25">
      <c r="N109" s="9">
        <v>91</v>
      </c>
      <c r="O109" s="34">
        <f t="shared" si="116"/>
        <v>81.283051616409963</v>
      </c>
      <c r="P109" s="33" t="str">
        <f t="shared" si="103"/>
        <v>19.1021967526266</v>
      </c>
      <c r="Q109" s="4" t="str">
        <f t="shared" si="104"/>
        <v>1+0.114630727578942i</v>
      </c>
      <c r="R109" s="4">
        <f t="shared" si="117"/>
        <v>1.006548659382783</v>
      </c>
      <c r="S109" s="4">
        <f t="shared" si="118"/>
        <v>0.11413255897173238</v>
      </c>
      <c r="T109" s="4" t="str">
        <f t="shared" si="105"/>
        <v>1+0.00192029394840244i</v>
      </c>
      <c r="U109" s="4">
        <f t="shared" si="119"/>
        <v>1.0000018437627245</v>
      </c>
      <c r="V109" s="4">
        <f t="shared" si="120"/>
        <v>1.920291588027885E-3</v>
      </c>
      <c r="W109" t="str">
        <f t="shared" si="106"/>
        <v>1-0.00106399265758114i</v>
      </c>
      <c r="X109" s="4">
        <f t="shared" si="121"/>
        <v>1.0000005660400275</v>
      </c>
      <c r="Y109" s="4">
        <f t="shared" si="122"/>
        <v>-1.0639922560730104E-3</v>
      </c>
      <c r="Z109" t="str">
        <f t="shared" si="107"/>
        <v>0.999999993393066+0.000791610537240367i</v>
      </c>
      <c r="AA109" s="4">
        <f t="shared" si="123"/>
        <v>1.0000003067166403</v>
      </c>
      <c r="AB109" s="4">
        <f t="shared" si="124"/>
        <v>7.9161037711702434E-4</v>
      </c>
      <c r="AC109" s="47" t="str">
        <f t="shared" si="125"/>
        <v>18.8546249235673-2.16008366947562i</v>
      </c>
      <c r="AD109" s="20">
        <f t="shared" si="126"/>
        <v>25.564989051972503</v>
      </c>
      <c r="AE109" s="43">
        <f t="shared" si="127"/>
        <v>-6.535607530014941</v>
      </c>
      <c r="AF109" t="str">
        <f t="shared" si="108"/>
        <v>69.5520360182888</v>
      </c>
      <c r="AG109" t="str">
        <f t="shared" si="109"/>
        <v>1+0.0914425689715448i</v>
      </c>
      <c r="AH109">
        <f t="shared" si="128"/>
        <v>1.0041721682162454</v>
      </c>
      <c r="AI109">
        <f t="shared" si="129"/>
        <v>9.1188966993832721E-2</v>
      </c>
      <c r="AJ109" t="str">
        <f t="shared" si="110"/>
        <v>1+0.00192029394840244i</v>
      </c>
      <c r="AK109">
        <f t="shared" si="130"/>
        <v>1.0000018437627245</v>
      </c>
      <c r="AL109">
        <f t="shared" si="131"/>
        <v>1.920291588027885E-3</v>
      </c>
      <c r="AM109" t="str">
        <f t="shared" si="111"/>
        <v>1-0.000233109111830825i</v>
      </c>
      <c r="AN109">
        <f t="shared" si="132"/>
        <v>1.0000000271699285</v>
      </c>
      <c r="AO109">
        <f t="shared" si="133"/>
        <v>-2.3310910760845311E-4</v>
      </c>
      <c r="AP109" s="41" t="str">
        <f t="shared" si="134"/>
        <v>68.9859548225969-6.19090579141045i</v>
      </c>
      <c r="AQ109">
        <f t="shared" si="135"/>
        <v>36.810049601014086</v>
      </c>
      <c r="AR109" s="43">
        <f t="shared" si="136"/>
        <v>-5.1280745115079336</v>
      </c>
      <c r="AS109" t="str">
        <f t="shared" si="112"/>
        <v>-0.0000166666666666667</v>
      </c>
      <c r="AT109" t="str">
        <f t="shared" si="113"/>
        <v>1.73643601717242E-06i</v>
      </c>
      <c r="AU109">
        <f t="shared" si="137"/>
        <v>1.73643601717242E-6</v>
      </c>
      <c r="AV109">
        <f t="shared" si="138"/>
        <v>1.5707963267948966</v>
      </c>
      <c r="AW109" t="str">
        <f t="shared" si="114"/>
        <v>1+0.00176467563406069i</v>
      </c>
      <c r="AX109">
        <f t="shared" si="139"/>
        <v>1.0000015570388345</v>
      </c>
      <c r="AY109">
        <f t="shared" si="140"/>
        <v>1.7646738022836915E-3</v>
      </c>
      <c r="AZ109" t="str">
        <f t="shared" si="115"/>
        <v>1+0.0599989715580635i</v>
      </c>
      <c r="BA109">
        <f t="shared" si="141"/>
        <v>1.0017983213142381</v>
      </c>
      <c r="BB109">
        <f t="shared" si="142"/>
        <v>5.9927130368318558E-2</v>
      </c>
      <c r="BC109" s="41" t="str">
        <f t="shared" si="143"/>
        <v>-0.558942896085256+9.59919008851645i</v>
      </c>
      <c r="BD109">
        <f t="shared" si="144"/>
        <v>19.659391752439653</v>
      </c>
      <c r="BE109" s="43">
        <f t="shared" si="145"/>
        <v>93.332463287346755</v>
      </c>
      <c r="BF109" s="41" t="str">
        <f t="shared" si="146"/>
        <v>10.1963950910167+182.196492111006i</v>
      </c>
      <c r="BG109" s="20">
        <f t="shared" si="147"/>
        <v>45.224380804412178</v>
      </c>
      <c r="BH109" s="43">
        <f t="shared" si="148"/>
        <v>86.796855757331826</v>
      </c>
      <c r="BI109" s="41" t="str">
        <f t="shared" si="101"/>
        <v>20.8684721340973+665.669656592358i</v>
      </c>
      <c r="BJ109" s="20">
        <f t="shared" si="149"/>
        <v>56.469441353453746</v>
      </c>
      <c r="BK109" s="43">
        <f t="shared" si="102"/>
        <v>88.204388775838837</v>
      </c>
      <c r="BL109">
        <f t="shared" si="150"/>
        <v>45.224380804412178</v>
      </c>
      <c r="BM109" s="43">
        <f t="shared" si="151"/>
        <v>86.796855757331826</v>
      </c>
    </row>
    <row r="110" spans="14:65" x14ac:dyDescent="0.25">
      <c r="N110" s="9">
        <v>92</v>
      </c>
      <c r="O110" s="34">
        <f t="shared" si="116"/>
        <v>83.176377110267126</v>
      </c>
      <c r="P110" s="33" t="str">
        <f t="shared" si="103"/>
        <v>19.1021967526266</v>
      </c>
      <c r="Q110" s="4" t="str">
        <f t="shared" si="104"/>
        <v>1+0.117300820231576i</v>
      </c>
      <c r="R110" s="4">
        <f t="shared" si="117"/>
        <v>1.0068562372190979</v>
      </c>
      <c r="S110" s="4">
        <f t="shared" si="118"/>
        <v>0.11676721907314241</v>
      </c>
      <c r="T110" s="4" t="str">
        <f t="shared" si="105"/>
        <v>1+0.00196502334051936i</v>
      </c>
      <c r="U110" s="4">
        <f t="shared" si="119"/>
        <v>1.0000019306565007</v>
      </c>
      <c r="V110" s="4">
        <f t="shared" si="120"/>
        <v>1.9650208113327202E-3</v>
      </c>
      <c r="W110" t="str">
        <f t="shared" si="106"/>
        <v>1-0.00108877623034096i</v>
      </c>
      <c r="X110" s="4">
        <f t="shared" si="121"/>
        <v>1.0000005927166642</v>
      </c>
      <c r="Y110" s="4">
        <f t="shared" si="122"/>
        <v>-1.0887758001172615E-3</v>
      </c>
      <c r="Z110" t="str">
        <f t="shared" si="107"/>
        <v>0.99999999308169+0.000810049515373671i</v>
      </c>
      <c r="AA110" s="4">
        <f t="shared" si="123"/>
        <v>1.000000321171747</v>
      </c>
      <c r="AB110" s="4">
        <f t="shared" si="124"/>
        <v>8.1004934379842177E-4</v>
      </c>
      <c r="AC110" s="47" t="str">
        <f t="shared" si="125"/>
        <v>18.8431155850852-2.20904842840199i</v>
      </c>
      <c r="AD110" s="20">
        <f t="shared" si="126"/>
        <v>25.562336112672163</v>
      </c>
      <c r="AE110" s="43">
        <f t="shared" si="127"/>
        <v>-6.6864761060054922</v>
      </c>
      <c r="AF110" t="str">
        <f t="shared" si="108"/>
        <v>69.5520360182888</v>
      </c>
      <c r="AG110" t="str">
        <f t="shared" si="109"/>
        <v>1+0.0935725400247314i</v>
      </c>
      <c r="AH110">
        <f t="shared" si="128"/>
        <v>1.004368368800352</v>
      </c>
      <c r="AI110">
        <f t="shared" si="129"/>
        <v>9.3300864401816841E-2</v>
      </c>
      <c r="AJ110" t="str">
        <f t="shared" si="110"/>
        <v>1+0.00196502334051936i</v>
      </c>
      <c r="AK110">
        <f t="shared" si="130"/>
        <v>1.0000019306565007</v>
      </c>
      <c r="AL110">
        <f t="shared" si="131"/>
        <v>1.9650208113327202E-3</v>
      </c>
      <c r="AM110" t="str">
        <f t="shared" si="111"/>
        <v>1-0.000238538920573273i</v>
      </c>
      <c r="AN110">
        <f t="shared" si="132"/>
        <v>1.000000028450408</v>
      </c>
      <c r="AO110">
        <f t="shared" si="133"/>
        <v>-2.3853891604892001E-4</v>
      </c>
      <c r="AP110" s="41" t="str">
        <f t="shared" si="134"/>
        <v>68.9595078031137-6.33263579743153i</v>
      </c>
      <c r="AQ110">
        <f t="shared" si="135"/>
        <v>36.808353436606552</v>
      </c>
      <c r="AR110" s="43">
        <f t="shared" si="136"/>
        <v>-5.2468256291409823</v>
      </c>
      <c r="AS110" t="str">
        <f t="shared" si="112"/>
        <v>-0.0000166666666666667</v>
      </c>
      <c r="AT110" t="str">
        <f t="shared" si="113"/>
        <v>1.77688280791644E-06i</v>
      </c>
      <c r="AU110">
        <f t="shared" si="137"/>
        <v>1.77688280791644E-6</v>
      </c>
      <c r="AV110">
        <f t="shared" si="138"/>
        <v>1.5707963267948966</v>
      </c>
      <c r="AW110" t="str">
        <f t="shared" si="114"/>
        <v>1+0.0018057802099829i</v>
      </c>
      <c r="AX110">
        <f t="shared" si="139"/>
        <v>1.0000016304197543</v>
      </c>
      <c r="AY110">
        <f t="shared" si="140"/>
        <v>1.8057782471986561E-3</v>
      </c>
      <c r="AZ110" t="str">
        <f t="shared" si="115"/>
        <v>1+0.0613965271394186i</v>
      </c>
      <c r="BA110">
        <f t="shared" si="141"/>
        <v>1.001882993939303</v>
      </c>
      <c r="BB110">
        <f t="shared" si="142"/>
        <v>6.1319555729490383E-2</v>
      </c>
      <c r="BC110" s="41" t="str">
        <f t="shared" si="143"/>
        <v>-0.558942814053904+9.3807312726243i</v>
      </c>
      <c r="BD110">
        <f t="shared" si="144"/>
        <v>19.460125220901709</v>
      </c>
      <c r="BE110" s="43">
        <f t="shared" si="145"/>
        <v>93.409888272616016</v>
      </c>
      <c r="BF110" s="41" t="str">
        <f t="shared" si="146"/>
        <v>10.1902656243816+177.996935387635i</v>
      </c>
      <c r="BG110" s="20">
        <f t="shared" si="147"/>
        <v>45.022461333573844</v>
      </c>
      <c r="BH110" s="43">
        <f t="shared" si="148"/>
        <v>86.723412166610544</v>
      </c>
      <c r="BI110" s="41" t="str">
        <f t="shared" si="101"/>
        <v>20.8603333158616+650.430192666443i</v>
      </c>
      <c r="BJ110" s="20">
        <f t="shared" si="149"/>
        <v>56.268478657508254</v>
      </c>
      <c r="BK110" s="43">
        <f t="shared" si="102"/>
        <v>88.163062643475044</v>
      </c>
      <c r="BL110">
        <f t="shared" si="150"/>
        <v>45.022461333573844</v>
      </c>
      <c r="BM110" s="43">
        <f t="shared" si="151"/>
        <v>86.723412166610544</v>
      </c>
    </row>
    <row r="111" spans="14:65" x14ac:dyDescent="0.25">
      <c r="N111" s="9">
        <v>93</v>
      </c>
      <c r="O111" s="34">
        <f t="shared" si="116"/>
        <v>85.113803820237734</v>
      </c>
      <c r="P111" s="33" t="str">
        <f t="shared" si="103"/>
        <v>19.1021967526266</v>
      </c>
      <c r="Q111" s="4" t="str">
        <f t="shared" si="104"/>
        <v>1+0.120033107331756i</v>
      </c>
      <c r="R111" s="4">
        <f t="shared" si="117"/>
        <v>1.0071782100778972</v>
      </c>
      <c r="S111" s="4">
        <f t="shared" si="118"/>
        <v>0.11946156324436415</v>
      </c>
      <c r="T111" s="4" t="str">
        <f t="shared" si="105"/>
        <v>1+0.00201079461402158i</v>
      </c>
      <c r="U111" s="4">
        <f t="shared" si="119"/>
        <v>1.0000020216454464</v>
      </c>
      <c r="V111" s="4">
        <f t="shared" si="120"/>
        <v>2.010791903949565E-3</v>
      </c>
      <c r="W111" t="str">
        <f t="shared" si="106"/>
        <v>1-0.00111413708666976i</v>
      </c>
      <c r="X111" s="4">
        <f t="shared" si="121"/>
        <v>1.0000006206505314</v>
      </c>
      <c r="Y111" s="4">
        <f t="shared" si="122"/>
        <v>-1.114136625676777E-3</v>
      </c>
      <c r="Z111" t="str">
        <f t="shared" si="107"/>
        <v>0.99999999275564+0.0008289179924823i</v>
      </c>
      <c r="AA111" s="4">
        <f t="shared" si="123"/>
        <v>1.0000003363081027</v>
      </c>
      <c r="AB111" s="4">
        <f t="shared" si="124"/>
        <v>8.289178086361115E-4</v>
      </c>
      <c r="AC111" s="47" t="str">
        <f t="shared" si="125"/>
        <v>18.8310788897007-2.25905897608487i</v>
      </c>
      <c r="AD111" s="20">
        <f t="shared" si="126"/>
        <v>25.559559881169612</v>
      </c>
      <c r="AE111" s="43">
        <f t="shared" si="127"/>
        <v>-6.8407623168121336</v>
      </c>
      <c r="AF111" t="str">
        <f t="shared" si="108"/>
        <v>69.5520360182888</v>
      </c>
      <c r="AG111" t="str">
        <f t="shared" si="109"/>
        <v>1+0.0957521244772181i</v>
      </c>
      <c r="AH111">
        <f t="shared" si="128"/>
        <v>1.0045737749622476</v>
      </c>
      <c r="AI111">
        <f t="shared" si="129"/>
        <v>9.5461090337452176E-2</v>
      </c>
      <c r="AJ111" t="str">
        <f t="shared" si="110"/>
        <v>1+0.00201079461402158i</v>
      </c>
      <c r="AK111">
        <f t="shared" si="130"/>
        <v>1.0000020216454464</v>
      </c>
      <c r="AL111">
        <f t="shared" si="131"/>
        <v>2.010791903949565E-3</v>
      </c>
      <c r="AM111" t="str">
        <f t="shared" si="111"/>
        <v>1-0.000244095205808846i</v>
      </c>
      <c r="AN111">
        <f t="shared" si="132"/>
        <v>1.0000000297912344</v>
      </c>
      <c r="AO111">
        <f t="shared" si="133"/>
        <v>-2.4409520096091447E-4</v>
      </c>
      <c r="AP111" s="41" t="str">
        <f t="shared" si="134"/>
        <v>68.9318365120372-6.47749224927033i</v>
      </c>
      <c r="AQ111">
        <f t="shared" si="135"/>
        <v>36.806578044801796</v>
      </c>
      <c r="AR111" s="43">
        <f t="shared" si="136"/>
        <v>-5.3682933192921656</v>
      </c>
      <c r="AS111" t="str">
        <f t="shared" si="112"/>
        <v>-0.0000166666666666667</v>
      </c>
      <c r="AT111" t="str">
        <f t="shared" si="113"/>
        <v>1.81827172544504E-06i</v>
      </c>
      <c r="AU111">
        <f t="shared" si="137"/>
        <v>1.8182717254450401E-6</v>
      </c>
      <c r="AV111">
        <f t="shared" si="138"/>
        <v>1.5707963267948966</v>
      </c>
      <c r="AW111" t="str">
        <f t="shared" si="114"/>
        <v>1+0.00184784223447477i</v>
      </c>
      <c r="AX111">
        <f t="shared" si="139"/>
        <v>1.0000017072590044</v>
      </c>
      <c r="AY111">
        <f t="shared" si="140"/>
        <v>1.8478401313137545E-3</v>
      </c>
      <c r="AZ111" t="str">
        <f t="shared" si="115"/>
        <v>1+0.0628266359721423i</v>
      </c>
      <c r="BA111">
        <f t="shared" si="141"/>
        <v>1.0019716493931234</v>
      </c>
      <c r="BB111">
        <f t="shared" si="142"/>
        <v>6.2744168383263979E-2</v>
      </c>
      <c r="BC111" s="41" t="str">
        <f t="shared" si="143"/>
        <v>-0.558942728156563+9.1672462446076i</v>
      </c>
      <c r="BD111">
        <f t="shared" si="144"/>
        <v>19.260893123691783</v>
      </c>
      <c r="BE111" s="43">
        <f t="shared" si="145"/>
        <v>93.489102596680013</v>
      </c>
      <c r="BF111" s="41" t="str">
        <f t="shared" si="146"/>
        <v>10.1838553061203+173.891821820678i</v>
      </c>
      <c r="BG111" s="20">
        <f t="shared" si="147"/>
        <v>44.820453004861413</v>
      </c>
      <c r="BH111" s="43">
        <f t="shared" si="148"/>
        <v>86.648340279867909</v>
      </c>
      <c r="BI111" s="41" t="str">
        <f t="shared" si="101"/>
        <v>20.851817739718+635.535666588298i</v>
      </c>
      <c r="BJ111" s="20">
        <f t="shared" si="149"/>
        <v>56.067471168493569</v>
      </c>
      <c r="BK111" s="43">
        <f t="shared" si="102"/>
        <v>88.120809277387878</v>
      </c>
      <c r="BL111">
        <f t="shared" si="150"/>
        <v>44.820453004861413</v>
      </c>
      <c r="BM111" s="43">
        <f t="shared" si="151"/>
        <v>86.648340279867909</v>
      </c>
    </row>
    <row r="112" spans="14:65" x14ac:dyDescent="0.25">
      <c r="N112" s="9">
        <v>94</v>
      </c>
      <c r="O112" s="34">
        <f t="shared" si="116"/>
        <v>87.096358995608071</v>
      </c>
      <c r="P112" s="33" t="str">
        <f t="shared" si="103"/>
        <v>19.1021967526266</v>
      </c>
      <c r="Q112" s="4" t="str">
        <f t="shared" si="104"/>
        <v>1+0.122829037574269i</v>
      </c>
      <c r="R112" s="4">
        <f t="shared" si="117"/>
        <v>1.0075152467687132</v>
      </c>
      <c r="S112" s="4">
        <f t="shared" si="118"/>
        <v>0.12221686350160244</v>
      </c>
      <c r="T112" s="4" t="str">
        <f t="shared" si="105"/>
        <v>1+0.00205763203744416i</v>
      </c>
      <c r="U112" s="4">
        <f t="shared" si="119"/>
        <v>1.0000021169225601</v>
      </c>
      <c r="V112" s="4">
        <f t="shared" si="120"/>
        <v>2.0576291335500096E-3</v>
      </c>
      <c r="W112" t="str">
        <f t="shared" si="106"/>
        <v>1-0.00114008867322926i</v>
      </c>
      <c r="X112" s="4">
        <f t="shared" si="121"/>
        <v>1.0000006499008802</v>
      </c>
      <c r="Y112" s="4">
        <f t="shared" si="122"/>
        <v>-1.1400881792663965E-3</v>
      </c>
      <c r="Z112" t="str">
        <f t="shared" si="107"/>
        <v>0.999999992414224+0.000848225972882566i</v>
      </c>
      <c r="AA112" s="4">
        <f t="shared" si="123"/>
        <v>1.0000003521578127</v>
      </c>
      <c r="AB112" s="4">
        <f t="shared" si="124"/>
        <v>8.4822577588782955E-4</v>
      </c>
      <c r="AC112" s="47" t="str">
        <f t="shared" si="125"/>
        <v>18.8184914052837-2.31013311253885i</v>
      </c>
      <c r="AD112" s="20">
        <f t="shared" si="126"/>
        <v>25.556654712026766</v>
      </c>
      <c r="AE112" s="43">
        <f t="shared" si="127"/>
        <v>-6.9985389967899918</v>
      </c>
      <c r="AF112" t="str">
        <f t="shared" si="108"/>
        <v>69.5520360182888</v>
      </c>
      <c r="AG112" t="str">
        <f t="shared" si="109"/>
        <v>1+0.0979824779735316i</v>
      </c>
      <c r="AH112">
        <f t="shared" si="128"/>
        <v>1.004788816612642</v>
      </c>
      <c r="AI112">
        <f t="shared" si="129"/>
        <v>9.7670709489805455E-2</v>
      </c>
      <c r="AJ112" t="str">
        <f t="shared" si="110"/>
        <v>1+0.00205763203744416i</v>
      </c>
      <c r="AK112">
        <f t="shared" si="130"/>
        <v>1.0000021169225601</v>
      </c>
      <c r="AL112">
        <f t="shared" si="131"/>
        <v>2.0576291335500096E-3</v>
      </c>
      <c r="AM112" t="str">
        <f t="shared" si="111"/>
        <v>1-0.00024978091355352i</v>
      </c>
      <c r="AN112">
        <f t="shared" si="132"/>
        <v>1.0000000311952519</v>
      </c>
      <c r="AO112">
        <f t="shared" si="133"/>
        <v>-2.4978090835886779E-4</v>
      </c>
      <c r="AP112" s="41" t="str">
        <f t="shared" si="134"/>
        <v>68.9028853572774-6.62553572034766i</v>
      </c>
      <c r="AQ112">
        <f t="shared" si="135"/>
        <v>36.804719759625407</v>
      </c>
      <c r="AR112" s="43">
        <f t="shared" si="136"/>
        <v>-5.4925373625105411</v>
      </c>
      <c r="AS112" t="str">
        <f t="shared" si="112"/>
        <v>-0.0000166666666666667</v>
      </c>
      <c r="AT112" t="str">
        <f t="shared" si="113"/>
        <v>1.86062471471015E-06i</v>
      </c>
      <c r="AU112">
        <f t="shared" si="137"/>
        <v>1.86062471471015E-6</v>
      </c>
      <c r="AV112">
        <f t="shared" si="138"/>
        <v>1.5707963267948966</v>
      </c>
      <c r="AW112" t="str">
        <f t="shared" si="114"/>
        <v>1+0.00189088400937844i</v>
      </c>
      <c r="AX112">
        <f t="shared" si="139"/>
        <v>1.0000017877195704</v>
      </c>
      <c r="AY112">
        <f t="shared" si="140"/>
        <v>1.8908817558010275E-3</v>
      </c>
      <c r="AZ112" t="str">
        <f t="shared" si="115"/>
        <v>1+0.064290056318867i</v>
      </c>
      <c r="BA112">
        <f t="shared" si="141"/>
        <v>1.0020644746429659</v>
      </c>
      <c r="BB112">
        <f t="shared" si="142"/>
        <v>6.420170053481862E-2</v>
      </c>
      <c r="BC112" s="41" t="str">
        <f t="shared" si="143"/>
        <v>-0.558942638211028+8.95862181187763i</v>
      </c>
      <c r="BD112">
        <f t="shared" si="144"/>
        <v>19.061697070872082</v>
      </c>
      <c r="BE112" s="43">
        <f t="shared" si="145"/>
        <v>93.570146934042214</v>
      </c>
      <c r="BF112" s="41" t="str">
        <f t="shared" si="146"/>
        <v>10.1771516571105+169.878979466547i</v>
      </c>
      <c r="BG112" s="20">
        <f t="shared" si="147"/>
        <v>44.618351782898827</v>
      </c>
      <c r="BH112" s="43">
        <f t="shared" si="148"/>
        <v>86.57160793725221</v>
      </c>
      <c r="BI112" s="41" t="str">
        <f t="shared" si="101"/>
        <v>20.8429082977323+620.978186078102i</v>
      </c>
      <c r="BJ112" s="20">
        <f t="shared" si="149"/>
        <v>55.866416830497492</v>
      </c>
      <c r="BK112" s="43">
        <f t="shared" si="102"/>
        <v>88.077609571531681</v>
      </c>
      <c r="BL112">
        <f t="shared" si="150"/>
        <v>44.618351782898827</v>
      </c>
      <c r="BM112" s="43">
        <f t="shared" si="151"/>
        <v>86.57160793725221</v>
      </c>
    </row>
    <row r="113" spans="14:65" x14ac:dyDescent="0.25">
      <c r="N113" s="9">
        <v>95</v>
      </c>
      <c r="O113" s="34">
        <f t="shared" si="116"/>
        <v>89.125093813374562</v>
      </c>
      <c r="P113" s="33" t="str">
        <f t="shared" si="103"/>
        <v>19.1021967526266</v>
      </c>
      <c r="Q113" s="4" t="str">
        <f t="shared" si="104"/>
        <v>1+0.125690093398339i</v>
      </c>
      <c r="R113" s="4">
        <f t="shared" si="117"/>
        <v>1.0078680467097283</v>
      </c>
      <c r="S113" s="4">
        <f t="shared" si="118"/>
        <v>0.1250344133128943</v>
      </c>
      <c r="T113" s="4" t="str">
        <f t="shared" si="105"/>
        <v>1+0.00210556044460898i</v>
      </c>
      <c r="U113" s="4">
        <f t="shared" si="119"/>
        <v>1.0000022166899361</v>
      </c>
      <c r="V113" s="4">
        <f t="shared" si="120"/>
        <v>2.1055573330307099E-3</v>
      </c>
      <c r="W113" t="str">
        <f t="shared" si="106"/>
        <v>1-0.00116664474989416i</v>
      </c>
      <c r="X113" s="4">
        <f t="shared" si="121"/>
        <v>1.0000006805297548</v>
      </c>
      <c r="Y113" s="4">
        <f t="shared" si="122"/>
        <v>-1.1666442206034354E-3</v>
      </c>
      <c r="Z113" t="str">
        <f t="shared" si="107"/>
        <v>0.999999992056718+0.000867983693921255i</v>
      </c>
      <c r="AA113" s="4">
        <f t="shared" si="123"/>
        <v>1.0000003687544965</v>
      </c>
      <c r="AB113" s="4">
        <f t="shared" si="124"/>
        <v>8.6798348283759555E-4</v>
      </c>
      <c r="AC113" s="47" t="str">
        <f t="shared" si="125"/>
        <v>18.805328727922-2.36228860903426i</v>
      </c>
      <c r="AD113" s="20">
        <f t="shared" si="126"/>
        <v>25.553614709321625</v>
      </c>
      <c r="AE113" s="43">
        <f t="shared" si="127"/>
        <v>-7.1598802083052862</v>
      </c>
      <c r="AF113" t="str">
        <f t="shared" si="108"/>
        <v>69.5520360182888</v>
      </c>
      <c r="AG113" t="str">
        <f t="shared" si="109"/>
        <v>1+0.100264783076618i</v>
      </c>
      <c r="AH113">
        <f t="shared" si="128"/>
        <v>1.0050139435477505</v>
      </c>
      <c r="AI113">
        <f t="shared" si="129"/>
        <v>9.9930807074471481E-2</v>
      </c>
      <c r="AJ113" t="str">
        <f t="shared" si="110"/>
        <v>1+0.00210556044460898i</v>
      </c>
      <c r="AK113">
        <f t="shared" si="130"/>
        <v>1.0000022166899361</v>
      </c>
      <c r="AL113">
        <f t="shared" si="131"/>
        <v>2.1055573330307099E-3</v>
      </c>
      <c r="AM113" t="str">
        <f t="shared" si="111"/>
        <v>1-0.000255599058444802i</v>
      </c>
      <c r="AN113">
        <f t="shared" si="132"/>
        <v>1.0000000326654388</v>
      </c>
      <c r="AO113">
        <f t="shared" si="133"/>
        <v>-2.5559905287863188E-4</v>
      </c>
      <c r="AP113" s="41" t="str">
        <f t="shared" si="134"/>
        <v>68.8725963256026-6.77682734954708i</v>
      </c>
      <c r="AQ113">
        <f t="shared" si="135"/>
        <v>36.802774748788075</v>
      </c>
      <c r="AR113" s="43">
        <f t="shared" si="136"/>
        <v>-5.6196186869752838</v>
      </c>
      <c r="AS113" t="str">
        <f t="shared" si="112"/>
        <v>-0.0000166666666666667</v>
      </c>
      <c r="AT113" t="str">
        <f t="shared" si="113"/>
        <v>1.90396423182727E-06i</v>
      </c>
      <c r="AU113">
        <f t="shared" si="137"/>
        <v>1.90396423182727E-6</v>
      </c>
      <c r="AV113">
        <f t="shared" si="138"/>
        <v>1.5707963267948966</v>
      </c>
      <c r="AW113" t="str">
        <f t="shared" si="114"/>
        <v>1+0.0019349283560127i</v>
      </c>
      <c r="AX113">
        <f t="shared" si="139"/>
        <v>1.0000018719721193</v>
      </c>
      <c r="AY113">
        <f t="shared" si="140"/>
        <v>1.9349259412612407E-3</v>
      </c>
      <c r="AZ113" t="str">
        <f t="shared" si="115"/>
        <v>1+0.0657875641044316i</v>
      </c>
      <c r="BA113">
        <f t="shared" si="141"/>
        <v>1.0021616653967536</v>
      </c>
      <c r="BB113">
        <f t="shared" si="142"/>
        <v>6.5692900201976406E-2</v>
      </c>
      <c r="BC113" s="41" t="str">
        <f t="shared" si="143"/>
        <v>-0.558942544026524+8.75474735899772i</v>
      </c>
      <c r="BD113">
        <f t="shared" si="144"/>
        <v>18.862538747159721</v>
      </c>
      <c r="BE113" s="43">
        <f t="shared" si="145"/>
        <v>93.653062835442697</v>
      </c>
      <c r="BF113" s="41" t="str">
        <f t="shared" si="146"/>
        <v>10.1701416806933+165.956285620718i</v>
      </c>
      <c r="BG113" s="20">
        <f t="shared" si="147"/>
        <v>44.416153456481375</v>
      </c>
      <c r="BH113" s="43">
        <f t="shared" si="148"/>
        <v>86.493182627137429</v>
      </c>
      <c r="BI113" s="41" t="str">
        <f t="shared" si="101"/>
        <v>20.8335871368867+606.75003790807i</v>
      </c>
      <c r="BJ113" s="20">
        <f t="shared" si="149"/>
        <v>55.6653134959478</v>
      </c>
      <c r="BK113" s="43">
        <f t="shared" si="102"/>
        <v>88.033444148467424</v>
      </c>
      <c r="BL113">
        <f t="shared" si="150"/>
        <v>44.416153456481375</v>
      </c>
      <c r="BM113" s="43">
        <f t="shared" si="151"/>
        <v>86.493182627137429</v>
      </c>
    </row>
    <row r="114" spans="14:65" x14ac:dyDescent="0.25">
      <c r="N114" s="9">
        <v>96</v>
      </c>
      <c r="O114" s="34">
        <f t="shared" si="116"/>
        <v>91.201083935590972</v>
      </c>
      <c r="P114" s="33" t="str">
        <f t="shared" si="103"/>
        <v>19.1021967526266</v>
      </c>
      <c r="Q114" s="4" t="str">
        <f t="shared" si="104"/>
        <v>1+0.128617791773634i</v>
      </c>
      <c r="R114" s="4">
        <f t="shared" si="117"/>
        <v>1.008237341284643</v>
      </c>
      <c r="S114" s="4">
        <f t="shared" si="118"/>
        <v>0.12791552754583896</v>
      </c>
      <c r="T114" s="4" t="str">
        <f t="shared" si="105"/>
        <v>1+0.00215460524779192i</v>
      </c>
      <c r="U114" s="4">
        <f t="shared" si="119"/>
        <v>1.0000023211591931</v>
      </c>
      <c r="V114" s="4">
        <f t="shared" si="120"/>
        <v>2.154601913676152E-3</v>
      </c>
      <c r="W114" t="str">
        <f t="shared" si="106"/>
        <v>1-0.00119381939704783i</v>
      </c>
      <c r="X114" s="4">
        <f t="shared" si="121"/>
        <v>1.0000007126021224</v>
      </c>
      <c r="Y114" s="4">
        <f t="shared" si="122"/>
        <v>-1.193818829902622E-3</v>
      </c>
      <c r="Z114" t="str">
        <f t="shared" si="107"/>
        <v>0.999999991682362+0.000888201631403583i</v>
      </c>
      <c r="AA114" s="4">
        <f t="shared" si="123"/>
        <v>1.0000003861333566</v>
      </c>
      <c r="AB114" s="4">
        <f t="shared" si="124"/>
        <v>8.8820140522337214E-4</v>
      </c>
      <c r="AC114" s="47" t="str">
        <f t="shared" si="125"/>
        <v>18.791565448248-2.41554317874943i</v>
      </c>
      <c r="AD114" s="20">
        <f t="shared" si="126"/>
        <v>25.550433716294823</v>
      </c>
      <c r="AE114" s="43">
        <f t="shared" si="127"/>
        <v>-7.3248612387150791</v>
      </c>
      <c r="AF114" t="str">
        <f t="shared" si="108"/>
        <v>69.5520360182888</v>
      </c>
      <c r="AG114" t="str">
        <f t="shared" si="109"/>
        <v>1+0.102600249894853i</v>
      </c>
      <c r="AH114">
        <f t="shared" si="128"/>
        <v>1.0052496263508315</v>
      </c>
      <c r="AI114">
        <f t="shared" si="129"/>
        <v>0.10224248901703649</v>
      </c>
      <c r="AJ114" t="str">
        <f t="shared" si="110"/>
        <v>1+0.00215460524779192i</v>
      </c>
      <c r="AK114">
        <f t="shared" si="130"/>
        <v>1.0000023211591931</v>
      </c>
      <c r="AL114">
        <f t="shared" si="131"/>
        <v>2.154601913676152E-3</v>
      </c>
      <c r="AM114" t="str">
        <f t="shared" si="111"/>
        <v>1-0.000261552725340125i</v>
      </c>
      <c r="AN114">
        <f t="shared" si="132"/>
        <v>1.0000000342049133</v>
      </c>
      <c r="AO114">
        <f t="shared" si="133"/>
        <v>-2.6155271937586624E-4</v>
      </c>
      <c r="AP114" s="41" t="str">
        <f t="shared" si="134"/>
        <v>68.8409088870833-6.93142879757747i</v>
      </c>
      <c r="AQ114">
        <f t="shared" si="135"/>
        <v>36.800739006456723</v>
      </c>
      <c r="AR114" s="43">
        <f t="shared" si="136"/>
        <v>-5.7495993783448132</v>
      </c>
      <c r="AS114" t="str">
        <f t="shared" si="112"/>
        <v>-0.0000166666666666667</v>
      </c>
      <c r="AT114" t="str">
        <f t="shared" si="113"/>
        <v>1.94831325598206E-06i</v>
      </c>
      <c r="AU114">
        <f t="shared" si="137"/>
        <v>1.9483132559820601E-6</v>
      </c>
      <c r="AV114">
        <f t="shared" si="138"/>
        <v>1.5707963267948966</v>
      </c>
      <c r="AW114" t="str">
        <f t="shared" si="114"/>
        <v>1+0.00197999862727311i</v>
      </c>
      <c r="AX114">
        <f t="shared" si="139"/>
        <v>1.0000019601953609</v>
      </c>
      <c r="AY114">
        <f t="shared" si="140"/>
        <v>1.9799960398205778E-3</v>
      </c>
      <c r="AZ114" t="str">
        <f t="shared" si="115"/>
        <v>1+0.0673199533272858i</v>
      </c>
      <c r="BA114">
        <f t="shared" si="141"/>
        <v>1.0022634265082149</v>
      </c>
      <c r="BB114">
        <f t="shared" si="142"/>
        <v>6.7218531496029618E-2</v>
      </c>
      <c r="BC114" s="41" t="str">
        <f t="shared" si="143"/>
        <v>-0.558942445403276+8.55551478903308i</v>
      </c>
      <c r="BD114">
        <f t="shared" si="144"/>
        <v>18.663419915327644</v>
      </c>
      <c r="BE114" s="43">
        <f t="shared" si="145"/>
        <v>93.737892743255358</v>
      </c>
      <c r="BF114" s="41" t="str">
        <f t="shared" si="146"/>
        <v>10.1628118447393+162.121665712876i</v>
      </c>
      <c r="BG114" s="20">
        <f t="shared" si="147"/>
        <v>44.213853631622456</v>
      </c>
      <c r="BH114" s="43">
        <f t="shared" si="148"/>
        <v>86.413031504540271</v>
      </c>
      <c r="BI114" s="41" t="str">
        <f t="shared" ref="BI114:BI177" si="152">IMPRODUCT(AP114,BC114)</f>
        <v>20.8238356296734+592.843683836177i</v>
      </c>
      <c r="BJ114" s="20">
        <f t="shared" si="149"/>
        <v>55.464158921784374</v>
      </c>
      <c r="BK114" s="43">
        <f t="shared" ref="BK114:BK177" si="153">(180/PI())*IMARGUMENT(BI114)</f>
        <v>87.988293364910547</v>
      </c>
      <c r="BL114">
        <f t="shared" si="150"/>
        <v>44.213853631622456</v>
      </c>
      <c r="BM114" s="43">
        <f t="shared" si="151"/>
        <v>86.413031504540271</v>
      </c>
    </row>
    <row r="115" spans="14:65" x14ac:dyDescent="0.25">
      <c r="N115" s="9">
        <v>97</v>
      </c>
      <c r="O115" s="34">
        <f t="shared" si="116"/>
        <v>93.325430079699174</v>
      </c>
      <c r="P115" s="33" t="str">
        <f t="shared" si="103"/>
        <v>19.1021967526266</v>
      </c>
      <c r="Q115" s="4" t="str">
        <f t="shared" si="104"/>
        <v>1+0.131613685004585i</v>
      </c>
      <c r="R115" s="4">
        <f t="shared" si="117"/>
        <v>1.0086238952555537</v>
      </c>
      <c r="S115" s="4">
        <f t="shared" si="118"/>
        <v>0.1308615423785025</v>
      </c>
      <c r="T115" s="4" t="str">
        <f t="shared" si="105"/>
        <v>1+0.00220479245119681i</v>
      </c>
      <c r="U115" s="4">
        <f t="shared" si="119"/>
        <v>1.0000024305519226</v>
      </c>
      <c r="V115" s="4">
        <f t="shared" si="120"/>
        <v>2.2047888786278676E-3</v>
      </c>
      <c r="W115" t="str">
        <f t="shared" si="106"/>
        <v>1-0.00122162702304788i</v>
      </c>
      <c r="X115" s="4">
        <f t="shared" si="121"/>
        <v>1.0000007461860134</v>
      </c>
      <c r="Y115" s="4">
        <f t="shared" si="122"/>
        <v>-1.2216264153408654E-3</v>
      </c>
      <c r="Z115" t="str">
        <f t="shared" si="107"/>
        <v>0.999999991290364+0.000908890505147622i</v>
      </c>
      <c r="AA115" s="4">
        <f t="shared" si="123"/>
        <v>1.0000004043312574</v>
      </c>
      <c r="AB115" s="4">
        <f t="shared" si="124"/>
        <v>9.0889026279116468E-4</v>
      </c>
      <c r="AC115" s="47" t="str">
        <f t="shared" si="125"/>
        <v>18.7771751172526-2.4699144450388i</v>
      </c>
      <c r="AD115" s="20">
        <f t="shared" si="126"/>
        <v>25.547105304640287</v>
      </c>
      <c r="AE115" s="43">
        <f t="shared" si="127"/>
        <v>-7.4935585952369639</v>
      </c>
      <c r="AF115" t="str">
        <f t="shared" si="108"/>
        <v>69.5520360182888</v>
      </c>
      <c r="AG115" t="str">
        <f t="shared" si="109"/>
        <v>1+0.104990116723658i</v>
      </c>
      <c r="AH115">
        <f t="shared" si="128"/>
        <v>1.0054963573328584</v>
      </c>
      <c r="AI115">
        <f t="shared" si="129"/>
        <v>0.10460688212104753</v>
      </c>
      <c r="AJ115" t="str">
        <f t="shared" si="110"/>
        <v>1+0.00220479245119681i</v>
      </c>
      <c r="AK115">
        <f t="shared" si="130"/>
        <v>1.0000024305519226</v>
      </c>
      <c r="AL115">
        <f t="shared" si="131"/>
        <v>2.2047888786278676E-3</v>
      </c>
      <c r="AM115" t="str">
        <f t="shared" si="111"/>
        <v>1-0.000267645070952483i</v>
      </c>
      <c r="AN115">
        <f t="shared" si="132"/>
        <v>1.0000000358169414</v>
      </c>
      <c r="AO115">
        <f t="shared" si="133"/>
        <v>-2.6764506456166461E-4</v>
      </c>
      <c r="AP115" s="41" t="str">
        <f t="shared" si="134"/>
        <v>68.8077598967315-7.08940219868779i</v>
      </c>
      <c r="AQ115">
        <f t="shared" si="135"/>
        <v>36.798608345741734</v>
      </c>
      <c r="AR115" s="43">
        <f t="shared" si="136"/>
        <v>-5.8825426887026673</v>
      </c>
      <c r="AS115" t="str">
        <f t="shared" si="112"/>
        <v>-0.0000166666666666667</v>
      </c>
      <c r="AT115" t="str">
        <f t="shared" si="113"/>
        <v>1.99369530161414E-06i</v>
      </c>
      <c r="AU115">
        <f t="shared" si="137"/>
        <v>1.9936953016141398E-6</v>
      </c>
      <c r="AV115">
        <f t="shared" si="138"/>
        <v>1.5707963267948966</v>
      </c>
      <c r="AW115" t="str">
        <f t="shared" si="114"/>
        <v>1+0.00202611872001409i</v>
      </c>
      <c r="AX115">
        <f t="shared" si="139"/>
        <v>1.0000020525764273</v>
      </c>
      <c r="AY115">
        <f t="shared" si="140"/>
        <v>2.026115947509058E-3</v>
      </c>
      <c r="AZ115" t="str">
        <f t="shared" si="115"/>
        <v>1+0.0688880364804791i</v>
      </c>
      <c r="BA115">
        <f t="shared" si="141"/>
        <v>1.0023699724004784</v>
      </c>
      <c r="BB115">
        <f t="shared" si="142"/>
        <v>6.8779374903019649E-2</v>
      </c>
      <c r="BC115" s="41" t="str">
        <f t="shared" si="143"/>
        <v>-0.558942342132094+8.36081846623685i</v>
      </c>
      <c r="BD115">
        <f t="shared" si="144"/>
        <v>18.464342419755532</v>
      </c>
      <c r="BE115" s="43">
        <f t="shared" si="145"/>
        <v>93.82468000689461</v>
      </c>
      <c r="BF115" s="41" t="str">
        <f t="shared" si="146"/>
        <v>10.1551480634439+158.373092228864i</v>
      </c>
      <c r="BG115" s="20">
        <f t="shared" si="147"/>
        <v>44.011447724395794</v>
      </c>
      <c r="BH115" s="43">
        <f t="shared" si="148"/>
        <v>86.331121411657648</v>
      </c>
      <c r="BI115" s="41" t="str">
        <f t="shared" si="152"/>
        <v>20.8136343438271+579.251756634235i</v>
      </c>
      <c r="BJ115" s="20">
        <f t="shared" si="149"/>
        <v>55.262950765497266</v>
      </c>
      <c r="BK115" s="43">
        <f t="shared" si="153"/>
        <v>87.942137318191953</v>
      </c>
      <c r="BL115">
        <f t="shared" si="150"/>
        <v>44.011447724395794</v>
      </c>
      <c r="BM115" s="43">
        <f t="shared" si="151"/>
        <v>86.331121411657648</v>
      </c>
    </row>
    <row r="116" spans="14:65" x14ac:dyDescent="0.25">
      <c r="N116" s="9">
        <v>98</v>
      </c>
      <c r="O116" s="34">
        <f t="shared" si="116"/>
        <v>95.499258602143655</v>
      </c>
      <c r="P116" s="33" t="str">
        <f t="shared" si="103"/>
        <v>19.1021967526266</v>
      </c>
      <c r="Q116" s="4" t="str">
        <f t="shared" si="104"/>
        <v>1+0.134679361553439i</v>
      </c>
      <c r="R116" s="4">
        <f t="shared" si="117"/>
        <v>1.0090285082337576</v>
      </c>
      <c r="S116" s="4">
        <f t="shared" si="118"/>
        <v>0.13387381517053404</v>
      </c>
      <c r="T116" s="4" t="str">
        <f t="shared" si="105"/>
        <v>1+0.0022561486647432i</v>
      </c>
      <c r="U116" s="4">
        <f t="shared" si="119"/>
        <v>1.00000254510016</v>
      </c>
      <c r="V116" s="4">
        <f t="shared" si="120"/>
        <v>2.2561448366671352E-3</v>
      </c>
      <c r="W116" t="str">
        <f t="shared" si="106"/>
        <v>1-0.00125008237186569i</v>
      </c>
      <c r="X116" s="4">
        <f t="shared" si="121"/>
        <v>1.000000781352663</v>
      </c>
      <c r="Y116" s="4">
        <f t="shared" si="122"/>
        <v>-1.2500817206959193E-3</v>
      </c>
      <c r="Z116" t="str">
        <f t="shared" si="107"/>
        <v>0.999999990879892+0.000930061284668076i</v>
      </c>
      <c r="AA116" s="4">
        <f t="shared" si="123"/>
        <v>1.000000423386799</v>
      </c>
      <c r="AB116" s="4">
        <f t="shared" si="124"/>
        <v>9.3006102497845879E-4</v>
      </c>
      <c r="AC116" s="47" t="str">
        <f t="shared" si="125"/>
        <v>18.7621302116559-2.52541990717926i</v>
      </c>
      <c r="AD116" s="20">
        <f t="shared" si="126"/>
        <v>25.543622763436421</v>
      </c>
      <c r="AE116" s="43">
        <f t="shared" si="127"/>
        <v>-7.6660499975380105</v>
      </c>
      <c r="AF116" t="str">
        <f t="shared" si="108"/>
        <v>69.5520360182888</v>
      </c>
      <c r="AG116" t="str">
        <f t="shared" si="109"/>
        <v>1+0.107435650702057i</v>
      </c>
      <c r="AH116">
        <f t="shared" si="128"/>
        <v>1.0057546515138642</v>
      </c>
      <c r="AI116">
        <f t="shared" si="129"/>
        <v>0.10702513421886189</v>
      </c>
      <c r="AJ116" t="str">
        <f t="shared" si="110"/>
        <v>1+0.0022561486647432i</v>
      </c>
      <c r="AK116">
        <f t="shared" si="130"/>
        <v>1.00000254510016</v>
      </c>
      <c r="AL116">
        <f t="shared" si="131"/>
        <v>2.2561448366671352E-3</v>
      </c>
      <c r="AM116" t="str">
        <f t="shared" si="111"/>
        <v>1-0.000273879325524161i</v>
      </c>
      <c r="AN116">
        <f t="shared" si="132"/>
        <v>1.0000000375049418</v>
      </c>
      <c r="AO116">
        <f t="shared" si="133"/>
        <v>-2.7387931867627573E-4</v>
      </c>
      <c r="AP116" s="41" t="str">
        <f t="shared" si="134"/>
        <v>68.7730834933522-7.25081010741588i</v>
      </c>
      <c r="AQ116">
        <f t="shared" si="135"/>
        <v>36.79637839089213</v>
      </c>
      <c r="AR116" s="43">
        <f t="shared" si="136"/>
        <v>-6.0185130445067658</v>
      </c>
      <c r="AS116" t="str">
        <f t="shared" si="112"/>
        <v>-0.0000166666666666667</v>
      </c>
      <c r="AT116" t="str">
        <f t="shared" si="113"/>
        <v>2.04013443088481E-06i</v>
      </c>
      <c r="AU116">
        <f t="shared" si="137"/>
        <v>2.0401344308848101E-6</v>
      </c>
      <c r="AV116">
        <f t="shared" si="138"/>
        <v>1.5707963267948966</v>
      </c>
      <c r="AW116" t="str">
        <f t="shared" si="114"/>
        <v>1+0.00207331308771927i</v>
      </c>
      <c r="AX116">
        <f t="shared" si="139"/>
        <v>1.0000021493112701</v>
      </c>
      <c r="AY116">
        <f t="shared" si="140"/>
        <v>2.0733101169269491E-3</v>
      </c>
      <c r="AZ116" t="str">
        <f t="shared" si="115"/>
        <v>1+0.0704926449824552i</v>
      </c>
      <c r="BA116">
        <f t="shared" si="141"/>
        <v>1.0024815275089225</v>
      </c>
      <c r="BB116">
        <f t="shared" si="142"/>
        <v>7.0376227565060109E-2</v>
      </c>
      <c r="BC116" s="41" t="str">
        <f t="shared" si="143"/>
        <v>-0.558942233993935+8.1705551600402i</v>
      </c>
      <c r="BD116">
        <f t="shared" si="144"/>
        <v>18.265308190135009</v>
      </c>
      <c r="BE116" s="43">
        <f t="shared" si="145"/>
        <v>93.913468898208507</v>
      </c>
      <c r="BF116" s="41" t="str">
        <f t="shared" si="146"/>
        <v>10.1471356788837+154.708583658883i</v>
      </c>
      <c r="BG116" s="20">
        <f t="shared" si="147"/>
        <v>43.808930953571441</v>
      </c>
      <c r="BH116" s="43">
        <f t="shared" si="148"/>
        <v>86.247418900670496</v>
      </c>
      <c r="BI116" s="41" t="str">
        <f t="shared" si="152"/>
        <v>20.8029630111928+565.967056208189i</v>
      </c>
      <c r="BJ116" s="20">
        <f t="shared" si="149"/>
        <v>55.061686581027146</v>
      </c>
      <c r="BK116" s="43">
        <f t="shared" si="153"/>
        <v>87.894955853701745</v>
      </c>
      <c r="BL116">
        <f t="shared" si="150"/>
        <v>43.808930953571441</v>
      </c>
      <c r="BM116" s="43">
        <f t="shared" si="151"/>
        <v>86.247418900670496</v>
      </c>
    </row>
    <row r="117" spans="14:65" x14ac:dyDescent="0.25">
      <c r="N117" s="9">
        <v>99</v>
      </c>
      <c r="O117" s="34">
        <f t="shared" si="116"/>
        <v>97.723722095581124</v>
      </c>
      <c r="P117" s="33" t="str">
        <f t="shared" si="103"/>
        <v>19.1021967526266</v>
      </c>
      <c r="Q117" s="4" t="str">
        <f t="shared" si="104"/>
        <v>1+0.13781644688248i</v>
      </c>
      <c r="R117" s="4">
        <f t="shared" si="117"/>
        <v>1.0094520162104346</v>
      </c>
      <c r="S117" s="4">
        <f t="shared" si="118"/>
        <v>0.13695372429136388</v>
      </c>
      <c r="T117" s="4" t="str">
        <f t="shared" si="105"/>
        <v>1+0.0023087011181753i</v>
      </c>
      <c r="U117" s="4">
        <f t="shared" si="119"/>
        <v>1.0000026650468754</v>
      </c>
      <c r="V117" s="4">
        <f t="shared" si="120"/>
        <v>2.3086970163184849E-3</v>
      </c>
      <c r="W117" t="str">
        <f t="shared" si="106"/>
        <v>1-0.00127920053090387i</v>
      </c>
      <c r="X117" s="4">
        <f t="shared" si="121"/>
        <v>1.0000008181766644</v>
      </c>
      <c r="Y117" s="4">
        <f t="shared" si="122"/>
        <v>-1.2791998331629206E-3</v>
      </c>
      <c r="Z117" t="str">
        <f t="shared" si="107"/>
        <v>0.999999990450074+0.000951725194992476i</v>
      </c>
      <c r="AA117" s="4">
        <f t="shared" si="123"/>
        <v>1.0000004433403993</v>
      </c>
      <c r="AB117" s="4">
        <f t="shared" si="124"/>
        <v>9.5172491673004478E-4</v>
      </c>
      <c r="AC117" s="47" t="str">
        <f t="shared" si="125"/>
        <v>18.746402098907-2.58207690345186i</v>
      </c>
      <c r="AD117" s="20">
        <f t="shared" si="126"/>
        <v>25.539979087711679</v>
      </c>
      <c r="AE117" s="43">
        <f t="shared" si="127"/>
        <v>-7.8424143678641256</v>
      </c>
      <c r="AF117" t="str">
        <f t="shared" si="108"/>
        <v>69.5520360182888</v>
      </c>
      <c r="AG117" t="str">
        <f t="shared" si="109"/>
        <v>1+0.109938148484538i</v>
      </c>
      <c r="AH117">
        <f t="shared" si="128"/>
        <v>1.0060250476465327</v>
      </c>
      <c r="AI117">
        <f t="shared" si="129"/>
        <v>0.1094984143036609</v>
      </c>
      <c r="AJ117" t="str">
        <f t="shared" si="110"/>
        <v>1+0.0023087011181753i</v>
      </c>
      <c r="AK117">
        <f t="shared" si="130"/>
        <v>1.0000026650468754</v>
      </c>
      <c r="AL117">
        <f t="shared" si="131"/>
        <v>2.3086970163184849E-3</v>
      </c>
      <c r="AM117" t="str">
        <f t="shared" si="111"/>
        <v>1-0.000280258794539453i</v>
      </c>
      <c r="AN117">
        <f t="shared" si="132"/>
        <v>1.0000000392724953</v>
      </c>
      <c r="AO117">
        <f t="shared" si="133"/>
        <v>-2.8025878720181174E-4</v>
      </c>
      <c r="AP117" s="41" t="str">
        <f t="shared" si="134"/>
        <v>68.7368109956405-7.4157154400378i</v>
      </c>
      <c r="AQ117">
        <f t="shared" si="135"/>
        <v>36.794044569190554</v>
      </c>
      <c r="AR117" s="43">
        <f t="shared" si="136"/>
        <v>-6.1575760534433117</v>
      </c>
      <c r="AS117" t="str">
        <f t="shared" si="112"/>
        <v>-0.0000166666666666667</v>
      </c>
      <c r="AT117" t="str">
        <f t="shared" si="113"/>
        <v>2.08765526643511E-06i</v>
      </c>
      <c r="AU117">
        <f t="shared" si="137"/>
        <v>2.0876552664351099E-6</v>
      </c>
      <c r="AV117">
        <f t="shared" si="138"/>
        <v>1.5707963267948966</v>
      </c>
      <c r="AW117" t="str">
        <f t="shared" si="114"/>
        <v>1+0.0021216067534671i</v>
      </c>
      <c r="AX117">
        <f t="shared" si="139"/>
        <v>1.0000022506050756</v>
      </c>
      <c r="AY117">
        <f t="shared" si="140"/>
        <v>2.1216035702061632E-3</v>
      </c>
      <c r="AZ117" t="str">
        <f t="shared" si="115"/>
        <v>1+0.0721346296178814i</v>
      </c>
      <c r="BA117">
        <f t="shared" si="141"/>
        <v>1.0025983267441199</v>
      </c>
      <c r="BB117">
        <f t="shared" si="142"/>
        <v>7.2009903561262925E-2</v>
      </c>
      <c r="BC117" s="41" t="str">
        <f t="shared" si="143"/>
        <v>-0.558942120759423+7.98462399031835i</v>
      </c>
      <c r="BD117">
        <f t="shared" si="144"/>
        <v>18.066319245336796</v>
      </c>
      <c r="BE117" s="43">
        <f t="shared" si="145"/>
        <v>94.004304626831725</v>
      </c>
      <c r="BF117" s="41" t="str">
        <f t="shared" si="146"/>
        <v>10.1387594423767+151.126203471466i</v>
      </c>
      <c r="BG117" s="20">
        <f t="shared" si="147"/>
        <v>43.60629833304845</v>
      </c>
      <c r="BH117" s="43">
        <f t="shared" si="148"/>
        <v>86.161890258967603</v>
      </c>
      <c r="BI117" s="41" t="str">
        <f t="shared" si="152"/>
        <v>20.7918004957571+552.982545808772i</v>
      </c>
      <c r="BJ117" s="20">
        <f t="shared" si="149"/>
        <v>54.860363814527339</v>
      </c>
      <c r="BK117" s="43">
        <f t="shared" si="153"/>
        <v>87.846728573388432</v>
      </c>
      <c r="BL117">
        <f t="shared" si="150"/>
        <v>43.60629833304845</v>
      </c>
      <c r="BM117" s="43">
        <f t="shared" si="151"/>
        <v>86.161890258967603</v>
      </c>
    </row>
    <row r="118" spans="14:65" x14ac:dyDescent="0.25">
      <c r="N118" s="9">
        <v>100</v>
      </c>
      <c r="O118" s="34">
        <f t="shared" si="116"/>
        <v>100</v>
      </c>
      <c r="P118" s="33" t="str">
        <f t="shared" si="103"/>
        <v>19.1021967526266</v>
      </c>
      <c r="Q118" s="4" t="str">
        <f t="shared" si="104"/>
        <v>1+0.141026604315874i</v>
      </c>
      <c r="R118" s="4">
        <f t="shared" si="117"/>
        <v>1.0098952931491789</v>
      </c>
      <c r="S118" s="4">
        <f t="shared" si="118"/>
        <v>0.14010266890218975</v>
      </c>
      <c r="T118" s="4" t="str">
        <f t="shared" si="105"/>
        <v>1+0.00236247767549952i</v>
      </c>
      <c r="U118" s="4">
        <f t="shared" si="119"/>
        <v>1.0000027906464899</v>
      </c>
      <c r="V118" s="4">
        <f t="shared" si="120"/>
        <v>2.3624732802814178E-3</v>
      </c>
      <c r="W118" t="str">
        <f t="shared" si="106"/>
        <v>1-0.00130899693899575i</v>
      </c>
      <c r="X118" s="4">
        <f t="shared" si="121"/>
        <v>1.0000008567361263</v>
      </c>
      <c r="Y118" s="4">
        <f t="shared" si="122"/>
        <v>-1.3089961913528873E-3</v>
      </c>
      <c r="Z118" t="str">
        <f t="shared" si="107"/>
        <v>0.99999999+0.000973893722612836i</v>
      </c>
      <c r="AA118" s="4">
        <f t="shared" si="123"/>
        <v>1.0000004642343838</v>
      </c>
      <c r="AB118" s="4">
        <f t="shared" si="124"/>
        <v>9.7389342444927649E-4</v>
      </c>
      <c r="AC118" s="47" t="str">
        <f t="shared" si="125"/>
        <v>18.7299610019042-2.63990257141263i</v>
      </c>
      <c r="AD118" s="20">
        <f t="shared" si="126"/>
        <v>25.536166966642991</v>
      </c>
      <c r="AE118" s="43">
        <f t="shared" si="127"/>
        <v>-8.0227318185214056</v>
      </c>
      <c r="AF118" t="str">
        <f t="shared" si="108"/>
        <v>69.5520360182888</v>
      </c>
      <c r="AG118" t="str">
        <f t="shared" si="109"/>
        <v>1+0.112498936928549i</v>
      </c>
      <c r="AH118">
        <f t="shared" si="128"/>
        <v>1.0063081092836597</v>
      </c>
      <c r="AI118">
        <f t="shared" si="129"/>
        <v>0.11202791264075566</v>
      </c>
      <c r="AJ118" t="str">
        <f t="shared" si="110"/>
        <v>1+0.00236247767549952i</v>
      </c>
      <c r="AK118">
        <f t="shared" si="130"/>
        <v>1.0000027906464899</v>
      </c>
      <c r="AL118">
        <f t="shared" si="131"/>
        <v>2.3624732802814178E-3</v>
      </c>
      <c r="AM118" t="str">
        <f t="shared" si="111"/>
        <v>1-0.000286786860477275i</v>
      </c>
      <c r="AN118">
        <f t="shared" si="132"/>
        <v>1.0000000411233509</v>
      </c>
      <c r="AO118">
        <f t="shared" si="133"/>
        <v>-2.8678685261485082E-4</v>
      </c>
      <c r="AP118" s="41" t="str">
        <f t="shared" si="134"/>
        <v>68.6988707955705-7.58418141036416i</v>
      </c>
      <c r="AQ118">
        <f t="shared" si="135"/>
        <v>36.791602102539983</v>
      </c>
      <c r="AR118" s="43">
        <f t="shared" si="136"/>
        <v>-6.299798510077701</v>
      </c>
      <c r="AS118" t="str">
        <f t="shared" si="112"/>
        <v>-0.0000166666666666667</v>
      </c>
      <c r="AT118" t="str">
        <f t="shared" si="113"/>
        <v>2.13628300444106E-06i</v>
      </c>
      <c r="AU118">
        <f t="shared" si="137"/>
        <v>2.1362830044410602E-6</v>
      </c>
      <c r="AV118">
        <f t="shared" si="138"/>
        <v>1.5707963267948966</v>
      </c>
      <c r="AW118" t="str">
        <f t="shared" si="114"/>
        <v>1+0.00217102532319841i</v>
      </c>
      <c r="AX118">
        <f t="shared" si="139"/>
        <v>1.0000023566727001</v>
      </c>
      <c r="AY118">
        <f t="shared" si="140"/>
        <v>2.1710219122732968E-3</v>
      </c>
      <c r="AZ118" t="str">
        <f t="shared" si="115"/>
        <v>1+0.0738148609887458i</v>
      </c>
      <c r="BA118">
        <f t="shared" si="141"/>
        <v>1.0027206159757502</v>
      </c>
      <c r="BB118">
        <f t="shared" si="142"/>
        <v>7.3681234187785244E-2</v>
      </c>
      <c r="BC118" s="41" t="str">
        <f t="shared" si="143"/>
        <v>-0.558942002188383+7.8029263739025i</v>
      </c>
      <c r="BD118">
        <f t="shared" si="144"/>
        <v>17.867377697445207</v>
      </c>
      <c r="BE118" s="43">
        <f t="shared" si="145"/>
        <v>94.097233355471445</v>
      </c>
      <c r="BF118" s="41" t="str">
        <f t="shared" si="146"/>
        <v>10.130003495694+147.624059112771i</v>
      </c>
      <c r="BG118" s="20">
        <f t="shared" si="147"/>
        <v>43.40354466408818</v>
      </c>
      <c r="BH118" s="43">
        <f t="shared" si="148"/>
        <v>86.074501536950038</v>
      </c>
      <c r="BI118" s="41" t="str">
        <f t="shared" si="152"/>
        <v>20.7801247608344+540.291348330546i</v>
      </c>
      <c r="BJ118" s="20">
        <f t="shared" si="149"/>
        <v>54.658979799985175</v>
      </c>
      <c r="BK118" s="43">
        <f t="shared" si="153"/>
        <v>87.797434845393738</v>
      </c>
      <c r="BL118">
        <f t="shared" si="150"/>
        <v>43.40354466408818</v>
      </c>
      <c r="BM118" s="43">
        <f t="shared" si="151"/>
        <v>86.074501536950038</v>
      </c>
    </row>
    <row r="119" spans="14:65" x14ac:dyDescent="0.25">
      <c r="N119" s="9">
        <v>1</v>
      </c>
      <c r="O119" s="34">
        <f>10^(2+(N119/100))</f>
        <v>102.32929922807544</v>
      </c>
      <c r="P119" s="33" t="str">
        <f t="shared" si="103"/>
        <v>19.1021967526266</v>
      </c>
      <c r="Q119" s="4" t="str">
        <f t="shared" si="104"/>
        <v>1+0.144311535921585i</v>
      </c>
      <c r="R119" s="4">
        <f t="shared" si="117"/>
        <v>1.0103592526423693</v>
      </c>
      <c r="S119" s="4">
        <f t="shared" si="118"/>
        <v>0.14332206868826047</v>
      </c>
      <c r="T119" s="4" t="str">
        <f t="shared" si="105"/>
        <v>1+0.00241750684975839i</v>
      </c>
      <c r="U119" s="4">
        <f t="shared" si="119"/>
        <v>1.0000029221654148</v>
      </c>
      <c r="V119" s="4">
        <f t="shared" si="120"/>
        <v>2.417502140198086E-3</v>
      </c>
      <c r="W119" t="str">
        <f t="shared" si="106"/>
        <v>1-0.00133948739459131i</v>
      </c>
      <c r="X119" s="4">
        <f t="shared" si="121"/>
        <v>1.0000008971128378</v>
      </c>
      <c r="Y119" s="4">
        <f t="shared" si="122"/>
        <v>-1.339486593477588E-3</v>
      </c>
      <c r="Z119" t="str">
        <f t="shared" si="107"/>
        <v>0.999999989528714+0.000996578621575931i</v>
      </c>
      <c r="AA119" s="4">
        <f t="shared" si="123"/>
        <v>1.0000004861130705</v>
      </c>
      <c r="AB119" s="4">
        <f t="shared" si="124"/>
        <v>9.9657830208792967E-4</v>
      </c>
      <c r="AC119" s="47" t="str">
        <f t="shared" si="125"/>
        <v>18.712775963531-2.69891380520027i</v>
      </c>
      <c r="AD119" s="20">
        <f t="shared" si="126"/>
        <v>25.53217877138276</v>
      </c>
      <c r="AE119" s="43">
        <f t="shared" si="127"/>
        <v>-8.2070836365088269</v>
      </c>
      <c r="AF119" t="str">
        <f t="shared" si="108"/>
        <v>69.5520360182888</v>
      </c>
      <c r="AG119" t="str">
        <f t="shared" si="109"/>
        <v>1+0.115119373798019i</v>
      </c>
      <c r="AH119">
        <f t="shared" si="128"/>
        <v>1.0066044258911482</v>
      </c>
      <c r="AI119">
        <f t="shared" si="129"/>
        <v>0.11461484085624231</v>
      </c>
      <c r="AJ119" t="str">
        <f t="shared" si="110"/>
        <v>1+0.00241750684975839i</v>
      </c>
      <c r="AK119">
        <f t="shared" si="130"/>
        <v>1.0000029221654148</v>
      </c>
      <c r="AL119">
        <f t="shared" si="131"/>
        <v>2.417502140198086E-3</v>
      </c>
      <c r="AM119" t="str">
        <f t="shared" si="111"/>
        <v>1-0.000293466984604593i</v>
      </c>
      <c r="AN119">
        <f t="shared" si="132"/>
        <v>1.0000000430614346</v>
      </c>
      <c r="AO119">
        <f t="shared" si="133"/>
        <v>-2.9346697617985368E-4</v>
      </c>
      <c r="AP119" s="41" t="str">
        <f t="shared" si="134"/>
        <v>68.6591882491412-7.75627145951598i</v>
      </c>
      <c r="AQ119">
        <f t="shared" si="135"/>
        <v>36.789045998734586</v>
      </c>
      <c r="AR119" s="43">
        <f t="shared" si="136"/>
        <v>-6.445248400190656</v>
      </c>
      <c r="AS119" t="str">
        <f t="shared" si="112"/>
        <v>-0.0000166666666666667</v>
      </c>
      <c r="AT119" t="str">
        <f t="shared" si="113"/>
        <v>2.18604342797301E-06i</v>
      </c>
      <c r="AU119">
        <f t="shared" si="137"/>
        <v>2.18604342797301E-6</v>
      </c>
      <c r="AV119">
        <f t="shared" si="138"/>
        <v>1.5707963267948966</v>
      </c>
      <c r="AW119" t="str">
        <f t="shared" si="114"/>
        <v>1+0.00222159499929299i</v>
      </c>
      <c r="AX119">
        <f t="shared" si="139"/>
        <v>1.0000024677391255</v>
      </c>
      <c r="AY119">
        <f t="shared" si="140"/>
        <v>2.2215913444213692E-3</v>
      </c>
      <c r="AZ119" t="str">
        <f t="shared" si="115"/>
        <v>1+0.0755342299759616i</v>
      </c>
      <c r="BA119">
        <f t="shared" si="141"/>
        <v>1.0028486525383886</v>
      </c>
      <c r="BB119">
        <f t="shared" si="142"/>
        <v>7.5391068236474318E-2</v>
      </c>
      <c r="BC119" s="41" t="str">
        <f t="shared" si="143"/>
        <v>-0.558941878029316+7.62536597230977i</v>
      </c>
      <c r="BD119">
        <f t="shared" si="144"/>
        <v>17.668485755966966</v>
      </c>
      <c r="BE119" s="43">
        <f t="shared" si="145"/>
        <v>94.192302215094642</v>
      </c>
      <c r="BF119" s="41" t="str">
        <f t="shared" si="146"/>
        <v>10.1208513521734+144.200301030683i</v>
      </c>
      <c r="BG119" s="20">
        <f t="shared" si="147"/>
        <v>43.200664527349701</v>
      </c>
      <c r="BH119" s="43">
        <f t="shared" si="148"/>
        <v>85.985218578585787</v>
      </c>
      <c r="BI119" s="41" t="str">
        <f t="shared" si="152"/>
        <v>20.7679128354473+527.886742697499i</v>
      </c>
      <c r="BJ119" s="20">
        <f t="shared" si="149"/>
        <v>54.457531754701556</v>
      </c>
      <c r="BK119" s="43">
        <f t="shared" si="153"/>
        <v>87.747053814903992</v>
      </c>
      <c r="BL119">
        <f t="shared" si="150"/>
        <v>43.200664527349701</v>
      </c>
      <c r="BM119" s="43">
        <f t="shared" si="151"/>
        <v>85.985218578585787</v>
      </c>
    </row>
    <row r="120" spans="14:65" x14ac:dyDescent="0.25">
      <c r="N120" s="9">
        <v>2</v>
      </c>
      <c r="O120" s="34">
        <f t="shared" ref="O120:O183" si="154">10^(2+(N120/100))</f>
        <v>104.71285480508998</v>
      </c>
      <c r="P120" s="33" t="str">
        <f t="shared" si="103"/>
        <v>19.1021967526266</v>
      </c>
      <c r="Q120" s="4" t="str">
        <f t="shared" si="104"/>
        <v>1+0.14767298341383i</v>
      </c>
      <c r="R120" s="4">
        <f t="shared" si="117"/>
        <v>1.0108448496333853</v>
      </c>
      <c r="S120" s="4">
        <f t="shared" si="118"/>
        <v>0.14661336353778892</v>
      </c>
      <c r="T120" s="4" t="str">
        <f t="shared" si="105"/>
        <v>1+0.00247381781814848i</v>
      </c>
      <c r="U120" s="4">
        <f t="shared" si="119"/>
        <v>1.0000030598826173</v>
      </c>
      <c r="V120" s="4">
        <f t="shared" si="120"/>
        <v>2.4738127717645292E-3</v>
      </c>
      <c r="W120" t="str">
        <f t="shared" si="106"/>
        <v>1-0.00137068806413369i</v>
      </c>
      <c r="X120" s="4">
        <f t="shared" si="121"/>
        <v>1.0000009393924434</v>
      </c>
      <c r="Y120" s="4">
        <f t="shared" si="122"/>
        <v>-1.3706872057249147E-3</v>
      </c>
      <c r="Z120" t="str">
        <f t="shared" si="107"/>
        <v>0.999999989035218+0.00101979191971546i</v>
      </c>
      <c r="AA120" s="4">
        <f t="shared" si="123"/>
        <v>1.0000005090228683</v>
      </c>
      <c r="AB120" s="4">
        <f t="shared" si="124"/>
        <v>1.0197915773779076E-3</v>
      </c>
      <c r="AC120" s="47" t="str">
        <f t="shared" si="125"/>
        <v>18.6948148111248-2.75912720972609i</v>
      </c>
      <c r="AD120" s="20">
        <f t="shared" si="126"/>
        <v>25.528006542515371</v>
      </c>
      <c r="AE120" s="43">
        <f t="shared" si="127"/>
        <v>-8.3955522650922045</v>
      </c>
      <c r="AF120" t="str">
        <f t="shared" si="108"/>
        <v>69.5520360182888</v>
      </c>
      <c r="AG120" t="str">
        <f t="shared" si="109"/>
        <v>1+0.117800848483261i</v>
      </c>
      <c r="AH120">
        <f t="shared" si="128"/>
        <v>1.0069146140082466</v>
      </c>
      <c r="AI120">
        <f t="shared" si="129"/>
        <v>0.11726043200089482</v>
      </c>
      <c r="AJ120" t="str">
        <f t="shared" si="110"/>
        <v>1+0.00247381781814848i</v>
      </c>
      <c r="AK120">
        <f t="shared" si="130"/>
        <v>1.0000030598826173</v>
      </c>
      <c r="AL120">
        <f t="shared" si="131"/>
        <v>2.4738127717645292E-3</v>
      </c>
      <c r="AM120" t="str">
        <f t="shared" si="111"/>
        <v>1-0.000300302708811644i</v>
      </c>
      <c r="AN120">
        <f t="shared" si="132"/>
        <v>1.0000000450908575</v>
      </c>
      <c r="AO120">
        <f t="shared" si="133"/>
        <v>-3.003026997843732E-4</v>
      </c>
      <c r="AP120" s="41" t="str">
        <f t="shared" si="134"/>
        <v>68.6176855645608-7.93204917929199i</v>
      </c>
      <c r="AQ120">
        <f t="shared" si="135"/>
        <v>36.786371042406806</v>
      </c>
      <c r="AR120" s="43">
        <f t="shared" si="136"/>
        <v>-6.5939949036784196</v>
      </c>
      <c r="AS120" t="str">
        <f t="shared" si="112"/>
        <v>-0.0000166666666666667</v>
      </c>
      <c r="AT120" t="str">
        <f t="shared" si="113"/>
        <v>2.23696292066618E-06i</v>
      </c>
      <c r="AU120">
        <f t="shared" si="137"/>
        <v>2.2369629206661801E-6</v>
      </c>
      <c r="AV120">
        <f t="shared" si="138"/>
        <v>1.5707963267948966</v>
      </c>
      <c r="AW120" t="str">
        <f t="shared" si="114"/>
        <v>1+0.00227334259446248i</v>
      </c>
      <c r="AX120">
        <f t="shared" si="139"/>
        <v>1.0000025840399374</v>
      </c>
      <c r="AY120">
        <f t="shared" si="140"/>
        <v>2.273338678197527E-3</v>
      </c>
      <c r="AZ120" t="str">
        <f t="shared" si="115"/>
        <v>1+0.0772936482117244i</v>
      </c>
      <c r="BA120">
        <f t="shared" si="141"/>
        <v>1.0029827057601133</v>
      </c>
      <c r="BB120">
        <f t="shared" si="142"/>
        <v>7.7140272271542909E-2</v>
      </c>
      <c r="BC120" s="41" t="str">
        <f t="shared" si="143"/>
        <v>-0.558941748018871+7.4518486406632i</v>
      </c>
      <c r="BD120">
        <f t="shared" si="144"/>
        <v>17.469645732220847</v>
      </c>
      <c r="BE120" s="43">
        <f t="shared" si="145"/>
        <v>94.289559319984889</v>
      </c>
      <c r="BF120" s="41" t="str">
        <f t="shared" si="146"/>
        <v>10.111285877795+140.853121723341i</v>
      </c>
      <c r="BG120" s="20">
        <f t="shared" si="147"/>
        <v>42.997652274736197</v>
      </c>
      <c r="BH120" s="43">
        <f t="shared" si="148"/>
        <v>85.894007054892697</v>
      </c>
      <c r="BI120" s="41" t="str">
        <f t="shared" si="152"/>
        <v>20.7551407799158+515.762160333372i</v>
      </c>
      <c r="BJ120" s="20">
        <f t="shared" si="149"/>
        <v>54.256016774627646</v>
      </c>
      <c r="BK120" s="43">
        <f t="shared" si="153"/>
        <v>87.695564416306468</v>
      </c>
      <c r="BL120">
        <f t="shared" si="150"/>
        <v>42.997652274736197</v>
      </c>
      <c r="BM120" s="43">
        <f t="shared" si="151"/>
        <v>85.894007054892697</v>
      </c>
    </row>
    <row r="121" spans="14:65" x14ac:dyDescent="0.25">
      <c r="N121" s="9">
        <v>3</v>
      </c>
      <c r="O121" s="34">
        <f t="shared" si="154"/>
        <v>107.15193052376065</v>
      </c>
      <c r="P121" s="33" t="str">
        <f t="shared" si="103"/>
        <v>19.1021967526266</v>
      </c>
      <c r="Q121" s="4" t="str">
        <f t="shared" si="104"/>
        <v>1+0.151112729076564i</v>
      </c>
      <c r="R121" s="4">
        <f t="shared" si="117"/>
        <v>1.0113530822066876</v>
      </c>
      <c r="S121" s="4">
        <f t="shared" si="118"/>
        <v>0.14997801316365084</v>
      </c>
      <c r="T121" s="4" t="str">
        <f t="shared" si="105"/>
        <v>1+0.0025314404374906i</v>
      </c>
      <c r="U121" s="4">
        <f t="shared" si="119"/>
        <v>1.0000032040902112</v>
      </c>
      <c r="V121" s="4">
        <f t="shared" si="120"/>
        <v>2.5314350301937107E-3</v>
      </c>
      <c r="W121" t="str">
        <f t="shared" si="106"/>
        <v>1-0.00140261549063088i</v>
      </c>
      <c r="X121" s="4">
        <f t="shared" si="121"/>
        <v>1.0000009836646235</v>
      </c>
      <c r="Y121" s="4">
        <f t="shared" si="122"/>
        <v>-1.4026145708293542E-3</v>
      </c>
      <c r="Z121" t="str">
        <f t="shared" si="107"/>
        <v>0.999999988518464+0.00104354592502937i</v>
      </c>
      <c r="AA121" s="4">
        <f t="shared" si="123"/>
        <v>1.0000005330123707</v>
      </c>
      <c r="AB121" s="4">
        <f t="shared" si="124"/>
        <v>1.0435455582080842E-3</v>
      </c>
      <c r="AC121" s="47" t="str">
        <f t="shared" si="125"/>
        <v>18.6760441209983-2.82055905158705i</v>
      </c>
      <c r="AD121" s="20">
        <f t="shared" si="126"/>
        <v>25.523641977140304</v>
      </c>
      <c r="AE121" s="43">
        <f t="shared" si="127"/>
        <v>-8.5882212821000543</v>
      </c>
      <c r="AF121" t="str">
        <f t="shared" si="108"/>
        <v>69.5520360182888</v>
      </c>
      <c r="AG121" t="str">
        <f t="shared" si="109"/>
        <v>1+0.120544782737648i</v>
      </c>
      <c r="AH121">
        <f t="shared" si="128"/>
        <v>1.0072393184567741</v>
      </c>
      <c r="AI121">
        <f t="shared" si="129"/>
        <v>0.11996594058707562</v>
      </c>
      <c r="AJ121" t="str">
        <f t="shared" si="110"/>
        <v>1+0.0025314404374906i</v>
      </c>
      <c r="AK121">
        <f t="shared" si="130"/>
        <v>1.0000032040902112</v>
      </c>
      <c r="AL121">
        <f t="shared" si="131"/>
        <v>2.5314350301937107E-3</v>
      </c>
      <c r="AM121" t="str">
        <f t="shared" si="111"/>
        <v>1-0.000307297657489884i</v>
      </c>
      <c r="AN121">
        <f t="shared" si="132"/>
        <v>1.0000000472159241</v>
      </c>
      <c r="AO121">
        <f t="shared" si="133"/>
        <v>-3.0729764781698907E-4</v>
      </c>
      <c r="AP121" s="41" t="str">
        <f t="shared" si="134"/>
        <v>68.5742816879744-8.11157822872272i</v>
      </c>
      <c r="AQ121">
        <f t="shared" si="135"/>
        <v>36.783571785643488</v>
      </c>
      <c r="AR121" s="43">
        <f t="shared" si="136"/>
        <v>-6.7461083958891566</v>
      </c>
      <c r="AS121" t="str">
        <f t="shared" si="112"/>
        <v>-0.0000166666666666667</v>
      </c>
      <c r="AT121" t="str">
        <f t="shared" si="113"/>
        <v>2.28906848070959E-06i</v>
      </c>
      <c r="AU121">
        <f t="shared" si="137"/>
        <v>2.2890684807095898E-6</v>
      </c>
      <c r="AV121">
        <f t="shared" si="138"/>
        <v>1.5707963267948966</v>
      </c>
      <c r="AW121" t="str">
        <f t="shared" si="114"/>
        <v>1+0.00232629554596681i</v>
      </c>
      <c r="AX121">
        <f t="shared" si="139"/>
        <v>1.0000027058218228</v>
      </c>
      <c r="AY121">
        <f t="shared" si="140"/>
        <v>2.3262913496139214E-3</v>
      </c>
      <c r="AZ121" t="str">
        <f t="shared" si="115"/>
        <v>1+0.0790940485628714i</v>
      </c>
      <c r="BA121">
        <f t="shared" si="141"/>
        <v>1.0031230575149122</v>
      </c>
      <c r="BB121">
        <f t="shared" si="142"/>
        <v>7.8929730903658041E-2</v>
      </c>
      <c r="BC121" s="41" t="str">
        <f t="shared" si="143"/>
        <v>-0.558941611881288+7.28228237777491i</v>
      </c>
      <c r="BD121">
        <f t="shared" si="144"/>
        <v>17.270860043915143</v>
      </c>
      <c r="BE121" s="43">
        <f t="shared" si="145"/>
        <v>94.389053782632246</v>
      </c>
      <c r="BF121" s="41" t="str">
        <f t="shared" si="146"/>
        <v>10.101289272289+137.580754811593i</v>
      </c>
      <c r="BG121" s="20">
        <f t="shared" si="147"/>
        <v>42.794502021055443</v>
      </c>
      <c r="BH121" s="43">
        <f t="shared" si="148"/>
        <v>85.800832500532223</v>
      </c>
      <c r="BI121" s="41" t="str">
        <f t="shared" si="152"/>
        <v>20.7417836506922+503.911181714972i</v>
      </c>
      <c r="BJ121" s="20">
        <f t="shared" si="149"/>
        <v>54.054431829558631</v>
      </c>
      <c r="BK121" s="43">
        <f t="shared" si="153"/>
        <v>87.642945386743094</v>
      </c>
      <c r="BL121">
        <f t="shared" si="150"/>
        <v>42.794502021055443</v>
      </c>
      <c r="BM121" s="43">
        <f t="shared" si="151"/>
        <v>85.800832500532223</v>
      </c>
    </row>
    <row r="122" spans="14:65" x14ac:dyDescent="0.25">
      <c r="N122" s="9">
        <v>4</v>
      </c>
      <c r="O122" s="34">
        <f t="shared" si="154"/>
        <v>109.64781961431861</v>
      </c>
      <c r="P122" s="33" t="str">
        <f t="shared" si="103"/>
        <v>19.1021967526266</v>
      </c>
      <c r="Q122" s="4" t="str">
        <f t="shared" si="104"/>
        <v>1+0.154632596708469i</v>
      </c>
      <c r="R122" s="4">
        <f t="shared" si="117"/>
        <v>1.0118849934477752</v>
      </c>
      <c r="S122" s="4">
        <f t="shared" si="118"/>
        <v>0.15341749666380342</v>
      </c>
      <c r="T122" s="4" t="str">
        <f t="shared" si="105"/>
        <v>1+0.00259040526006026i</v>
      </c>
      <c r="U122" s="4">
        <f t="shared" si="119"/>
        <v>1.0000033550940775</v>
      </c>
      <c r="V122" s="4">
        <f t="shared" si="120"/>
        <v>2.5903994660383036E-3</v>
      </c>
      <c r="W122" t="str">
        <f t="shared" si="106"/>
        <v>1-0.00143528660242701i</v>
      </c>
      <c r="X122" s="4">
        <f t="shared" si="121"/>
        <v>1.0000010300232851</v>
      </c>
      <c r="Y122" s="4">
        <f t="shared" si="122"/>
        <v>-1.435285616841973E-3</v>
      </c>
      <c r="Z122" t="str">
        <f t="shared" si="107"/>
        <v>0.999999987977356+0.00106785323220569i</v>
      </c>
      <c r="AA122" s="4">
        <f t="shared" si="123"/>
        <v>1.0000005581324629</v>
      </c>
      <c r="AB122" s="4">
        <f t="shared" si="124"/>
        <v>1.0678528391496122E-3</v>
      </c>
      <c r="AC122" s="47" t="str">
        <f t="shared" si="125"/>
        <v>18.6564291831608-2.88322520654007i</v>
      </c>
      <c r="AD122" s="20">
        <f t="shared" si="126"/>
        <v>25.519076415586078</v>
      </c>
      <c r="AE122" s="43">
        <f t="shared" si="127"/>
        <v>-8.7851753747065953</v>
      </c>
      <c r="AF122" t="str">
        <f t="shared" si="108"/>
        <v>69.5520360182888</v>
      </c>
      <c r="AG122" t="str">
        <f t="shared" si="109"/>
        <v>1+0.123352631431441i</v>
      </c>
      <c r="AH122">
        <f t="shared" si="128"/>
        <v>1.0075792136011248</v>
      </c>
      <c r="AI122">
        <f t="shared" si="129"/>
        <v>0.12273264259628316</v>
      </c>
      <c r="AJ122" t="str">
        <f t="shared" si="110"/>
        <v>1+0.00259040526006026i</v>
      </c>
      <c r="AK122">
        <f t="shared" si="130"/>
        <v>1.0000033550940775</v>
      </c>
      <c r="AL122">
        <f t="shared" si="131"/>
        <v>2.5903994660383036E-3</v>
      </c>
      <c r="AM122" t="str">
        <f t="shared" si="111"/>
        <v>1-0.000314455539453689i</v>
      </c>
      <c r="AN122">
        <f t="shared" si="132"/>
        <v>1.0000000494411418</v>
      </c>
      <c r="AO122">
        <f t="shared" si="133"/>
        <v>-3.1445552908899543E-4</v>
      </c>
      <c r="AP122" s="41" t="str">
        <f t="shared" si="134"/>
        <v>68.5288921868608-8.29492224338735i</v>
      </c>
      <c r="AQ122">
        <f t="shared" si="135"/>
        <v>36.78064253826404</v>
      </c>
      <c r="AR122" s="43">
        <f t="shared" si="136"/>
        <v>-6.9016604472589886</v>
      </c>
      <c r="AS122" t="str">
        <f t="shared" si="112"/>
        <v>-0.0000166666666666667</v>
      </c>
      <c r="AT122" t="str">
        <f t="shared" si="113"/>
        <v>2.34238773516088E-06i</v>
      </c>
      <c r="AU122">
        <f t="shared" si="137"/>
        <v>2.3423877351608798E-6</v>
      </c>
      <c r="AV122">
        <f t="shared" si="138"/>
        <v>1.5707963267948966</v>
      </c>
      <c r="AW122" t="str">
        <f t="shared" si="114"/>
        <v>1+0.00238048193016176i</v>
      </c>
      <c r="AX122">
        <f t="shared" si="139"/>
        <v>1.0000028333430959</v>
      </c>
      <c r="AY122">
        <f t="shared" si="140"/>
        <v>2.3804774336893169E-3</v>
      </c>
      <c r="AZ122" t="str">
        <f t="shared" si="115"/>
        <v>1+0.0809363856254999i</v>
      </c>
      <c r="BA122">
        <f t="shared" si="141"/>
        <v>1.0032700027999042</v>
      </c>
      <c r="BB122">
        <f t="shared" si="142"/>
        <v>8.0760347060777282E-2</v>
      </c>
      <c r="BC122" s="41" t="str">
        <f t="shared" si="143"/>
        <v>-0.558941469327806+7.11657727736586i</v>
      </c>
      <c r="BD122">
        <f t="shared" si="144"/>
        <v>17.072131219920028</v>
      </c>
      <c r="BE122" s="43">
        <f t="shared" si="145"/>
        <v>94.490835728417764</v>
      </c>
      <c r="BF122" s="41" t="str">
        <f t="shared" si="146"/>
        <v>10.0908430503455+134.381474135014i</v>
      </c>
      <c r="BG122" s="20">
        <f t="shared" si="147"/>
        <v>42.591207635506116</v>
      </c>
      <c r="BH122" s="43">
        <f t="shared" si="148"/>
        <v>85.705660353711167</v>
      </c>
      <c r="BI122" s="41" t="str">
        <f t="shared" si="152"/>
        <v>20.7278154644763+492.327533006747i</v>
      </c>
      <c r="BJ122" s="20">
        <f t="shared" si="149"/>
        <v>53.852773758184057</v>
      </c>
      <c r="BK122" s="43">
        <f t="shared" si="153"/>
        <v>87.589175281158774</v>
      </c>
      <c r="BL122">
        <f t="shared" si="150"/>
        <v>42.591207635506116</v>
      </c>
      <c r="BM122" s="43">
        <f t="shared" si="151"/>
        <v>85.705660353711167</v>
      </c>
    </row>
    <row r="123" spans="14:65" x14ac:dyDescent="0.25">
      <c r="N123" s="9">
        <v>5</v>
      </c>
      <c r="O123" s="34">
        <f t="shared" si="154"/>
        <v>112.20184543019634</v>
      </c>
      <c r="P123" s="33" t="str">
        <f t="shared" si="103"/>
        <v>19.1021967526266</v>
      </c>
      <c r="Q123" s="4" t="str">
        <f t="shared" si="104"/>
        <v>1+0.158234452589952i</v>
      </c>
      <c r="R123" s="4">
        <f t="shared" si="117"/>
        <v>1.0124416733750354</v>
      </c>
      <c r="S123" s="4">
        <f t="shared" si="118"/>
        <v>0.15693331201618077</v>
      </c>
      <c r="T123" s="4" t="str">
        <f t="shared" si="105"/>
        <v>1+0.00265074354978687i</v>
      </c>
      <c r="U123" s="4">
        <f t="shared" si="119"/>
        <v>1.000003513214512</v>
      </c>
      <c r="V123" s="4">
        <f t="shared" si="120"/>
        <v>2.6507373413816667E-3</v>
      </c>
      <c r="W123" t="str">
        <f t="shared" si="106"/>
        <v>1-0.00146871872217801i</v>
      </c>
      <c r="X123" s="4">
        <f t="shared" si="121"/>
        <v>1.0000010785667608</v>
      </c>
      <c r="Y123" s="4">
        <f t="shared" si="122"/>
        <v>-1.4687176661046775E-3</v>
      </c>
      <c r="Z123" t="str">
        <f t="shared" si="107"/>
        <v>0.999999987410746+0.00109272672930044i</v>
      </c>
      <c r="AA123" s="4">
        <f t="shared" si="123"/>
        <v>1.0000005844364279</v>
      </c>
      <c r="AB123" s="4">
        <f t="shared" si="124"/>
        <v>1.0927263081332783E-3</v>
      </c>
      <c r="AC123" s="47" t="str">
        <f t="shared" si="125"/>
        <v>18.6359339663922-2.94714110337361i</v>
      </c>
      <c r="AD123" s="20">
        <f t="shared" si="126"/>
        <v>25.514300827755726</v>
      </c>
      <c r="AE123" s="43">
        <f t="shared" si="127"/>
        <v>-8.9865003104609773</v>
      </c>
      <c r="AF123" t="str">
        <f t="shared" si="108"/>
        <v>69.5520360182888</v>
      </c>
      <c r="AG123" t="str">
        <f t="shared" si="109"/>
        <v>1+0.126225883323185i</v>
      </c>
      <c r="AH123">
        <f t="shared" si="128"/>
        <v>1.007935004660875</v>
      </c>
      <c r="AI123">
        <f t="shared" si="129"/>
        <v>0.12556183545483776</v>
      </c>
      <c r="AJ123" t="str">
        <f t="shared" si="110"/>
        <v>1+0.00265074354978687i</v>
      </c>
      <c r="AK123">
        <f t="shared" si="130"/>
        <v>1.000003513214512</v>
      </c>
      <c r="AL123">
        <f t="shared" si="131"/>
        <v>2.6507373413816667E-3</v>
      </c>
      <c r="AM123" t="str">
        <f t="shared" si="111"/>
        <v>1-0.000321780149906824i</v>
      </c>
      <c r="AN123">
        <f t="shared" si="132"/>
        <v>1.0000000517712311</v>
      </c>
      <c r="AO123">
        <f t="shared" si="133"/>
        <v>-3.2178013880085473E-4</v>
      </c>
      <c r="AP123" s="41" t="str">
        <f t="shared" si="134"/>
        <v>68.4814291312513-8.48214473705256i</v>
      </c>
      <c r="AQ123">
        <f t="shared" si="135"/>
        <v>36.777577357753977</v>
      </c>
      <c r="AR123" s="43">
        <f t="shared" si="136"/>
        <v>-7.060723821103835</v>
      </c>
      <c r="AS123" t="str">
        <f t="shared" si="112"/>
        <v>-0.0000166666666666667</v>
      </c>
      <c r="AT123" t="str">
        <f t="shared" si="113"/>
        <v>2.39694895459451E-06i</v>
      </c>
      <c r="AU123">
        <f t="shared" si="137"/>
        <v>2.3969489545945102E-6</v>
      </c>
      <c r="AV123">
        <f t="shared" si="138"/>
        <v>1.5707963267948966</v>
      </c>
      <c r="AW123" t="str">
        <f t="shared" si="114"/>
        <v>1+0.0024359304773855i</v>
      </c>
      <c r="AX123">
        <f t="shared" si="139"/>
        <v>1.0000029668742441</v>
      </c>
      <c r="AY123">
        <f t="shared" si="140"/>
        <v>2.4359256593292434E-3</v>
      </c>
      <c r="AZ123" t="str">
        <f t="shared" si="115"/>
        <v>1+0.0828216362311069i</v>
      </c>
      <c r="BA123">
        <f t="shared" si="141"/>
        <v>1.003423850338429</v>
      </c>
      <c r="BB123">
        <f t="shared" si="142"/>
        <v>8.2633042255010905E-2</v>
      </c>
      <c r="BC123" s="41" t="str">
        <f t="shared" si="143"/>
        <v>-0.558941320056069+6.95464548039635i</v>
      </c>
      <c r="BD123">
        <f t="shared" si="144"/>
        <v>16.873461905242003</v>
      </c>
      <c r="BE123" s="43">
        <f t="shared" si="145"/>
        <v>94.594956310051117</v>
      </c>
      <c r="BF123" s="41" t="str">
        <f t="shared" si="146"/>
        <v>10.0799280230146+131.253592871045i</v>
      </c>
      <c r="BG123" s="20">
        <f t="shared" si="147"/>
        <v>42.3877627329977</v>
      </c>
      <c r="BH123" s="43">
        <f t="shared" si="148"/>
        <v>85.608455999590134</v>
      </c>
      <c r="BI123" s="41" t="str">
        <f t="shared" si="152"/>
        <v>20.7132091616625+481.005082774975i</v>
      </c>
      <c r="BJ123" s="20">
        <f t="shared" si="149"/>
        <v>53.651039262995994</v>
      </c>
      <c r="BK123" s="43">
        <f t="shared" si="153"/>
        <v>87.534232488947296</v>
      </c>
      <c r="BL123">
        <f t="shared" si="150"/>
        <v>42.3877627329977</v>
      </c>
      <c r="BM123" s="43">
        <f t="shared" si="151"/>
        <v>85.608455999590134</v>
      </c>
    </row>
    <row r="124" spans="14:65" x14ac:dyDescent="0.25">
      <c r="N124" s="9">
        <v>6</v>
      </c>
      <c r="O124" s="34">
        <f t="shared" si="154"/>
        <v>114.81536214968835</v>
      </c>
      <c r="P124" s="33" t="str">
        <f t="shared" si="103"/>
        <v>19.1021967526266</v>
      </c>
      <c r="Q124" s="4" t="str">
        <f t="shared" si="104"/>
        <v>1+0.161920206472679i</v>
      </c>
      <c r="R124" s="4">
        <f t="shared" si="117"/>
        <v>1.0130242609454894</v>
      </c>
      <c r="S124" s="4">
        <f t="shared" si="118"/>
        <v>0.16052697550363443</v>
      </c>
      <c r="T124" s="4" t="str">
        <f t="shared" si="105"/>
        <v>1+0.00271248729883031i</v>
      </c>
      <c r="U124" s="4">
        <f t="shared" si="119"/>
        <v>1.0000036787869064</v>
      </c>
      <c r="V124" s="4">
        <f t="shared" si="120"/>
        <v>2.7124806464056015E-3</v>
      </c>
      <c r="W124" t="str">
        <f t="shared" si="106"/>
        <v>1-0.0015029295760363i</v>
      </c>
      <c r="X124" s="4">
        <f t="shared" si="121"/>
        <v>1.0000011293980176</v>
      </c>
      <c r="Y124" s="4">
        <f t="shared" si="122"/>
        <v>-1.5029284444334054E-3</v>
      </c>
      <c r="Z124" t="str">
        <f t="shared" si="107"/>
        <v>0.999999986817433+0.00111817960457101i</v>
      </c>
      <c r="AA124" s="4">
        <f t="shared" si="123"/>
        <v>1.0000006119800597</v>
      </c>
      <c r="AB124" s="4">
        <f t="shared" si="124"/>
        <v>1.1181791532822801E-3</v>
      </c>
      <c r="AC124" s="47" t="str">
        <f t="shared" si="125"/>
        <v>18.6145210838463-3.01232166401073i</v>
      </c>
      <c r="AD124" s="20">
        <f t="shared" si="126"/>
        <v>25.509305799109455</v>
      </c>
      <c r="AE124" s="43">
        <f t="shared" si="127"/>
        <v>-9.1922829043070369</v>
      </c>
      <c r="AF124" t="str">
        <f t="shared" si="108"/>
        <v>69.5520360182888</v>
      </c>
      <c r="AG124" t="str">
        <f t="shared" si="109"/>
        <v>1+0.129166061849063i</v>
      </c>
      <c r="AH124">
        <f t="shared" si="128"/>
        <v>1.0083074290778562</v>
      </c>
      <c r="AI124">
        <f t="shared" si="129"/>
        <v>0.12845483797501972</v>
      </c>
      <c r="AJ124" t="str">
        <f t="shared" si="110"/>
        <v>1+0.00271248729883031i</v>
      </c>
      <c r="AK124">
        <f t="shared" si="130"/>
        <v>1.0000036787869064</v>
      </c>
      <c r="AL124">
        <f t="shared" si="131"/>
        <v>2.7124806464056015E-3</v>
      </c>
      <c r="AM124" t="str">
        <f t="shared" si="111"/>
        <v>1-0.000329275372454704i</v>
      </c>
      <c r="AN124">
        <f t="shared" si="132"/>
        <v>1.000000054211134</v>
      </c>
      <c r="AO124">
        <f t="shared" si="133"/>
        <v>-3.2927536055444353E-4</v>
      </c>
      <c r="AP124" s="41" t="str">
        <f t="shared" si="134"/>
        <v>68.4318009729495-8.67330899517228i</v>
      </c>
      <c r="AQ124">
        <f t="shared" si="135"/>
        <v>36.77437003884782</v>
      </c>
      <c r="AR124" s="43">
        <f t="shared" si="136"/>
        <v>-7.2233724694129071</v>
      </c>
      <c r="AS124" t="str">
        <f t="shared" si="112"/>
        <v>-0.0000166666666666667</v>
      </c>
      <c r="AT124" t="str">
        <f t="shared" si="113"/>
        <v>2.45278106809125E-06i</v>
      </c>
      <c r="AU124">
        <f t="shared" si="137"/>
        <v>2.45278106809125E-6</v>
      </c>
      <c r="AV124">
        <f t="shared" si="138"/>
        <v>1.5707963267948966</v>
      </c>
      <c r="AW124" t="str">
        <f t="shared" si="114"/>
        <v>1+0.00249267058719169i</v>
      </c>
      <c r="AX124">
        <f t="shared" si="139"/>
        <v>1.0000031066985025</v>
      </c>
      <c r="AY124">
        <f t="shared" si="140"/>
        <v>2.4926654245522638E-3</v>
      </c>
      <c r="AZ124" t="str">
        <f t="shared" si="115"/>
        <v>1+0.0847507999645175i</v>
      </c>
      <c r="BA124">
        <f t="shared" si="141"/>
        <v>1.0035849232101017</v>
      </c>
      <c r="BB124">
        <f t="shared" si="142"/>
        <v>8.4548756844730399E-2</v>
      </c>
      <c r="BC124" s="41" t="str">
        <f t="shared" si="143"/>
        <v>-0.558941163749453+6.79640112848183i</v>
      </c>
      <c r="BD124">
        <f t="shared" si="144"/>
        <v>16.674854866207586</v>
      </c>
      <c r="BE124" s="43">
        <f t="shared" si="145"/>
        <v>94.701467721715844</v>
      </c>
      <c r="BF124" s="41" t="str">
        <f t="shared" si="146"/>
        <v>10.068524279389+128.195462676872i</v>
      </c>
      <c r="BG124" s="20">
        <f t="shared" si="147"/>
        <v>42.184160665317066</v>
      </c>
      <c r="BH124" s="43">
        <f t="shared" si="148"/>
        <v>85.509184817408823</v>
      </c>
      <c r="BI124" s="41" t="str">
        <f t="shared" si="152"/>
        <v>20.6979365691691+469.937838779918i</v>
      </c>
      <c r="BJ124" s="20">
        <f t="shared" si="149"/>
        <v>53.449224905055402</v>
      </c>
      <c r="BK124" s="43">
        <f t="shared" si="153"/>
        <v>87.47809525230295</v>
      </c>
      <c r="BL124">
        <f t="shared" si="150"/>
        <v>42.184160665317066</v>
      </c>
      <c r="BM124" s="43">
        <f t="shared" si="151"/>
        <v>85.509184817408823</v>
      </c>
    </row>
    <row r="125" spans="14:65" x14ac:dyDescent="0.25">
      <c r="N125" s="9">
        <v>7</v>
      </c>
      <c r="O125" s="34">
        <f t="shared" si="154"/>
        <v>117.48975549395293</v>
      </c>
      <c r="P125" s="33" t="str">
        <f t="shared" si="103"/>
        <v>19.1021967526266</v>
      </c>
      <c r="Q125" s="4" t="str">
        <f t="shared" si="104"/>
        <v>1+0.165691812592145i</v>
      </c>
      <c r="R125" s="4">
        <f t="shared" si="117"/>
        <v>1.0136339461364099</v>
      </c>
      <c r="S125" s="4">
        <f t="shared" si="118"/>
        <v>0.16420002106424833</v>
      </c>
      <c r="T125" s="4" t="str">
        <f t="shared" si="105"/>
        <v>1+0.00277566924454361i</v>
      </c>
      <c r="U125" s="4">
        <f t="shared" si="119"/>
        <v>1.0000038521624579</v>
      </c>
      <c r="V125" s="4">
        <f t="shared" si="120"/>
        <v>2.7756621163435914E-3</v>
      </c>
      <c r="W125" t="str">
        <f t="shared" si="106"/>
        <v>1-0.00153793730304943i</v>
      </c>
      <c r="X125" s="4">
        <f t="shared" si="121"/>
        <v>1.0000011826248747</v>
      </c>
      <c r="Y125" s="4">
        <f t="shared" si="122"/>
        <v>-1.5379360905151602E-3</v>
      </c>
      <c r="Z125" t="str">
        <f t="shared" si="107"/>
        <v>0.999999986196157+0.00114422535346878i</v>
      </c>
      <c r="AA125" s="4">
        <f t="shared" si="123"/>
        <v>1.0000006408217816</v>
      </c>
      <c r="AB125" s="4">
        <f t="shared" si="124"/>
        <v>1.1442248699042115E-3</v>
      </c>
      <c r="AC125" s="47" t="str">
        <f t="shared" si="125"/>
        <v>18.592151759377-3.07878123967699i</v>
      </c>
      <c r="AD125" s="20">
        <f t="shared" si="126"/>
        <v>25.504081516291155</v>
      </c>
      <c r="AE125" s="43">
        <f t="shared" si="127"/>
        <v>-9.4026109813266032</v>
      </c>
      <c r="AF125" t="str">
        <f t="shared" si="108"/>
        <v>69.5520360182888</v>
      </c>
      <c r="AG125" t="str">
        <f t="shared" si="109"/>
        <v>1+0.132174725930648i</v>
      </c>
      <c r="AH125">
        <f t="shared" si="128"/>
        <v>1.0086972579395872</v>
      </c>
      <c r="AI125">
        <f t="shared" si="129"/>
        <v>0.13141299025885569</v>
      </c>
      <c r="AJ125" t="str">
        <f t="shared" si="110"/>
        <v>1+0.00277566924454361i</v>
      </c>
      <c r="AK125">
        <f t="shared" si="130"/>
        <v>1.0000038521624579</v>
      </c>
      <c r="AL125">
        <f t="shared" si="131"/>
        <v>2.7756621163435914E-3</v>
      </c>
      <c r="AM125" t="str">
        <f t="shared" si="111"/>
        <v>1-0.000336945181163534i</v>
      </c>
      <c r="AN125">
        <f t="shared" si="132"/>
        <v>1.0000000567660259</v>
      </c>
      <c r="AO125">
        <f t="shared" si="133"/>
        <v>-3.3694516841217522E-4</v>
      </c>
      <c r="AP125" s="41" t="str">
        <f t="shared" si="134"/>
        <v>68.3799124229627-8.86847795977193i</v>
      </c>
      <c r="AQ125">
        <f t="shared" si="135"/>
        <v>36.771014102755622</v>
      </c>
      <c r="AR125" s="43">
        <f t="shared" si="136"/>
        <v>-7.389681526482736</v>
      </c>
      <c r="AS125" t="str">
        <f t="shared" si="112"/>
        <v>-0.0000166666666666667</v>
      </c>
      <c r="AT125" t="str">
        <f t="shared" si="113"/>
        <v>2.50991367857667E-06i</v>
      </c>
      <c r="AU125">
        <f t="shared" si="137"/>
        <v>2.5099136785766699E-6</v>
      </c>
      <c r="AV125">
        <f t="shared" si="138"/>
        <v>1.5707963267948966</v>
      </c>
      <c r="AW125" t="str">
        <f t="shared" si="114"/>
        <v>1+0.00255073234393761i</v>
      </c>
      <c r="AX125">
        <f t="shared" si="139"/>
        <v>1.0000032531124539</v>
      </c>
      <c r="AY125">
        <f t="shared" si="140"/>
        <v>2.550726812070771E-3</v>
      </c>
      <c r="AZ125" t="str">
        <f t="shared" si="115"/>
        <v>1+0.0867248996938786i</v>
      </c>
      <c r="BA125">
        <f t="shared" si="141"/>
        <v>1.0037535595089631</v>
      </c>
      <c r="BB125">
        <f t="shared" si="142"/>
        <v>8.6508450291085004E-2</v>
      </c>
      <c r="BC125" s="41" t="str">
        <f t="shared" si="143"/>
        <v>-0.55894100007643+6.64176031836995i</v>
      </c>
      <c r="BD125">
        <f t="shared" si="144"/>
        <v>16.476312995864628</v>
      </c>
      <c r="BE125" s="43">
        <f t="shared" si="145"/>
        <v>94.810423212873928</v>
      </c>
      <c r="BF125" s="41" t="str">
        <f t="shared" si="146"/>
        <v>10.0566111686695+125.205472853664i</v>
      </c>
      <c r="BG125" s="20">
        <f t="shared" si="147"/>
        <v>41.980394512155797</v>
      </c>
      <c r="BH125" s="43">
        <f t="shared" si="148"/>
        <v>85.407812231547354</v>
      </c>
      <c r="BI125" s="41" t="str">
        <f t="shared" si="152"/>
        <v>20.6819683627222+459.119944844437i</v>
      </c>
      <c r="BJ125" s="20">
        <f t="shared" si="149"/>
        <v>53.247327098620254</v>
      </c>
      <c r="BK125" s="43">
        <f t="shared" si="153"/>
        <v>87.42074168639121</v>
      </c>
      <c r="BL125">
        <f t="shared" si="150"/>
        <v>41.980394512155797</v>
      </c>
      <c r="BM125" s="43">
        <f t="shared" si="151"/>
        <v>85.407812231547354</v>
      </c>
    </row>
    <row r="126" spans="14:65" x14ac:dyDescent="0.25">
      <c r="N126" s="9">
        <v>8</v>
      </c>
      <c r="O126" s="34">
        <f t="shared" si="154"/>
        <v>120.22644346174135</v>
      </c>
      <c r="P126" s="33" t="str">
        <f t="shared" si="103"/>
        <v>19.1021967526266</v>
      </c>
      <c r="Q126" s="4" t="str">
        <f t="shared" si="104"/>
        <v>1+0.169551270703838i</v>
      </c>
      <c r="R126" s="4">
        <f t="shared" si="117"/>
        <v>1.0142719721047635</v>
      </c>
      <c r="S126" s="4">
        <f t="shared" si="118"/>
        <v>0.16795399956220164</v>
      </c>
      <c r="T126" s="4" t="str">
        <f t="shared" si="105"/>
        <v>1+0.0028403228868307i</v>
      </c>
      <c r="U126" s="4">
        <f t="shared" si="119"/>
        <v>1.0000040337089153</v>
      </c>
      <c r="V126" s="4">
        <f t="shared" si="120"/>
        <v>2.8403152488284326E-3</v>
      </c>
      <c r="W126" t="str">
        <f t="shared" si="106"/>
        <v>1-0.00157376046477765i</v>
      </c>
      <c r="X126" s="4">
        <f t="shared" si="121"/>
        <v>1.0000012383602335</v>
      </c>
      <c r="Y126" s="4">
        <f t="shared" si="122"/>
        <v>-1.5737591655238584E-3</v>
      </c>
      <c r="Z126" t="str">
        <f t="shared" si="107"/>
        <v>0.999999985545602+0.00117087778579457i</v>
      </c>
      <c r="AA126" s="4">
        <f t="shared" si="123"/>
        <v>1.0000006710227716</v>
      </c>
      <c r="AB126" s="4">
        <f t="shared" si="124"/>
        <v>1.1708772676458179E-3</v>
      </c>
      <c r="AC126" s="47" t="str">
        <f t="shared" si="125"/>
        <v>18.5687857947985-3.14653354296726i</v>
      </c>
      <c r="AD126" s="20">
        <f t="shared" si="126"/>
        <v>25.498617752406485</v>
      </c>
      <c r="AE126" s="43">
        <f t="shared" si="127"/>
        <v>-9.6175733349301886</v>
      </c>
      <c r="AF126" t="str">
        <f t="shared" si="108"/>
        <v>69.5520360182888</v>
      </c>
      <c r="AG126" t="str">
        <f t="shared" si="109"/>
        <v>1+0.135253470801462i</v>
      </c>
      <c r="AH126">
        <f t="shared" si="128"/>
        <v>1.0091052974609944</v>
      </c>
      <c r="AI126">
        <f t="shared" si="129"/>
        <v>0.13443765356154544</v>
      </c>
      <c r="AJ126" t="str">
        <f t="shared" si="110"/>
        <v>1+0.0028403228868307i</v>
      </c>
      <c r="AK126">
        <f t="shared" si="130"/>
        <v>1.0000040337089153</v>
      </c>
      <c r="AL126">
        <f t="shared" si="131"/>
        <v>2.8403152488284326E-3</v>
      </c>
      <c r="AM126" t="str">
        <f t="shared" si="111"/>
        <v>1-0.000344793642667414i</v>
      </c>
      <c r="AN126">
        <f t="shared" si="132"/>
        <v>1.0000000594413263</v>
      </c>
      <c r="AO126">
        <f t="shared" si="133"/>
        <v>-3.4479362900408697E-4</v>
      </c>
      <c r="AP126" s="41" t="str">
        <f t="shared" si="134"/>
        <v>68.3256643273892-9.06771410522029i</v>
      </c>
      <c r="AQ126">
        <f t="shared" si="135"/>
        <v>36.767502786028473</v>
      </c>
      <c r="AR126" s="43">
        <f t="shared" si="136"/>
        <v>-7.5597273002188654</v>
      </c>
      <c r="AS126" t="str">
        <f t="shared" si="112"/>
        <v>-0.0000166666666666667</v>
      </c>
      <c r="AT126" t="str">
        <f t="shared" si="113"/>
        <v>2.56837707851712E-06i</v>
      </c>
      <c r="AU126">
        <f t="shared" si="137"/>
        <v>2.5683770785171199E-6</v>
      </c>
      <c r="AV126">
        <f t="shared" si="138"/>
        <v>1.5707963267948966</v>
      </c>
      <c r="AW126" t="str">
        <f t="shared" si="114"/>
        <v>1+0.00261014653273522i</v>
      </c>
      <c r="AX126">
        <f t="shared" si="139"/>
        <v>1.0000034064266594</v>
      </c>
      <c r="AY126">
        <f t="shared" si="140"/>
        <v>2.6101406052341982E-3</v>
      </c>
      <c r="AZ126" t="str">
        <f t="shared" si="115"/>
        <v>1+0.0887449821129974i</v>
      </c>
      <c r="BA126">
        <f t="shared" si="141"/>
        <v>1.0039301130309002</v>
      </c>
      <c r="BB126">
        <f t="shared" si="142"/>
        <v>8.8513101408018754E-2</v>
      </c>
      <c r="BC126" s="41" t="str">
        <f t="shared" si="143"/>
        <v>-0.558940828689836+6.49064105745356i</v>
      </c>
      <c r="BD126">
        <f t="shared" si="144"/>
        <v>16.277839319607533</v>
      </c>
      <c r="BE126" s="43">
        <f t="shared" si="145"/>
        <v>94.921877101677282</v>
      </c>
      <c r="BF126" s="41" t="str">
        <f t="shared" si="146"/>
        <v>10.0441672827294+122.282049532786i</v>
      </c>
      <c r="BG126" s="20">
        <f t="shared" si="147"/>
        <v>41.776457072014011</v>
      </c>
      <c r="BH126" s="43">
        <f t="shared" si="148"/>
        <v>85.304303766747097</v>
      </c>
      <c r="BI126" s="41" t="str">
        <f t="shared" si="152"/>
        <v>20.6652740286591+448.545677797437i</v>
      </c>
      <c r="BJ126" s="20">
        <f t="shared" si="149"/>
        <v>53.04534210563601</v>
      </c>
      <c r="BK126" s="43">
        <f t="shared" si="153"/>
        <v>87.362149801458429</v>
      </c>
      <c r="BL126">
        <f t="shared" si="150"/>
        <v>41.776457072014011</v>
      </c>
      <c r="BM126" s="43">
        <f t="shared" si="151"/>
        <v>85.304303766747097</v>
      </c>
    </row>
    <row r="127" spans="14:65" x14ac:dyDescent="0.25">
      <c r="N127" s="9">
        <v>9</v>
      </c>
      <c r="O127" s="34">
        <f t="shared" si="154"/>
        <v>123.02687708123821</v>
      </c>
      <c r="P127" s="33" t="str">
        <f t="shared" si="103"/>
        <v>19.1021967526266</v>
      </c>
      <c r="Q127" s="4" t="str">
        <f t="shared" si="104"/>
        <v>1+0.173500627143535i</v>
      </c>
      <c r="R127" s="4">
        <f t="shared" si="117"/>
        <v>1.0149396374263839</v>
      </c>
      <c r="S127" s="4">
        <f t="shared" si="118"/>
        <v>0.17179047797412195</v>
      </c>
      <c r="T127" s="4" t="str">
        <f t="shared" si="105"/>
        <v>1+0.00290648250590849i</v>
      </c>
      <c r="U127" s="4">
        <f t="shared" si="119"/>
        <v>1.0000042238113582</v>
      </c>
      <c r="V127" s="4">
        <f t="shared" si="120"/>
        <v>2.906474321643474E-3</v>
      </c>
      <c r="W127" t="str">
        <f t="shared" si="106"/>
        <v>1-0.00161041805513547i</v>
      </c>
      <c r="X127" s="4">
        <f t="shared" si="121"/>
        <v>1.0000012967223155</v>
      </c>
      <c r="Y127" s="4">
        <f t="shared" si="122"/>
        <v>-1.6104166629600475E-3</v>
      </c>
      <c r="Z127" t="str">
        <f t="shared" si="107"/>
        <v>0.999999984864388+0.00119815103302079i</v>
      </c>
      <c r="AA127" s="4">
        <f t="shared" si="123"/>
        <v>1.0000007026470903</v>
      </c>
      <c r="AB127" s="4">
        <f t="shared" si="124"/>
        <v>1.1981504778144194E-3</v>
      </c>
      <c r="AC127" s="47" t="str">
        <f t="shared" si="125"/>
        <v>18.5443815383163-3.21559157564679i</v>
      </c>
      <c r="AD127" s="20">
        <f t="shared" si="126"/>
        <v>25.49290385196479</v>
      </c>
      <c r="AE127" s="43">
        <f t="shared" si="127"/>
        <v>-9.8372596802045127</v>
      </c>
      <c r="AF127" t="str">
        <f t="shared" si="108"/>
        <v>69.5520360182888</v>
      </c>
      <c r="AG127" t="str">
        <f t="shared" si="109"/>
        <v>1+0.138403928852786i</v>
      </c>
      <c r="AH127">
        <f t="shared" si="128"/>
        <v>1.00953239052637</v>
      </c>
      <c r="AI127">
        <f t="shared" si="129"/>
        <v>0.13753021011137406</v>
      </c>
      <c r="AJ127" t="str">
        <f t="shared" si="110"/>
        <v>1+0.00290648250590849i</v>
      </c>
      <c r="AK127">
        <f t="shared" si="130"/>
        <v>1.0000042238113582</v>
      </c>
      <c r="AL127">
        <f t="shared" si="131"/>
        <v>2.906474321643474E-3</v>
      </c>
      <c r="AM127" t="str">
        <f t="shared" si="111"/>
        <v>1-0.000352824918324519i</v>
      </c>
      <c r="AN127">
        <f t="shared" si="132"/>
        <v>1.0000000622427097</v>
      </c>
      <c r="AO127">
        <f t="shared" si="133"/>
        <v>-3.5282490368400036E-4</v>
      </c>
      <c r="AP127" s="41" t="str">
        <f t="shared" si="134"/>
        <v>68.2689535420411-9.27107930437679i</v>
      </c>
      <c r="AQ127">
        <f t="shared" si="135"/>
        <v>36.763829029058719</v>
      </c>
      <c r="AR127" s="43">
        <f t="shared" si="136"/>
        <v>-7.7335872609240539</v>
      </c>
      <c r="AS127" t="str">
        <f t="shared" si="112"/>
        <v>-0.0000166666666666667</v>
      </c>
      <c r="AT127" t="str">
        <f t="shared" si="113"/>
        <v>2.62820226598108E-06i</v>
      </c>
      <c r="AU127">
        <f t="shared" si="137"/>
        <v>2.6282022659810799E-6</v>
      </c>
      <c r="AV127">
        <f t="shared" si="138"/>
        <v>1.5707963267948966</v>
      </c>
      <c r="AW127" t="str">
        <f t="shared" si="114"/>
        <v>1+0.00267094465577386i</v>
      </c>
      <c r="AX127">
        <f t="shared" si="139"/>
        <v>1.0000035669663154</v>
      </c>
      <c r="AY127">
        <f t="shared" si="140"/>
        <v>2.6709383043433069E-3</v>
      </c>
      <c r="AZ127" t="str">
        <f t="shared" si="115"/>
        <v>1+0.0908121182963111i</v>
      </c>
      <c r="BA127">
        <f t="shared" si="141"/>
        <v>1.0041149539915553</v>
      </c>
      <c r="BB127">
        <f t="shared" si="142"/>
        <v>9.0563708604812623E-2</v>
      </c>
      <c r="BC127" s="41" t="str">
        <f t="shared" si="143"/>
        <v>-0.558940649226154+6.34296322029748i</v>
      </c>
      <c r="BD127">
        <f t="shared" si="144"/>
        <v>16.079437001035856</v>
      </c>
      <c r="BE127" s="43">
        <f t="shared" si="145"/>
        <v>95.03588478792966</v>
      </c>
      <c r="BF127" s="41" t="str">
        <f t="shared" si="146"/>
        <v>10.031170439302+119.423654883642i</v>
      </c>
      <c r="BG127" s="20">
        <f t="shared" si="147"/>
        <v>41.572340853000647</v>
      </c>
      <c r="BH127" s="43">
        <f t="shared" si="148"/>
        <v>85.19862510772515</v>
      </c>
      <c r="BI127" s="41" t="str">
        <f t="shared" si="152"/>
        <v>20.6478218253445+438.20944449078i</v>
      </c>
      <c r="BJ127" s="20">
        <f t="shared" si="149"/>
        <v>52.843266030094583</v>
      </c>
      <c r="BK127" s="43">
        <f t="shared" si="153"/>
        <v>87.302297527005621</v>
      </c>
      <c r="BL127">
        <f t="shared" si="150"/>
        <v>41.572340853000647</v>
      </c>
      <c r="BM127" s="43">
        <f t="shared" si="151"/>
        <v>85.19862510772515</v>
      </c>
    </row>
    <row r="128" spans="14:65" x14ac:dyDescent="0.25">
      <c r="N128" s="9">
        <v>10</v>
      </c>
      <c r="O128" s="34">
        <f t="shared" si="154"/>
        <v>125.89254117941677</v>
      </c>
      <c r="P128" s="33" t="str">
        <f t="shared" si="103"/>
        <v>19.1021967526266</v>
      </c>
      <c r="Q128" s="4" t="str">
        <f t="shared" si="104"/>
        <v>1+0.177541975912295i</v>
      </c>
      <c r="R128" s="4">
        <f t="shared" si="117"/>
        <v>1.0156382984167356</v>
      </c>
      <c r="S128" s="4">
        <f t="shared" si="118"/>
        <v>0.17571103848568734</v>
      </c>
      <c r="T128" s="4" t="str">
        <f t="shared" si="105"/>
        <v>1+0.00297418318048276i</v>
      </c>
      <c r="U128" s="4">
        <f t="shared" si="119"/>
        <v>1.0000044228730147</v>
      </c>
      <c r="V128" s="4">
        <f t="shared" si="120"/>
        <v>2.9741744108868909E-3</v>
      </c>
      <c r="W128" t="str">
        <f t="shared" si="106"/>
        <v>1-0.00164792951046253i</v>
      </c>
      <c r="X128" s="4">
        <f t="shared" si="121"/>
        <v>1.0000013578349138</v>
      </c>
      <c r="Y128" s="4">
        <f t="shared" si="122"/>
        <v>-1.6479280187197977E-3</v>
      </c>
      <c r="Z128" t="str">
        <f t="shared" si="107"/>
        <v>0.999999984151068+0.00122605955578412i</v>
      </c>
      <c r="AA128" s="4">
        <f t="shared" si="123"/>
        <v>1.0000007357618146</v>
      </c>
      <c r="AB128" s="4">
        <f t="shared" si="124"/>
        <v>1.2260589608697999E-3</v>
      </c>
      <c r="AC128" s="47" t="str">
        <f t="shared" si="125"/>
        <v>18.5188958543837-3.28596755202469i</v>
      </c>
      <c r="AD128" s="20">
        <f t="shared" si="126"/>
        <v>25.486928715497534</v>
      </c>
      <c r="AE128" s="43">
        <f t="shared" si="127"/>
        <v>-10.061760602117074</v>
      </c>
      <c r="AF128" t="str">
        <f t="shared" si="108"/>
        <v>69.5520360182888</v>
      </c>
      <c r="AG128" t="str">
        <f t="shared" si="109"/>
        <v>1+0.141627770499179i</v>
      </c>
      <c r="AH128">
        <f t="shared" si="128"/>
        <v>1.0099794182935453</v>
      </c>
      <c r="AI128">
        <f t="shared" si="129"/>
        <v>0.14069206288278538</v>
      </c>
      <c r="AJ128" t="str">
        <f t="shared" si="110"/>
        <v>1+0.00297418318048276i</v>
      </c>
      <c r="AK128">
        <f t="shared" si="130"/>
        <v>1.0000044228730147</v>
      </c>
      <c r="AL128">
        <f t="shared" si="131"/>
        <v>2.9741744108868909E-3</v>
      </c>
      <c r="AM128" t="str">
        <f t="shared" si="111"/>
        <v>1-0.000361043266423509i</v>
      </c>
      <c r="AN128">
        <f t="shared" si="132"/>
        <v>1.0000000651761181</v>
      </c>
      <c r="AO128">
        <f t="shared" si="133"/>
        <v>-3.6104325073591068E-4</v>
      </c>
      <c r="AP128" s="41" t="str">
        <f t="shared" si="134"/>
        <v>68.2096728061237-9.47863468458631i</v>
      </c>
      <c r="AQ128">
        <f t="shared" si="135"/>
        <v>36.759985464211795</v>
      </c>
      <c r="AR128" s="43">
        <f t="shared" si="136"/>
        <v>-7.9113400273820158</v>
      </c>
      <c r="AS128" t="str">
        <f t="shared" si="112"/>
        <v>-0.0000166666666666667</v>
      </c>
      <c r="AT128" t="str">
        <f t="shared" si="113"/>
        <v>2.68942096107484E-06i</v>
      </c>
      <c r="AU128">
        <f t="shared" si="137"/>
        <v>2.6894209610748402E-6</v>
      </c>
      <c r="AV128">
        <f t="shared" si="138"/>
        <v>1.5707963267948966</v>
      </c>
      <c r="AW128" t="str">
        <f t="shared" si="114"/>
        <v>1+0.00273315894902312i</v>
      </c>
      <c r="AX128">
        <f t="shared" si="139"/>
        <v>1.0000037350719448</v>
      </c>
      <c r="AY128">
        <f t="shared" si="140"/>
        <v>2.7331521433440393E-3</v>
      </c>
      <c r="AZ128" t="str">
        <f t="shared" si="115"/>
        <v>1+0.0929274042667859i</v>
      </c>
      <c r="BA128">
        <f t="shared" si="141"/>
        <v>1.0043084697759761</v>
      </c>
      <c r="BB128">
        <f t="shared" si="142"/>
        <v>9.2661290120106557E-2</v>
      </c>
      <c r="BC128" s="41" t="str">
        <f t="shared" si="143"/>
        <v>-0.558940461304733+6.19864850615461i</v>
      </c>
      <c r="BD128">
        <f t="shared" si="144"/>
        <v>15.881109348052615</v>
      </c>
      <c r="BE128" s="43">
        <f t="shared" si="145"/>
        <v>95.152502765538642</v>
      </c>
      <c r="BF128" s="41" t="str">
        <f t="shared" si="146"/>
        <v>10.0175976659268+116.628786342769i</v>
      </c>
      <c r="BG128" s="20">
        <f t="shared" si="147"/>
        <v>41.368038063550117</v>
      </c>
      <c r="BH128" s="43">
        <f t="shared" si="148"/>
        <v>85.090742163421581</v>
      </c>
      <c r="BI128" s="41" t="str">
        <f t="shared" si="152"/>
        <v>20.6295787442965+428.105778888115i</v>
      </c>
      <c r="BJ128" s="20">
        <f t="shared" si="149"/>
        <v>52.641094812264413</v>
      </c>
      <c r="BK128" s="43">
        <f t="shared" si="153"/>
        <v>87.241162738156632</v>
      </c>
      <c r="BL128">
        <f t="shared" si="150"/>
        <v>41.368038063550117</v>
      </c>
      <c r="BM128" s="43">
        <f t="shared" si="151"/>
        <v>85.090742163421581</v>
      </c>
    </row>
    <row r="129" spans="14:65" x14ac:dyDescent="0.25">
      <c r="N129" s="9">
        <v>11</v>
      </c>
      <c r="O129" s="34">
        <f t="shared" si="154"/>
        <v>128.82495516931343</v>
      </c>
      <c r="P129" s="33" t="str">
        <f t="shared" si="103"/>
        <v>19.1021967526266</v>
      </c>
      <c r="Q129" s="4" t="str">
        <f t="shared" si="104"/>
        <v>1+0.18167745978673i</v>
      </c>
      <c r="R129" s="4">
        <f t="shared" si="117"/>
        <v>1.016369371535053</v>
      </c>
      <c r="S129" s="4">
        <f t="shared" si="118"/>
        <v>0.17971727749304725</v>
      </c>
      <c r="T129" s="4" t="str">
        <f t="shared" si="105"/>
        <v>1+0.0030434608063473i</v>
      </c>
      <c r="U129" s="4">
        <f t="shared" si="119"/>
        <v>1.0000046313161153</v>
      </c>
      <c r="V129" s="4">
        <f t="shared" si="120"/>
        <v>3.0434514095583781E-3</v>
      </c>
      <c r="W129" t="str">
        <f t="shared" si="106"/>
        <v>1-0.00168631471982896i</v>
      </c>
      <c r="X129" s="4">
        <f t="shared" si="121"/>
        <v>1.0000014218276563</v>
      </c>
      <c r="Y129" s="4">
        <f t="shared" si="122"/>
        <v>-1.6863131213979469E-3</v>
      </c>
      <c r="Z129" t="str">
        <f t="shared" si="107"/>
        <v>0.999999983404131+0.00125461815155274i</v>
      </c>
      <c r="AA129" s="4">
        <f t="shared" si="123"/>
        <v>1.0000007704371876</v>
      </c>
      <c r="AB129" s="4">
        <f t="shared" si="124"/>
        <v>1.2546175140905873E-3</v>
      </c>
      <c r="AC129" s="47" t="str">
        <f t="shared" si="125"/>
        <v>18.4922840952653-3.35767281774275i</v>
      </c>
      <c r="AD129" s="20">
        <f t="shared" si="126"/>
        <v>25.48068078387001</v>
      </c>
      <c r="AE129" s="43">
        <f t="shared" si="127"/>
        <v>-10.291167498266432</v>
      </c>
      <c r="AF129" t="str">
        <f t="shared" si="108"/>
        <v>69.5520360182888</v>
      </c>
      <c r="AG129" t="str">
        <f t="shared" si="109"/>
        <v>1+0.144926705064157i</v>
      </c>
      <c r="AH129">
        <f t="shared" si="128"/>
        <v>1.0104473018622757</v>
      </c>
      <c r="AI129">
        <f t="shared" si="129"/>
        <v>0.14392463531909155</v>
      </c>
      <c r="AJ129" t="str">
        <f t="shared" si="110"/>
        <v>1+0.0030434608063473i</v>
      </c>
      <c r="AK129">
        <f t="shared" si="130"/>
        <v>1.0000046313161153</v>
      </c>
      <c r="AL129">
        <f t="shared" si="131"/>
        <v>3.0434514095583781E-3</v>
      </c>
      <c r="AM129" t="str">
        <f t="shared" si="111"/>
        <v>1-0.00036945304444133i</v>
      </c>
      <c r="AN129">
        <f t="shared" si="132"/>
        <v>1.0000000682477737</v>
      </c>
      <c r="AO129">
        <f t="shared" si="133"/>
        <v>-3.6945302763176564E-4</v>
      </c>
      <c r="AP129" s="41" t="str">
        <f t="shared" si="134"/>
        <v>68.1477106153324-9.69044047297653i</v>
      </c>
      <c r="AQ129">
        <f t="shared" si="135"/>
        <v>36.755964403587221</v>
      </c>
      <c r="AR129" s="43">
        <f t="shared" si="136"/>
        <v>-8.0930653500342427</v>
      </c>
      <c r="AS129" t="str">
        <f t="shared" si="112"/>
        <v>-0.0000166666666666667</v>
      </c>
      <c r="AT129" t="str">
        <f t="shared" si="113"/>
        <v>2.75206562276086E-06i</v>
      </c>
      <c r="AU129">
        <f t="shared" si="137"/>
        <v>2.7520656227608599E-6</v>
      </c>
      <c r="AV129">
        <f t="shared" si="138"/>
        <v>1.5707963267948966</v>
      </c>
      <c r="AW129" t="str">
        <f t="shared" si="114"/>
        <v>1+0.00279682239932479i</v>
      </c>
      <c r="AX129">
        <f t="shared" si="139"/>
        <v>1.0000039111001182</v>
      </c>
      <c r="AY129">
        <f t="shared" si="140"/>
        <v>2.7968151069098102E-3</v>
      </c>
      <c r="AZ129" t="str">
        <f t="shared" si="115"/>
        <v>1+0.0950919615770427i</v>
      </c>
      <c r="BA129">
        <f t="shared" si="141"/>
        <v>1.0045110657213139</v>
      </c>
      <c r="BB129">
        <f t="shared" si="142"/>
        <v>9.4806884246271553E-2</v>
      </c>
      <c r="BC129" s="41" t="str">
        <f t="shared" si="143"/>
        <v>-0.558940264526981+6.05762039745011i</v>
      </c>
      <c r="BD129">
        <f t="shared" si="144"/>
        <v>15.682859819211854</v>
      </c>
      <c r="BE129" s="43">
        <f t="shared" si="145"/>
        <v>95.271788634392323</v>
      </c>
      <c r="BF129" s="41" t="str">
        <f t="shared" si="146"/>
        <v>10.0034251848066+113.895975863866i</v>
      </c>
      <c r="BG129" s="20">
        <f t="shared" si="147"/>
        <v>41.163540603081906</v>
      </c>
      <c r="BH129" s="43">
        <f t="shared" si="148"/>
        <v>84.980621136125919</v>
      </c>
      <c r="BI129" s="41" t="str">
        <f t="shared" si="152"/>
        <v>20.6105104711367+418.229339224313i</v>
      </c>
      <c r="BJ129" s="20">
        <f t="shared" si="149"/>
        <v>52.438824222799063</v>
      </c>
      <c r="BK129" s="43">
        <f t="shared" si="153"/>
        <v>87.178723284358085</v>
      </c>
      <c r="BL129">
        <f t="shared" si="150"/>
        <v>41.163540603081906</v>
      </c>
      <c r="BM129" s="43">
        <f t="shared" si="151"/>
        <v>84.980621136125919</v>
      </c>
    </row>
    <row r="130" spans="14:65" x14ac:dyDescent="0.25">
      <c r="N130" s="9">
        <v>12</v>
      </c>
      <c r="O130" s="34">
        <f t="shared" si="154"/>
        <v>131.82567385564084</v>
      </c>
      <c r="P130" s="33" t="str">
        <f t="shared" si="103"/>
        <v>19.1021967526266</v>
      </c>
      <c r="Q130" s="4" t="str">
        <f t="shared" si="104"/>
        <v>1+0.18590927145513i</v>
      </c>
      <c r="R130" s="4">
        <f t="shared" si="117"/>
        <v>1.0171343358735743</v>
      </c>
      <c r="S130" s="4">
        <f t="shared" si="118"/>
        <v>0.18381080450342666</v>
      </c>
      <c r="T130" s="4" t="str">
        <f t="shared" si="105"/>
        <v>1+0.00311435211541633i</v>
      </c>
      <c r="U130" s="4">
        <f t="shared" si="119"/>
        <v>1.0000048495827902</v>
      </c>
      <c r="V130" s="4">
        <f t="shared" si="120"/>
        <v>3.11434204657823E-3</v>
      </c>
      <c r="W130" t="str">
        <f t="shared" si="106"/>
        <v>1-0.00172559403558086i</v>
      </c>
      <c r="X130" s="4">
        <f t="shared" si="121"/>
        <v>1.0000014888362796</v>
      </c>
      <c r="Y130" s="4">
        <f t="shared" si="122"/>
        <v>-1.7255923228313092E-3</v>
      </c>
      <c r="Z130" t="str">
        <f t="shared" si="107"/>
        <v>0.999999982621992+0.00128384196247216i</v>
      </c>
      <c r="AA130" s="4">
        <f t="shared" si="123"/>
        <v>1.000000806746759</v>
      </c>
      <c r="AB130" s="4">
        <f t="shared" si="124"/>
        <v>1.2838412794191865E-3</v>
      </c>
      <c r="AC130" s="47" t="str">
        <f t="shared" si="125"/>
        <v>18.4645000746128-3.43071776382819i</v>
      </c>
      <c r="AD130" s="20">
        <f t="shared" si="126"/>
        <v>25.47414802230594</v>
      </c>
      <c r="AE130" s="43">
        <f t="shared" si="127"/>
        <v>-10.525572515855323</v>
      </c>
      <c r="AF130" t="str">
        <f t="shared" si="108"/>
        <v>69.5520360182888</v>
      </c>
      <c r="AG130" t="str">
        <f t="shared" si="109"/>
        <v>1+0.148302481686492i</v>
      </c>
      <c r="AH130">
        <f t="shared" si="128"/>
        <v>1.0109370040088415</v>
      </c>
      <c r="AI130">
        <f t="shared" si="129"/>
        <v>0.14722937100110828</v>
      </c>
      <c r="AJ130" t="str">
        <f t="shared" si="110"/>
        <v>1+0.00311435211541633i</v>
      </c>
      <c r="AK130">
        <f t="shared" si="130"/>
        <v>1.0000048495827902</v>
      </c>
      <c r="AL130">
        <f t="shared" si="131"/>
        <v>3.11434204657823E-3</v>
      </c>
      <c r="AM130" t="str">
        <f t="shared" si="111"/>
        <v>1-0.000378058711353604i</v>
      </c>
      <c r="AN130">
        <f t="shared" si="132"/>
        <v>1.0000000714641919</v>
      </c>
      <c r="AO130">
        <f t="shared" si="133"/>
        <v>-3.7805869334183134E-4</v>
      </c>
      <c r="AP130" s="41" t="str">
        <f t="shared" si="134"/>
        <v>68.0829510947799-9.90655583049995i</v>
      </c>
      <c r="AQ130">
        <f t="shared" si="135"/>
        <v>36.751757826407903</v>
      </c>
      <c r="AR130" s="43">
        <f t="shared" si="136"/>
        <v>-8.2788440910369463</v>
      </c>
      <c r="AS130" t="str">
        <f t="shared" si="112"/>
        <v>-0.0000166666666666667</v>
      </c>
      <c r="AT130" t="str">
        <f t="shared" si="113"/>
        <v>2.81616946606796E-06i</v>
      </c>
      <c r="AU130">
        <f t="shared" si="137"/>
        <v>2.8161694660679598E-6</v>
      </c>
      <c r="AV130">
        <f t="shared" si="138"/>
        <v>1.5707963267948966</v>
      </c>
      <c r="AW130" t="str">
        <f t="shared" si="114"/>
        <v>1+0.0028619687618829i</v>
      </c>
      <c r="AX130">
        <f t="shared" si="139"/>
        <v>1.0000040954242109</v>
      </c>
      <c r="AY130">
        <f t="shared" si="140"/>
        <v>2.8619609479211957E-3</v>
      </c>
      <c r="AZ130" t="str">
        <f t="shared" si="115"/>
        <v>1+0.0973069379040187i</v>
      </c>
      <c r="BA130">
        <f t="shared" si="141"/>
        <v>1.0047231659339086</v>
      </c>
      <c r="BB130">
        <f t="shared" si="142"/>
        <v>9.7001549542924073E-2</v>
      </c>
      <c r="BC130" s="41" t="str">
        <f t="shared" si="143"/>
        <v>-0.558940058475531+5.91980411921055i</v>
      </c>
      <c r="BD130">
        <f t="shared" si="144"/>
        <v>15.484692030322229</v>
      </c>
      <c r="BE130" s="43">
        <f t="shared" si="145"/>
        <v>95.393801111591557</v>
      </c>
      <c r="BF130" s="41" t="str">
        <f t="shared" si="146"/>
        <v>9.9886283987334+111.223789188384i</v>
      </c>
      <c r="BG130" s="20">
        <f t="shared" si="147"/>
        <v>40.958840052628204</v>
      </c>
      <c r="BH130" s="43">
        <f t="shared" si="148"/>
        <v>84.868228595736255</v>
      </c>
      <c r="BI130" s="41" t="str">
        <f t="shared" si="152"/>
        <v>20.5905813464799+408.574905234079i</v>
      </c>
      <c r="BJ130" s="20">
        <f t="shared" si="149"/>
        <v>52.236449856730125</v>
      </c>
      <c r="BK130" s="43">
        <f t="shared" si="153"/>
        <v>87.114957020554613</v>
      </c>
      <c r="BL130">
        <f t="shared" si="150"/>
        <v>40.958840052628204</v>
      </c>
      <c r="BM130" s="43">
        <f t="shared" si="151"/>
        <v>84.868228595736255</v>
      </c>
    </row>
    <row r="131" spans="14:65" x14ac:dyDescent="0.25">
      <c r="N131" s="9">
        <v>13</v>
      </c>
      <c r="O131" s="34">
        <f t="shared" si="154"/>
        <v>134.89628825916537</v>
      </c>
      <c r="P131" s="33" t="str">
        <f t="shared" si="103"/>
        <v>19.1021967526266</v>
      </c>
      <c r="Q131" s="4" t="str">
        <f t="shared" si="104"/>
        <v>1+0.190239654680054i</v>
      </c>
      <c r="R131" s="4">
        <f t="shared" si="117"/>
        <v>1.0179347357334783</v>
      </c>
      <c r="S131" s="4">
        <f t="shared" si="118"/>
        <v>0.18799324092912323</v>
      </c>
      <c r="T131" s="4" t="str">
        <f t="shared" si="105"/>
        <v>1+0.00318689469520026i</v>
      </c>
      <c r="U131" s="4">
        <f t="shared" si="119"/>
        <v>1.0000050781360055</v>
      </c>
      <c r="V131" s="4">
        <f t="shared" si="120"/>
        <v>3.1868839062488131E-3</v>
      </c>
      <c r="W131" t="str">
        <f t="shared" si="106"/>
        <v>1-0.00176578828413135i</v>
      </c>
      <c r="X131" s="4">
        <f t="shared" si="121"/>
        <v>1.000001559002917</v>
      </c>
      <c r="Y131" s="4">
        <f t="shared" si="122"/>
        <v>-1.7657864488872957E-3</v>
      </c>
      <c r="Z131" t="str">
        <f t="shared" si="107"/>
        <v>0.999999981802991+0.00131374648339373i</v>
      </c>
      <c r="AA131" s="4">
        <f t="shared" si="123"/>
        <v>1.0000008447675457</v>
      </c>
      <c r="AB131" s="4">
        <f t="shared" si="124"/>
        <v>1.3137457514893166E-3</v>
      </c>
      <c r="AC131" s="47" t="str">
        <f t="shared" si="125"/>
        <v>18.4354960433844-3.50511173586744i</v>
      </c>
      <c r="AD131" s="20">
        <f t="shared" si="126"/>
        <v>25.467317904147272</v>
      </c>
      <c r="AE131" s="43">
        <f t="shared" si="127"/>
        <v>-10.765068482554815</v>
      </c>
      <c r="AF131" t="str">
        <f t="shared" si="108"/>
        <v>69.5520360182888</v>
      </c>
      <c r="AG131" t="str">
        <f t="shared" si="109"/>
        <v>1+0.151756890247632i</v>
      </c>
      <c r="AH131">
        <f t="shared" si="128"/>
        <v>1.0114495309888831</v>
      </c>
      <c r="AI131">
        <f t="shared" si="129"/>
        <v>0.15060773325784321</v>
      </c>
      <c r="AJ131" t="str">
        <f t="shared" si="110"/>
        <v>1+0.00318689469520026i</v>
      </c>
      <c r="AK131">
        <f t="shared" si="130"/>
        <v>1.0000050781360055</v>
      </c>
      <c r="AL131">
        <f t="shared" si="131"/>
        <v>3.1868839062488131E-3</v>
      </c>
      <c r="AM131" t="str">
        <f t="shared" si="111"/>
        <v>1-0.000386864829998834i</v>
      </c>
      <c r="AN131">
        <f t="shared" si="132"/>
        <v>1.0000000748321956</v>
      </c>
      <c r="AO131">
        <f t="shared" si="133"/>
        <v>-3.8686481069887191E-4</v>
      </c>
      <c r="AP131" s="41" t="str">
        <f t="shared" si="134"/>
        <v>68.0152738722117-10.1270386741511i</v>
      </c>
      <c r="AQ131">
        <f t="shared" si="135"/>
        <v>36.747357366037789</v>
      </c>
      <c r="AR131" s="43">
        <f t="shared" si="136"/>
        <v>-8.4687582009754596</v>
      </c>
      <c r="AS131" t="str">
        <f t="shared" si="112"/>
        <v>-0.0000166666666666667</v>
      </c>
      <c r="AT131" t="str">
        <f t="shared" si="113"/>
        <v>2.88176647970237E-06i</v>
      </c>
      <c r="AU131">
        <f t="shared" si="137"/>
        <v>2.88176647970237E-6</v>
      </c>
      <c r="AV131">
        <f t="shared" si="138"/>
        <v>1.5707963267948966</v>
      </c>
      <c r="AW131" t="str">
        <f t="shared" si="114"/>
        <v>1+0.0029286325781612i</v>
      </c>
      <c r="AX131">
        <f t="shared" si="139"/>
        <v>1.0000042884351936</v>
      </c>
      <c r="AY131">
        <f t="shared" si="140"/>
        <v>2.9286242053523227E-3</v>
      </c>
      <c r="AZ131" t="str">
        <f t="shared" si="115"/>
        <v>1+0.0995735076574807i</v>
      </c>
      <c r="BA131">
        <f t="shared" si="141"/>
        <v>1.0049452141421513</v>
      </c>
      <c r="BB131">
        <f t="shared" si="142"/>
        <v>9.9246365038286641E-2</v>
      </c>
      <c r="BC131" s="41" t="str">
        <f t="shared" si="143"/>
        <v>-0.558939842713338+5.78512659941726i</v>
      </c>
      <c r="BD131">
        <f t="shared" si="144"/>
        <v>15.286609761315725</v>
      </c>
      <c r="BE131" s="43">
        <f t="shared" si="145"/>
        <v>95.518600041962017</v>
      </c>
      <c r="BF131" s="41" t="str">
        <f t="shared" si="146"/>
        <v>9.97318187826469+108.610825136373i</v>
      </c>
      <c r="BG131" s="20">
        <f t="shared" si="147"/>
        <v>40.753927665462982</v>
      </c>
      <c r="BH131" s="43">
        <f t="shared" si="148"/>
        <v>84.753531559407193</v>
      </c>
      <c r="BI131" s="41" t="str">
        <f t="shared" si="152"/>
        <v>20.5697543269202+399.137375448464i</v>
      </c>
      <c r="BJ131" s="20">
        <f t="shared" si="149"/>
        <v>52.033967127353534</v>
      </c>
      <c r="BK131" s="43">
        <f t="shared" si="153"/>
        <v>87.049841840986574</v>
      </c>
      <c r="BL131">
        <f t="shared" si="150"/>
        <v>40.753927665462982</v>
      </c>
      <c r="BM131" s="43">
        <f t="shared" si="151"/>
        <v>84.753531559407193</v>
      </c>
    </row>
    <row r="132" spans="14:65" x14ac:dyDescent="0.25">
      <c r="N132" s="9">
        <v>14</v>
      </c>
      <c r="O132" s="34">
        <f t="shared" si="154"/>
        <v>138.0384264602886</v>
      </c>
      <c r="P132" s="33" t="str">
        <f t="shared" si="103"/>
        <v>19.1021967526266</v>
      </c>
      <c r="Q132" s="4" t="str">
        <f t="shared" si="104"/>
        <v>1+0.19467090548801i</v>
      </c>
      <c r="R132" s="4">
        <f t="shared" si="117"/>
        <v>1.0187721832890422</v>
      </c>
      <c r="S132" s="4">
        <f t="shared" si="118"/>
        <v>0.19226621876893699</v>
      </c>
      <c r="T132" s="4" t="str">
        <f t="shared" si="105"/>
        <v>1+0.00326112700873514i</v>
      </c>
      <c r="U132" s="4">
        <f t="shared" si="119"/>
        <v>1.0000053174605459</v>
      </c>
      <c r="V132" s="4">
        <f t="shared" si="120"/>
        <v>3.261115448168702E-3</v>
      </c>
      <c r="W132" t="str">
        <f t="shared" si="106"/>
        <v>1-0.00180691877700307i</v>
      </c>
      <c r="X132" s="4">
        <f t="shared" si="121"/>
        <v>1.0000016324764009</v>
      </c>
      <c r="Y132" s="4">
        <f t="shared" si="122"/>
        <v>-1.8069168105038095E-3</v>
      </c>
      <c r="Z132" t="str">
        <f t="shared" si="107"/>
        <v>0.999999980945393+0.00134434757009029i</v>
      </c>
      <c r="AA132" s="4">
        <f t="shared" si="123"/>
        <v>1.0000008845801964</v>
      </c>
      <c r="AB132" s="4">
        <f t="shared" si="124"/>
        <v>1.3443467858406182E-3</v>
      </c>
      <c r="AC132" s="47" t="str">
        <f t="shared" si="125"/>
        <v>18.4052226684683-3.58086293816858i</v>
      </c>
      <c r="AD132" s="20">
        <f t="shared" si="126"/>
        <v>25.460177394376387</v>
      </c>
      <c r="AE132" s="43">
        <f t="shared" si="127"/>
        <v>-11.009748830917831</v>
      </c>
      <c r="AF132" t="str">
        <f t="shared" si="108"/>
        <v>69.5520360182888</v>
      </c>
      <c r="AG132" t="str">
        <f t="shared" si="109"/>
        <v>1+0.155291762320721i</v>
      </c>
      <c r="AH132">
        <f t="shared" si="128"/>
        <v>1.0119859344104913</v>
      </c>
      <c r="AI132">
        <f t="shared" si="129"/>
        <v>0.15406120471513884</v>
      </c>
      <c r="AJ132" t="str">
        <f t="shared" si="110"/>
        <v>1+0.00326112700873514i</v>
      </c>
      <c r="AK132">
        <f t="shared" si="130"/>
        <v>1.0000053174605459</v>
      </c>
      <c r="AL132">
        <f t="shared" si="131"/>
        <v>3.261115448168702E-3</v>
      </c>
      <c r="AM132" t="str">
        <f t="shared" si="111"/>
        <v>1-0.000395876069497693i</v>
      </c>
      <c r="AN132">
        <f t="shared" si="132"/>
        <v>1.0000000783589282</v>
      </c>
      <c r="AO132">
        <f t="shared" si="133"/>
        <v>-3.9587604881741113E-4</v>
      </c>
      <c r="AP132" s="41" t="str">
        <f t="shared" si="134"/>
        <v>67.9445539520265-10.3519454867782i</v>
      </c>
      <c r="AQ132">
        <f t="shared" si="135"/>
        <v>36.74275429662957</v>
      </c>
      <c r="AR132" s="43">
        <f t="shared" si="136"/>
        <v>-8.6628906920009872</v>
      </c>
      <c r="AS132" t="str">
        <f t="shared" si="112"/>
        <v>-0.0000166666666666667</v>
      </c>
      <c r="AT132" t="str">
        <f t="shared" si="113"/>
        <v>2.94889144406902E-06i</v>
      </c>
      <c r="AU132">
        <f t="shared" si="137"/>
        <v>2.9488914440690202E-6</v>
      </c>
      <c r="AV132">
        <f t="shared" si="138"/>
        <v>1.5707963267948966</v>
      </c>
      <c r="AW132" t="str">
        <f t="shared" si="114"/>
        <v>1+0.00299684919419747i</v>
      </c>
      <c r="AX132">
        <f t="shared" si="139"/>
        <v>1.0000044905424639</v>
      </c>
      <c r="AY132">
        <f t="shared" si="140"/>
        <v>2.996840222573295E-3</v>
      </c>
      <c r="AZ132" t="str">
        <f t="shared" si="115"/>
        <v>1+0.101892872602714i</v>
      </c>
      <c r="BA132">
        <f t="shared" si="141"/>
        <v>1.0051776745865544</v>
      </c>
      <c r="BB132">
        <f t="shared" si="142"/>
        <v>0.10154243041700763</v>
      </c>
      <c r="BC132" s="41" t="str">
        <f t="shared" si="143"/>
        <v>-0.558939616782761+5.6535164302626i</v>
      </c>
      <c r="BD132">
        <f t="shared" si="144"/>
        <v>15.088616963389423</v>
      </c>
      <c r="BE132" s="43">
        <f t="shared" si="145"/>
        <v>95.646246407766867</v>
      </c>
      <c r="BF132" s="41" t="str">
        <f t="shared" si="146"/>
        <v>9.95705935033942+106.055714917239i</v>
      </c>
      <c r="BG132" s="20">
        <f t="shared" si="147"/>
        <v>40.548794357765829</v>
      </c>
      <c r="BH132" s="43">
        <f t="shared" si="148"/>
        <v>84.636497576849038</v>
      </c>
      <c r="BI132" s="41" t="str">
        <f t="shared" si="152"/>
        <v>20.547990946262+389.911764557981i</v>
      </c>
      <c r="BJ132" s="20">
        <f t="shared" si="149"/>
        <v>51.83137126001899</v>
      </c>
      <c r="BK132" s="43">
        <f t="shared" si="153"/>
        <v>86.983355715765867</v>
      </c>
      <c r="BL132">
        <f t="shared" si="150"/>
        <v>40.548794357765829</v>
      </c>
      <c r="BM132" s="43">
        <f t="shared" si="151"/>
        <v>84.636497576849038</v>
      </c>
    </row>
    <row r="133" spans="14:65" x14ac:dyDescent="0.25">
      <c r="N133" s="9">
        <v>15</v>
      </c>
      <c r="O133" s="34">
        <f t="shared" si="154"/>
        <v>141.25375446227542</v>
      </c>
      <c r="P133" s="33" t="str">
        <f t="shared" si="103"/>
        <v>19.1021967526266</v>
      </c>
      <c r="Q133" s="4" t="str">
        <f t="shared" si="104"/>
        <v>1+0.19920537338683i</v>
      </c>
      <c r="R133" s="4">
        <f t="shared" si="117"/>
        <v>1.0196483613413923</v>
      </c>
      <c r="S133" s="4">
        <f t="shared" si="118"/>
        <v>0.19663137917088938</v>
      </c>
      <c r="T133" s="4" t="str">
        <f t="shared" si="105"/>
        <v>1+0.00333708841497617i</v>
      </c>
      <c r="U133" s="4">
        <f t="shared" si="119"/>
        <v>1.0000055680640429</v>
      </c>
      <c r="V133" s="4">
        <f t="shared" si="120"/>
        <v>3.3370760276097769E-3</v>
      </c>
      <c r="W133" t="str">
        <f t="shared" si="106"/>
        <v>1-0.00184900732212775i</v>
      </c>
      <c r="X133" s="4">
        <f t="shared" si="121"/>
        <v>1.0000017094125777</v>
      </c>
      <c r="Y133" s="4">
        <f t="shared" si="122"/>
        <v>-1.849005214986023E-3</v>
      </c>
      <c r="Z133" t="str">
        <f t="shared" si="107"/>
        <v>0.999999980047377+0.00137566144766305i</v>
      </c>
      <c r="AA133" s="4">
        <f t="shared" si="123"/>
        <v>1.0000009262691574</v>
      </c>
      <c r="AB133" s="4">
        <f t="shared" si="124"/>
        <v>1.3756606073244287E-3</v>
      </c>
      <c r="AC133" s="47" t="str">
        <f t="shared" si="125"/>
        <v>18.3736290143969-3.65797833279207i</v>
      </c>
      <c r="AD133" s="20">
        <f t="shared" si="126"/>
        <v>25.452712932930204</v>
      </c>
      <c r="AE133" s="43">
        <f t="shared" si="127"/>
        <v>-11.259707515990689</v>
      </c>
      <c r="AF133" t="str">
        <f t="shared" si="108"/>
        <v>69.5520360182888</v>
      </c>
      <c r="AG133" t="str">
        <f t="shared" si="109"/>
        <v>1+0.158908972141723i</v>
      </c>
      <c r="AH133">
        <f t="shared" si="128"/>
        <v>1.0125473131795566</v>
      </c>
      <c r="AI133">
        <f t="shared" si="129"/>
        <v>0.15759128677798712</v>
      </c>
      <c r="AJ133" t="str">
        <f t="shared" si="110"/>
        <v>1+0.00333708841497617i</v>
      </c>
      <c r="AK133">
        <f t="shared" si="130"/>
        <v>1.0000055680640429</v>
      </c>
      <c r="AL133">
        <f t="shared" si="131"/>
        <v>3.3370760276097769E-3</v>
      </c>
      <c r="AM133" t="str">
        <f t="shared" si="111"/>
        <v>1-0.000405097207728638i</v>
      </c>
      <c r="AN133">
        <f t="shared" si="132"/>
        <v>1.0000000820518704</v>
      </c>
      <c r="AO133">
        <f t="shared" si="133"/>
        <v>-4.0509718556931684E-4</v>
      </c>
      <c r="AP133" s="41" t="str">
        <f t="shared" si="134"/>
        <v>67.8706615906736-10.5813311139009i</v>
      </c>
      <c r="AQ133">
        <f t="shared" si="135"/>
        <v>36.737939519405444</v>
      </c>
      <c r="AR133" s="43">
        <f t="shared" si="136"/>
        <v>-8.8613256071439235</v>
      </c>
      <c r="AS133" t="str">
        <f t="shared" si="112"/>
        <v>-0.0000166666666666667</v>
      </c>
      <c r="AT133" t="str">
        <f t="shared" si="113"/>
        <v>3.01757994971249E-06i</v>
      </c>
      <c r="AU133">
        <f t="shared" si="137"/>
        <v>3.0175799497124899E-6</v>
      </c>
      <c r="AV133">
        <f t="shared" si="138"/>
        <v>1.5707963267948966</v>
      </c>
      <c r="AW133" t="str">
        <f t="shared" si="114"/>
        <v>1+0.0030666547793445i</v>
      </c>
      <c r="AX133">
        <f t="shared" si="139"/>
        <v>1.0000047021747127</v>
      </c>
      <c r="AY133">
        <f t="shared" si="140"/>
        <v>3.0666451660784385E-3</v>
      </c>
      <c r="AZ133" t="str">
        <f t="shared" si="115"/>
        <v>1+0.104266262497713i</v>
      </c>
      <c r="BA133">
        <f t="shared" si="141"/>
        <v>1.0054210329485067</v>
      </c>
      <c r="BB133">
        <f t="shared" si="142"/>
        <v>0.10389086619294992</v>
      </c>
      <c r="BC133" s="41" t="str">
        <f t="shared" si="143"/>
        <v>-0.558939380204606+5.52490383028858i</v>
      </c>
      <c r="BD133">
        <f t="shared" si="144"/>
        <v>14.890717766428466</v>
      </c>
      <c r="BE133" s="43">
        <f t="shared" si="145"/>
        <v>95.776802337533908</v>
      </c>
      <c r="BF133" s="41" t="str">
        <f t="shared" si="146"/>
        <v>9.94023368853917+103.557121460076i</v>
      </c>
      <c r="BG133" s="20">
        <f t="shared" si="147"/>
        <v>40.343430699358713</v>
      </c>
      <c r="BH133" s="43">
        <f t="shared" si="148"/>
        <v>84.517094821543253</v>
      </c>
      <c r="BI133" s="41" t="str">
        <f t="shared" si="152"/>
        <v>20.5252512771752+380.893200841076i</v>
      </c>
      <c r="BJ133" s="20">
        <f t="shared" si="149"/>
        <v>51.628657285833903</v>
      </c>
      <c r="BK133" s="43">
        <f t="shared" si="153"/>
        <v>86.915476730389983</v>
      </c>
      <c r="BL133">
        <f t="shared" si="150"/>
        <v>40.343430699358713</v>
      </c>
      <c r="BM133" s="43">
        <f t="shared" si="151"/>
        <v>84.517094821543253</v>
      </c>
    </row>
    <row r="134" spans="14:65" x14ac:dyDescent="0.25">
      <c r="N134" s="9">
        <v>16</v>
      </c>
      <c r="O134" s="34">
        <f t="shared" si="154"/>
        <v>144.54397707459285</v>
      </c>
      <c r="P134" s="33" t="str">
        <f t="shared" si="103"/>
        <v>19.1021967526266</v>
      </c>
      <c r="Q134" s="4" t="str">
        <f t="shared" si="104"/>
        <v>1+0.203845462611414i</v>
      </c>
      <c r="R134" s="4">
        <f t="shared" si="117"/>
        <v>1.0205650261630865</v>
      </c>
      <c r="S134" s="4">
        <f t="shared" si="118"/>
        <v>0.20109037087000475</v>
      </c>
      <c r="T134" s="4" t="str">
        <f t="shared" si="105"/>
        <v>1+0.0034148191896664i</v>
      </c>
      <c r="U134" s="4">
        <f t="shared" si="119"/>
        <v>1.0000058304780519</v>
      </c>
      <c r="V134" s="4">
        <f t="shared" si="120"/>
        <v>3.4148059163683487E-3</v>
      </c>
      <c r="W134" t="str">
        <f t="shared" si="106"/>
        <v>1-0.00189207623540914i</v>
      </c>
      <c r="X134" s="4">
        <f t="shared" si="121"/>
        <v>1.0000017899746383</v>
      </c>
      <c r="Y134" s="4">
        <f t="shared" si="122"/>
        <v>-1.8920739775663189E-3</v>
      </c>
      <c r="Z134" t="str">
        <f t="shared" si="107"/>
        <v>0.999999979107039+0.0014077047191444i</v>
      </c>
      <c r="AA134" s="4">
        <f t="shared" si="123"/>
        <v>1.0000009699228569</v>
      </c>
      <c r="AB134" s="4">
        <f t="shared" si="124"/>
        <v>1.4077038187053912E-3</v>
      </c>
      <c r="AC134" s="47" t="str">
        <f t="shared" si="125"/>
        <v>18.3406625285707-3.73646353334584i</v>
      </c>
      <c r="AD134" s="20">
        <f t="shared" si="126"/>
        <v>25.444910417841452</v>
      </c>
      <c r="AE134" s="43">
        <f t="shared" si="127"/>
        <v>-11.515038925764866</v>
      </c>
      <c r="AF134" t="str">
        <f t="shared" si="108"/>
        <v>69.5520360182888</v>
      </c>
      <c r="AG134" t="str">
        <f t="shared" si="109"/>
        <v>1+0.162610437603162i</v>
      </c>
      <c r="AH134">
        <f t="shared" si="128"/>
        <v>1.0131348155193818</v>
      </c>
      <c r="AI134">
        <f t="shared" si="129"/>
        <v>0.16119949904203032</v>
      </c>
      <c r="AJ134" t="str">
        <f t="shared" si="110"/>
        <v>1+0.0034148191896664i</v>
      </c>
      <c r="AK134">
        <f t="shared" si="130"/>
        <v>1.0000058304780519</v>
      </c>
      <c r="AL134">
        <f t="shared" si="131"/>
        <v>3.4148059163683487E-3</v>
      </c>
      <c r="AM134" t="str">
        <f t="shared" si="111"/>
        <v>1-0.000414533133861216i</v>
      </c>
      <c r="AN134">
        <f t="shared" si="132"/>
        <v>1.0000000859188558</v>
      </c>
      <c r="AO134">
        <f t="shared" si="133"/>
        <v>-4.1453311011707575E-4</v>
      </c>
      <c r="AP134" s="41" t="str">
        <f t="shared" si="134"/>
        <v>67.7934621740651-10.8152485469396i</v>
      </c>
      <c r="AQ134">
        <f t="shared" si="135"/>
        <v>36.732903548576111</v>
      </c>
      <c r="AR134" s="43">
        <f t="shared" si="136"/>
        <v>-9.0641479855454214</v>
      </c>
      <c r="AS134" t="str">
        <f t="shared" si="112"/>
        <v>-0.0000166666666666667</v>
      </c>
      <c r="AT134" t="str">
        <f t="shared" si="113"/>
        <v>3.08786841618771E-06i</v>
      </c>
      <c r="AU134">
        <f t="shared" si="137"/>
        <v>3.08786841618771E-6</v>
      </c>
      <c r="AV134">
        <f t="shared" si="138"/>
        <v>1.5707963267948966</v>
      </c>
      <c r="AW134" t="str">
        <f t="shared" si="114"/>
        <v>1+0.00313808634544751i</v>
      </c>
      <c r="AX134">
        <f t="shared" si="139"/>
        <v>1.0000049237808339</v>
      </c>
      <c r="AY134">
        <f t="shared" si="140"/>
        <v>3.138076044650078E-3</v>
      </c>
      <c r="AZ134" t="str">
        <f t="shared" si="115"/>
        <v>1+0.106694935745215i</v>
      </c>
      <c r="BA134">
        <f t="shared" si="141"/>
        <v>1.0056757973192332</v>
      </c>
      <c r="BB134">
        <f t="shared" si="142"/>
        <v>0.10629281386536323</v>
      </c>
      <c r="BC134" s="41" t="str">
        <f t="shared" si="143"/>
        <v>-0.558939132477074+5.39922060738771i</v>
      </c>
      <c r="BD134">
        <f t="shared" si="144"/>
        <v>14.69291648671836</v>
      </c>
      <c r="BE134" s="43">
        <f t="shared" si="145"/>
        <v>95.9103311139054</v>
      </c>
      <c r="BF134" s="41" t="str">
        <f t="shared" si="146"/>
        <v>9.92267690521947+101.113738763263i</v>
      </c>
      <c r="BG134" s="20">
        <f t="shared" si="147"/>
        <v>40.137826904559802</v>
      </c>
      <c r="BH134" s="43">
        <f t="shared" si="148"/>
        <v>84.395292188140516</v>
      </c>
      <c r="BI134" s="41" t="str">
        <f t="shared" si="152"/>
        <v>20.501493893467+372.076923656722i</v>
      </c>
      <c r="BJ134" s="20">
        <f t="shared" si="149"/>
        <v>51.425820035294478</v>
      </c>
      <c r="BK134" s="43">
        <f t="shared" si="153"/>
        <v>86.846183128359968</v>
      </c>
      <c r="BL134">
        <f t="shared" si="150"/>
        <v>40.137826904559802</v>
      </c>
      <c r="BM134" s="43">
        <f t="shared" si="151"/>
        <v>84.395292188140516</v>
      </c>
    </row>
    <row r="135" spans="14:65" x14ac:dyDescent="0.25">
      <c r="N135" s="9">
        <v>17</v>
      </c>
      <c r="O135" s="34">
        <f t="shared" si="154"/>
        <v>147.91083881682084</v>
      </c>
      <c r="P135" s="33" t="str">
        <f t="shared" si="103"/>
        <v>19.1021967526266</v>
      </c>
      <c r="Q135" s="4" t="str">
        <f t="shared" si="104"/>
        <v>1+0.208593633398488i</v>
      </c>
      <c r="R135" s="4">
        <f t="shared" si="117"/>
        <v>1.0215240104345971</v>
      </c>
      <c r="S135" s="4">
        <f t="shared" si="118"/>
        <v>0.20564484849476936</v>
      </c>
      <c r="T135" s="4" t="str">
        <f t="shared" si="105"/>
        <v>1+0.00349436054669147i</v>
      </c>
      <c r="U135" s="4">
        <f t="shared" si="119"/>
        <v>1.000006105259178</v>
      </c>
      <c r="V135" s="4">
        <f t="shared" si="120"/>
        <v>3.4943463241010535E-3</v>
      </c>
      <c r="W135" t="str">
        <f t="shared" si="106"/>
        <v>1-0.00193614835255512i</v>
      </c>
      <c r="X135" s="4">
        <f t="shared" si="121"/>
        <v>1.0000018743334651</v>
      </c>
      <c r="Y135" s="4">
        <f t="shared" si="122"/>
        <v>-1.9361459332331941E-3</v>
      </c>
      <c r="Z135" t="str">
        <f t="shared" si="107"/>
        <v>0.999999978122384+0.00144049437430101i</v>
      </c>
      <c r="AA135" s="4">
        <f t="shared" si="123"/>
        <v>1.0000010156338897</v>
      </c>
      <c r="AB135" s="4">
        <f t="shared" si="124"/>
        <v>1.440493409463282E-3</v>
      </c>
      <c r="AC135" s="47" t="str">
        <f t="shared" si="125"/>
        <v>18.30626903044-3.81632269345874i</v>
      </c>
      <c r="AD135" s="20">
        <f t="shared" si="126"/>
        <v>25.436755188245897</v>
      </c>
      <c r="AE135" s="43">
        <f t="shared" si="127"/>
        <v>-11.775837784103835</v>
      </c>
      <c r="AF135" t="str">
        <f t="shared" si="108"/>
        <v>69.5520360182888</v>
      </c>
      <c r="AG135" t="str">
        <f t="shared" si="109"/>
        <v>1+0.166398121271023i</v>
      </c>
      <c r="AH135">
        <f t="shared" si="128"/>
        <v>1.0137496410665339</v>
      </c>
      <c r="AI135">
        <f t="shared" si="129"/>
        <v>0.16488737862958197</v>
      </c>
      <c r="AJ135" t="str">
        <f t="shared" si="110"/>
        <v>1+0.00349436054669147i</v>
      </c>
      <c r="AK135">
        <f t="shared" si="130"/>
        <v>1.000006105259178</v>
      </c>
      <c r="AL135">
        <f t="shared" si="131"/>
        <v>3.4943463241010535E-3</v>
      </c>
      <c r="AM135" t="str">
        <f t="shared" si="111"/>
        <v>1-0.000424188850948362i</v>
      </c>
      <c r="AN135">
        <f t="shared" si="132"/>
        <v>1.0000000899680865</v>
      </c>
      <c r="AO135">
        <f t="shared" si="133"/>
        <v>-4.2418882550605743E-4</v>
      </c>
      <c r="AP135" s="41" t="str">
        <f t="shared" si="134"/>
        <v>67.712816097706-11.0537486922639i</v>
      </c>
      <c r="AQ135">
        <f t="shared" si="135"/>
        <v>36.72763649690495</v>
      </c>
      <c r="AR135" s="43">
        <f t="shared" si="136"/>
        <v>-9.2714438233407126</v>
      </c>
      <c r="AS135" t="str">
        <f t="shared" si="112"/>
        <v>-0.0000166666666666667</v>
      </c>
      <c r="AT135" t="str">
        <f t="shared" si="113"/>
        <v>3.15979411136995E-06i</v>
      </c>
      <c r="AU135">
        <f t="shared" si="137"/>
        <v>3.1597941113699498E-6</v>
      </c>
      <c r="AV135">
        <f t="shared" si="138"/>
        <v>1.5707963267948966</v>
      </c>
      <c r="AW135" t="str">
        <f t="shared" si="114"/>
        <v>1+0.00321118176646836i</v>
      </c>
      <c r="AX135">
        <f t="shared" si="139"/>
        <v>1.0000051558308773</v>
      </c>
      <c r="AY135">
        <f t="shared" si="140"/>
        <v>3.2111707289681256E-3</v>
      </c>
      <c r="AZ135" t="str">
        <f t="shared" si="115"/>
        <v>1+0.109180180059924i</v>
      </c>
      <c r="BA135">
        <f t="shared" si="141"/>
        <v>1.0059424992105253</v>
      </c>
      <c r="BB135">
        <f t="shared" si="142"/>
        <v>0.10874943605674371</v>
      </c>
      <c r="BC135" s="41" t="str">
        <f t="shared" si="143"/>
        <v>-0.558938873074743+5.27640012264673i</v>
      </c>
      <c r="BD135">
        <f t="shared" si="144"/>
        <v>14.495217634955132</v>
      </c>
      <c r="BE135" s="43">
        <f t="shared" si="145"/>
        <v>96.046897180413396</v>
      </c>
      <c r="BF135" s="41" t="str">
        <f t="shared" si="146"/>
        <v>9.90436014574799+98.724291262989i</v>
      </c>
      <c r="BG135" s="20">
        <f t="shared" si="147"/>
        <v>39.931972823201029</v>
      </c>
      <c r="BH135" s="43">
        <f t="shared" si="148"/>
        <v>84.271059396309582</v>
      </c>
      <c r="BI135" s="41" t="str">
        <f t="shared" si="152"/>
        <v>20.4766758331983+363.458280999997i</v>
      </c>
      <c r="BJ135" s="20">
        <f t="shared" si="149"/>
        <v>51.222854131860089</v>
      </c>
      <c r="BK135" s="43">
        <f t="shared" si="153"/>
        <v>86.775453357072706</v>
      </c>
      <c r="BL135">
        <f t="shared" si="150"/>
        <v>39.931972823201029</v>
      </c>
      <c r="BM135" s="43">
        <f t="shared" si="151"/>
        <v>84.271059396309582</v>
      </c>
    </row>
    <row r="136" spans="14:65" x14ac:dyDescent="0.25">
      <c r="N136" s="9">
        <v>18</v>
      </c>
      <c r="O136" s="34">
        <f t="shared" si="154"/>
        <v>151.3561248436209</v>
      </c>
      <c r="P136" s="33" t="str">
        <f t="shared" si="103"/>
        <v>19.1021967526266</v>
      </c>
      <c r="Q136" s="4" t="str">
        <f t="shared" si="104"/>
        <v>1+0.213452403291054i</v>
      </c>
      <c r="R136" s="4">
        <f t="shared" si="117"/>
        <v>1.022527226273573</v>
      </c>
      <c r="S136" s="4">
        <f t="shared" si="118"/>
        <v>0.21029647073580957</v>
      </c>
      <c r="T136" s="4" t="str">
        <f t="shared" si="105"/>
        <v>1+0.00357575465993173i</v>
      </c>
      <c r="U136" s="4">
        <f t="shared" si="119"/>
        <v>1.000006392990259</v>
      </c>
      <c r="V136" s="4">
        <f t="shared" si="120"/>
        <v>3.5757394201567901E-3</v>
      </c>
      <c r="W136" t="str">
        <f t="shared" si="106"/>
        <v>1-0.00198124704118558i</v>
      </c>
      <c r="X136" s="4">
        <f t="shared" si="121"/>
        <v>1.000001962667993</v>
      </c>
      <c r="Y136" s="4">
        <f t="shared" si="122"/>
        <v>-1.9812444488357052E-3</v>
      </c>
      <c r="Z136" t="str">
        <f t="shared" si="107"/>
        <v>0.999999977091323+0.00147404779864207i</v>
      </c>
      <c r="AA136" s="4">
        <f t="shared" si="123"/>
        <v>1.0000010634992142</v>
      </c>
      <c r="AB136" s="4">
        <f t="shared" si="124"/>
        <v>1.4740467647998785E-3</v>
      </c>
      <c r="AC136" s="47" t="str">
        <f t="shared" si="125"/>
        <v>18.2703927051241-3.89755838986818i</v>
      </c>
      <c r="AD136" s="20">
        <f t="shared" si="126"/>
        <v>25.428232007299492</v>
      </c>
      <c r="AE136" s="43">
        <f t="shared" si="127"/>
        <v>-12.042199045774732</v>
      </c>
      <c r="AF136" t="str">
        <f t="shared" si="108"/>
        <v>69.5520360182888</v>
      </c>
      <c r="AG136" t="str">
        <f t="shared" si="109"/>
        <v>1+0.170274031425321i</v>
      </c>
      <c r="AH136">
        <f t="shared" si="128"/>
        <v>1.01439304304487</v>
      </c>
      <c r="AI136">
        <f t="shared" si="129"/>
        <v>0.1686564794452525</v>
      </c>
      <c r="AJ136" t="str">
        <f t="shared" si="110"/>
        <v>1+0.00357575465993173i</v>
      </c>
      <c r="AK136">
        <f t="shared" si="130"/>
        <v>1.000006392990259</v>
      </c>
      <c r="AL136">
        <f t="shared" si="131"/>
        <v>3.5757394201567901E-3</v>
      </c>
      <c r="AM136" t="str">
        <f t="shared" si="111"/>
        <v>1-0.000434069478579084i</v>
      </c>
      <c r="AN136">
        <f t="shared" si="132"/>
        <v>1.0000000942081517</v>
      </c>
      <c r="AO136">
        <f t="shared" si="133"/>
        <v>-4.3406945131716363E-4</v>
      </c>
      <c r="AP136" s="41" t="str">
        <f t="shared" si="134"/>
        <v>67.6285786503184-11.2968801254625i</v>
      </c>
      <c r="AQ136">
        <f t="shared" si="135"/>
        <v>36.722128060926224</v>
      </c>
      <c r="AR136" s="43">
        <f t="shared" si="136"/>
        <v>-9.483300029910346</v>
      </c>
      <c r="AS136" t="str">
        <f t="shared" si="112"/>
        <v>-0.0000166666666666667</v>
      </c>
      <c r="AT136" t="str">
        <f t="shared" si="113"/>
        <v>3.23339517121487E-06i</v>
      </c>
      <c r="AU136">
        <f t="shared" si="137"/>
        <v>3.23339517121487E-6</v>
      </c>
      <c r="AV136">
        <f t="shared" si="138"/>
        <v>1.5707963267948966</v>
      </c>
      <c r="AW136" t="str">
        <f t="shared" si="114"/>
        <v>1+0.0032859797985668i</v>
      </c>
      <c r="AX136">
        <f t="shared" si="139"/>
        <v>1.0000053988170448</v>
      </c>
      <c r="AY136">
        <f t="shared" si="140"/>
        <v>3.285967971675666E-3</v>
      </c>
      <c r="AZ136" t="str">
        <f t="shared" si="115"/>
        <v>1+0.111723313151271i</v>
      </c>
      <c r="BA136">
        <f t="shared" si="141"/>
        <v>1.0062216946088456</v>
      </c>
      <c r="BB136">
        <f t="shared" si="142"/>
        <v>0.11126191663056292</v>
      </c>
      <c r="BC136" s="41" t="str">
        <f t="shared" si="143"/>
        <v>-0.558938601447411+5.15637725501363i</v>
      </c>
      <c r="BD136">
        <f t="shared" si="144"/>
        <v>14.297625924560762</v>
      </c>
      <c r="BE136" s="43">
        <f t="shared" si="145"/>
        <v>96.18656614707551</v>
      </c>
      <c r="BF136" s="41" t="str">
        <f t="shared" si="146"/>
        <v>9.88525368510678+96.3875332203614i</v>
      </c>
      <c r="BG136" s="20">
        <f t="shared" si="147"/>
        <v>39.725857931860261</v>
      </c>
      <c r="BH136" s="43">
        <f t="shared" si="148"/>
        <v>84.144367101300773</v>
      </c>
      <c r="BI136" s="41" t="str">
        <f t="shared" si="152"/>
        <v>20.4507525628651+355.032727119447i</v>
      </c>
      <c r="BJ136" s="20">
        <f t="shared" si="149"/>
        <v>51.019753985486972</v>
      </c>
      <c r="BK136" s="43">
        <f t="shared" si="153"/>
        <v>86.703266117165171</v>
      </c>
      <c r="BL136">
        <f t="shared" si="150"/>
        <v>39.725857931860261</v>
      </c>
      <c r="BM136" s="43">
        <f t="shared" si="151"/>
        <v>84.144367101300773</v>
      </c>
    </row>
    <row r="137" spans="14:65" x14ac:dyDescent="0.25">
      <c r="N137" s="9">
        <v>19</v>
      </c>
      <c r="O137" s="34">
        <f t="shared" si="154"/>
        <v>154.8816618912482</v>
      </c>
      <c r="P137" s="33" t="str">
        <f t="shared" si="103"/>
        <v>19.1021967526266</v>
      </c>
      <c r="Q137" s="4" t="str">
        <f t="shared" si="104"/>
        <v>1+0.218424348473221i</v>
      </c>
      <c r="R137" s="4">
        <f t="shared" si="117"/>
        <v>1.0235766683575545</v>
      </c>
      <c r="S137" s="4">
        <f t="shared" si="118"/>
        <v>0.21504689837026375</v>
      </c>
      <c r="T137" s="4" t="str">
        <f t="shared" si="105"/>
        <v>1+0.00365904468562339i</v>
      </c>
      <c r="U137" s="4">
        <f t="shared" si="119"/>
        <v>1.0000066942815991</v>
      </c>
      <c r="V137" s="4">
        <f t="shared" si="120"/>
        <v>3.6590283559162383E-3</v>
      </c>
      <c r="W137" t="str">
        <f t="shared" si="106"/>
        <v>1-0.00202739621322218i</v>
      </c>
      <c r="X137" s="4">
        <f t="shared" si="121"/>
        <v>1.0000020551655908</v>
      </c>
      <c r="Y137" s="4">
        <f t="shared" si="122"/>
        <v>-2.0273934354695516E-3</v>
      </c>
      <c r="Z137" t="str">
        <f t="shared" si="107"/>
        <v>0.999999976011671+0.0015083827826373i</v>
      </c>
      <c r="AA137" s="4">
        <f t="shared" si="123"/>
        <v>1.0000011136203608</v>
      </c>
      <c r="AB137" s="4">
        <f t="shared" si="124"/>
        <v>1.5083816748554988E-3</v>
      </c>
      <c r="AC137" s="47" t="str">
        <f t="shared" si="125"/>
        <v>18.2329761019807-3.98017150008336i</v>
      </c>
      <c r="AD137" s="20">
        <f t="shared" si="126"/>
        <v>25.419325045054858</v>
      </c>
      <c r="AE137" s="43">
        <f t="shared" si="127"/>
        <v>-12.314217783211191</v>
      </c>
      <c r="AF137" t="str">
        <f t="shared" si="108"/>
        <v>69.5520360182888</v>
      </c>
      <c r="AG137" t="str">
        <f t="shared" si="109"/>
        <v>1+0.174240223124924i</v>
      </c>
      <c r="AH137">
        <f t="shared" si="128"/>
        <v>1.0150663305196479</v>
      </c>
      <c r="AI137">
        <f t="shared" si="129"/>
        <v>0.17250837134612992</v>
      </c>
      <c r="AJ137" t="str">
        <f t="shared" si="110"/>
        <v>1+0.00365904468562339i</v>
      </c>
      <c r="AK137">
        <f t="shared" si="130"/>
        <v>1.0000066942815991</v>
      </c>
      <c r="AL137">
        <f t="shared" si="131"/>
        <v>3.6590283559162383E-3</v>
      </c>
      <c r="AM137" t="str">
        <f t="shared" si="111"/>
        <v>1-0.000444180255592938i</v>
      </c>
      <c r="AN137">
        <f t="shared" si="132"/>
        <v>1.0000000986480448</v>
      </c>
      <c r="AO137">
        <f t="shared" si="133"/>
        <v>-4.4418022638126418E-4</v>
      </c>
      <c r="AP137" s="41" t="str">
        <f t="shared" si="134"/>
        <v>67.5405999018114-11.5446888302514i</v>
      </c>
      <c r="AQ137">
        <f t="shared" si="135"/>
        <v>36.716367505829091</v>
      </c>
      <c r="AR137" s="43">
        <f t="shared" si="136"/>
        <v>-9.699804379210871</v>
      </c>
      <c r="AS137" t="str">
        <f t="shared" si="112"/>
        <v>-0.0000166666666666667</v>
      </c>
      <c r="AT137" t="str">
        <f t="shared" si="113"/>
        <v>0.0000033087106199786i</v>
      </c>
      <c r="AU137">
        <f t="shared" si="137"/>
        <v>3.3087106199785999E-6</v>
      </c>
      <c r="AV137">
        <f t="shared" si="138"/>
        <v>1.5707963267948966</v>
      </c>
      <c r="AW137" t="str">
        <f t="shared" si="114"/>
        <v>1+0.00336252010064953i</v>
      </c>
      <c r="AX137">
        <f t="shared" si="139"/>
        <v>1.0000056532547341</v>
      </c>
      <c r="AY137">
        <f t="shared" si="140"/>
        <v>3.362507427911228E-3</v>
      </c>
      <c r="AZ137" t="str">
        <f t="shared" si="115"/>
        <v>1+0.114325683422084i</v>
      </c>
      <c r="BA137">
        <f t="shared" si="141"/>
        <v>1.0065139650744677</v>
      </c>
      <c r="BB137">
        <f t="shared" si="142"/>
        <v>0.11383146078694543</v>
      </c>
      <c r="BC137" s="41" t="str">
        <f t="shared" si="143"/>
        <v>-0.558938317018964+5.03908836676974i</v>
      </c>
      <c r="BD137">
        <f t="shared" si="144"/>
        <v>14.100146280312504</v>
      </c>
      <c r="BE137" s="43">
        <f t="shared" si="145"/>
        <v>96.329404794700181</v>
      </c>
      <c r="BF137" s="41" t="str">
        <f t="shared" si="146"/>
        <v>9.86532692713044+94.1022481267851i</v>
      </c>
      <c r="BG137" s="20">
        <f t="shared" si="147"/>
        <v>39.519471325367363</v>
      </c>
      <c r="BH137" s="43">
        <f t="shared" si="148"/>
        <v>84.015187011489004</v>
      </c>
      <c r="BI137" s="41" t="str">
        <f t="shared" si="152"/>
        <v>20.4236779429267+346.795820195156i</v>
      </c>
      <c r="BJ137" s="20">
        <f t="shared" si="149"/>
        <v>50.816513786141606</v>
      </c>
      <c r="BK137" s="43">
        <f t="shared" si="153"/>
        <v>86.629600415489335</v>
      </c>
      <c r="BL137">
        <f t="shared" si="150"/>
        <v>39.519471325367363</v>
      </c>
      <c r="BM137" s="43">
        <f t="shared" si="151"/>
        <v>84.015187011489004</v>
      </c>
    </row>
    <row r="138" spans="14:65" x14ac:dyDescent="0.25">
      <c r="N138" s="9">
        <v>20</v>
      </c>
      <c r="O138" s="34">
        <f t="shared" si="154"/>
        <v>158.48931924611153</v>
      </c>
      <c r="P138" s="33" t="str">
        <f t="shared" si="103"/>
        <v>19.1021967526266</v>
      </c>
      <c r="Q138" s="4" t="str">
        <f t="shared" si="104"/>
        <v>1+0.223512105136136i</v>
      </c>
      <c r="R138" s="4">
        <f t="shared" si="117"/>
        <v>1.0246744171405799</v>
      </c>
      <c r="S138" s="4">
        <f t="shared" si="118"/>
        <v>0.21989779213530611</v>
      </c>
      <c r="T138" s="4" t="str">
        <f t="shared" si="105"/>
        <v>1+0.00374427478524055i</v>
      </c>
      <c r="U138" s="4">
        <f t="shared" si="119"/>
        <v>1.0000070097722653</v>
      </c>
      <c r="V138" s="4">
        <f t="shared" si="120"/>
        <v>3.7442572876507122E-3</v>
      </c>
      <c r="W138" t="str">
        <f t="shared" si="106"/>
        <v>1-0.0020746203375668i</v>
      </c>
      <c r="X138" s="4">
        <f t="shared" si="121"/>
        <v>1.0000021520224569</v>
      </c>
      <c r="Y138" s="4">
        <f t="shared" si="122"/>
        <v>-2.07461736115158E-3</v>
      </c>
      <c r="Z138" t="str">
        <f t="shared" si="107"/>
        <v>0.999999974881136+0.0015435175311497i</v>
      </c>
      <c r="AA138" s="4">
        <f t="shared" si="123"/>
        <v>1.000001166103641</v>
      </c>
      <c r="AB138" s="4">
        <f t="shared" si="124"/>
        <v>1.5435163441401888E-3</v>
      </c>
      <c r="AC138" s="47" t="str">
        <f t="shared" si="125"/>
        <v>18.1939601386694-4.06416107461444i</v>
      </c>
      <c r="AD138" s="20">
        <f t="shared" si="126"/>
        <v>25.410017861351445</v>
      </c>
      <c r="AE138" s="43">
        <f t="shared" si="127"/>
        <v>-12.591989064631898</v>
      </c>
      <c r="AF138" t="str">
        <f t="shared" si="108"/>
        <v>69.5520360182888</v>
      </c>
      <c r="AG138" t="str">
        <f t="shared" si="109"/>
        <v>1+0.178298799297169i</v>
      </c>
      <c r="AH138">
        <f t="shared" si="128"/>
        <v>1.0157708707335589</v>
      </c>
      <c r="AI138">
        <f t="shared" si="129"/>
        <v>0.17644463922121043</v>
      </c>
      <c r="AJ138" t="str">
        <f t="shared" si="110"/>
        <v>1+0.00374427478524055i</v>
      </c>
      <c r="AK138">
        <f t="shared" si="130"/>
        <v>1.0000070097722653</v>
      </c>
      <c r="AL138">
        <f t="shared" si="131"/>
        <v>3.7442572876507122E-3</v>
      </c>
      <c r="AM138" t="str">
        <f t="shared" si="111"/>
        <v>1-0.000454526542857728i</v>
      </c>
      <c r="AN138">
        <f t="shared" si="132"/>
        <v>1.0000001032971837</v>
      </c>
      <c r="AO138">
        <f t="shared" si="133"/>
        <v>-4.5452651155685576E-4</v>
      </c>
      <c r="AP138" s="41" t="str">
        <f t="shared" si="134"/>
        <v>67.4487245965304-11.7972179214415i</v>
      </c>
      <c r="AQ138">
        <f t="shared" si="135"/>
        <v>36.710343650021343</v>
      </c>
      <c r="AR138" s="43">
        <f t="shared" si="136"/>
        <v>-9.9210454558793675</v>
      </c>
      <c r="AS138" t="str">
        <f t="shared" si="112"/>
        <v>-0.0000166666666666667</v>
      </c>
      <c r="AT138" t="str">
        <f t="shared" si="113"/>
        <v>3.38578039090901E-06i</v>
      </c>
      <c r="AU138">
        <f t="shared" si="137"/>
        <v>3.38578039090901E-6</v>
      </c>
      <c r="AV138">
        <f t="shared" si="138"/>
        <v>1.5707963267948966</v>
      </c>
      <c r="AW138" t="str">
        <f t="shared" si="114"/>
        <v>1+0.00344084325539785i</v>
      </c>
      <c r="AX138">
        <f t="shared" si="139"/>
        <v>1.0000059196836328</v>
      </c>
      <c r="AY138">
        <f t="shared" si="140"/>
        <v>3.4408296763184507E-3</v>
      </c>
      <c r="AZ138" t="str">
        <f t="shared" si="115"/>
        <v>1+0.116988670683527i</v>
      </c>
      <c r="BA138">
        <f t="shared" si="141"/>
        <v>1.0068199188873346</v>
      </c>
      <c r="BB138">
        <f t="shared" si="142"/>
        <v>0.1164592951342279</v>
      </c>
      <c r="BC138" s="41" t="str">
        <f t="shared" si="143"/>
        <v>-0.55893801918613+4.92447126978794i</v>
      </c>
      <c r="BD138">
        <f t="shared" si="144"/>
        <v>13.902783847292838</v>
      </c>
      <c r="BE138" s="43">
        <f t="shared" si="145"/>
        <v>96.475481077783314</v>
      </c>
      <c r="BF138" s="41" t="str">
        <f t="shared" si="146"/>
        <v>9.84454840667001+91.8672481272428i</v>
      </c>
      <c r="BG138" s="20">
        <f t="shared" si="147"/>
        <v>39.312801708644287</v>
      </c>
      <c r="BH138" s="43">
        <f t="shared" si="148"/>
        <v>83.883492013151411</v>
      </c>
      <c r="BI138" s="41" t="str">
        <f t="shared" si="152"/>
        <v>20.3954041949506+338.743220076371i</v>
      </c>
      <c r="BJ138" s="20">
        <f t="shared" si="149"/>
        <v>50.613127497314196</v>
      </c>
      <c r="BK138" s="43">
        <f t="shared" si="153"/>
        <v>86.554435621903949</v>
      </c>
      <c r="BL138">
        <f t="shared" si="150"/>
        <v>39.312801708644287</v>
      </c>
      <c r="BM138" s="43">
        <f t="shared" si="151"/>
        <v>83.883492013151411</v>
      </c>
    </row>
    <row r="139" spans="14:65" x14ac:dyDescent="0.25">
      <c r="N139" s="9">
        <v>21</v>
      </c>
      <c r="O139" s="34">
        <f t="shared" si="154"/>
        <v>162.18100973589304</v>
      </c>
      <c r="P139" s="33" t="str">
        <f t="shared" si="103"/>
        <v>19.1021967526266</v>
      </c>
      <c r="Q139" s="4" t="str">
        <f t="shared" si="104"/>
        <v>1+0.228718370875727i</v>
      </c>
      <c r="R139" s="4">
        <f t="shared" si="117"/>
        <v>1.0258226421638619</v>
      </c>
      <c r="S139" s="4">
        <f t="shared" si="118"/>
        <v>0.2248508104442668</v>
      </c>
      <c r="T139" s="4" t="str">
        <f t="shared" si="105"/>
        <v>1+0.00383149014891017i</v>
      </c>
      <c r="U139" s="4">
        <f t="shared" si="119"/>
        <v>1.0000073401314418</v>
      </c>
      <c r="V139" s="4">
        <f t="shared" si="120"/>
        <v>3.8314713999122968E-3</v>
      </c>
      <c r="W139" t="str">
        <f t="shared" si="106"/>
        <v>1-0.00212294445307523i</v>
      </c>
      <c r="X139" s="4">
        <f t="shared" si="121"/>
        <v>1.0000022534440365</v>
      </c>
      <c r="Y139" s="4">
        <f t="shared" si="122"/>
        <v>-2.1229412637892493E-3</v>
      </c>
      <c r="Z139" t="str">
        <f t="shared" si="107"/>
        <v>0.99999997369732+0.00157947067308797i</v>
      </c>
      <c r="AA139" s="4">
        <f t="shared" si="123"/>
        <v>1.0000012210603784</v>
      </c>
      <c r="AB139" s="4">
        <f t="shared" si="124"/>
        <v>1.5794694011844477E-3</v>
      </c>
      <c r="AC139" s="47" t="str">
        <f t="shared" si="125"/>
        <v>18.1532841112866-4.14952420379156i</v>
      </c>
      <c r="AD139" s="20">
        <f t="shared" si="126"/>
        <v>25.400293388780256</v>
      </c>
      <c r="AE139" s="43">
        <f t="shared" si="127"/>
        <v>-12.875607823139751</v>
      </c>
      <c r="AF139" t="str">
        <f t="shared" si="108"/>
        <v>69.5520360182888</v>
      </c>
      <c r="AG139" t="str">
        <f t="shared" si="109"/>
        <v>1+0.182451911852866i</v>
      </c>
      <c r="AH139">
        <f t="shared" si="128"/>
        <v>1.0165080915264599</v>
      </c>
      <c r="AI139">
        <f t="shared" si="129"/>
        <v>0.1804668819746249</v>
      </c>
      <c r="AJ139" t="str">
        <f t="shared" si="110"/>
        <v>1+0.00383149014891017i</v>
      </c>
      <c r="AK139">
        <f t="shared" si="130"/>
        <v>1.0000073401314418</v>
      </c>
      <c r="AL139">
        <f t="shared" si="131"/>
        <v>3.8314713999122968E-3</v>
      </c>
      <c r="AM139" t="str">
        <f t="shared" si="111"/>
        <v>1-0.000465113826111909i</v>
      </c>
      <c r="AN139">
        <f t="shared" si="132"/>
        <v>1.0000001081654297</v>
      </c>
      <c r="AO139">
        <f t="shared" si="133"/>
        <v>-4.6511379257242025E-4</v>
      </c>
      <c r="AP139" s="41" t="str">
        <f t="shared" si="134"/>
        <v>67.3527920528057-12.0545073514085i</v>
      </c>
      <c r="AQ139">
        <f t="shared" si="135"/>
        <v>36.704044849389952</v>
      </c>
      <c r="AR139" s="43">
        <f t="shared" si="136"/>
        <v>-10.147112595799193</v>
      </c>
      <c r="AS139" t="str">
        <f t="shared" si="112"/>
        <v>-0.0000166666666666667</v>
      </c>
      <c r="AT139" t="str">
        <f t="shared" si="113"/>
        <v>3.46464534741878E-06i</v>
      </c>
      <c r="AU139">
        <f t="shared" si="137"/>
        <v>3.46464534741878E-6</v>
      </c>
      <c r="AV139">
        <f t="shared" si="138"/>
        <v>1.5707963267948966</v>
      </c>
      <c r="AW139" t="str">
        <f t="shared" si="114"/>
        <v>1+0.0035209907907851i</v>
      </c>
      <c r="AX139">
        <f t="shared" si="139"/>
        <v>1.0000061986688626</v>
      </c>
      <c r="AY139">
        <f t="shared" si="140"/>
        <v>3.5209762405442476E-3</v>
      </c>
      <c r="AZ139" t="str">
        <f t="shared" si="115"/>
        <v>1+0.119713686886693i</v>
      </c>
      <c r="BA139">
        <f t="shared" si="141"/>
        <v>1.0071401922413807</v>
      </c>
      <c r="BB139">
        <f t="shared" si="142"/>
        <v>0.11914666773421653</v>
      </c>
      <c r="BC139" s="41" t="str">
        <f t="shared" si="143"/>
        <v>-0.558937707317198+4.81246519255986i</v>
      </c>
      <c r="BD139">
        <f t="shared" si="144"/>
        <v>13.705544000168672</v>
      </c>
      <c r="BE139" s="43">
        <f t="shared" si="145"/>
        <v>96.624864125869138</v>
      </c>
      <c r="BF139" s="41" t="str">
        <f t="shared" si="146"/>
        <v>9.8228857949913+89.6813734611412i</v>
      </c>
      <c r="BG139" s="20">
        <f t="shared" si="147"/>
        <v>39.105837388948935</v>
      </c>
      <c r="BH139" s="43">
        <f t="shared" si="148"/>
        <v>83.749256302729393</v>
      </c>
      <c r="BI139" s="41" t="str">
        <f t="shared" si="152"/>
        <v>20.3658818707031+330.870686077684i</v>
      </c>
      <c r="BJ139" s="20">
        <f t="shared" si="149"/>
        <v>50.409588849558617</v>
      </c>
      <c r="BK139" s="43">
        <f t="shared" si="153"/>
        <v>86.477751530069966</v>
      </c>
      <c r="BL139">
        <f t="shared" si="150"/>
        <v>39.105837388948935</v>
      </c>
      <c r="BM139" s="43">
        <f t="shared" si="151"/>
        <v>83.749256302729393</v>
      </c>
    </row>
    <row r="140" spans="14:65" x14ac:dyDescent="0.25">
      <c r="N140" s="9">
        <v>22</v>
      </c>
      <c r="O140" s="34">
        <f t="shared" si="154"/>
        <v>165.95869074375622</v>
      </c>
      <c r="P140" s="33" t="str">
        <f t="shared" si="103"/>
        <v>19.1021967526266</v>
      </c>
      <c r="Q140" s="4" t="str">
        <f t="shared" si="104"/>
        <v>1+0.234045906123002i</v>
      </c>
      <c r="R140" s="4">
        <f t="shared" si="117"/>
        <v>1.027023605460428</v>
      </c>
      <c r="S140" s="4">
        <f t="shared" si="118"/>
        <v>0.22990760693885792</v>
      </c>
      <c r="T140" s="4" t="str">
        <f t="shared" si="105"/>
        <v>1+0.00392073701937253i</v>
      </c>
      <c r="U140" s="4">
        <f t="shared" si="119"/>
        <v>1.0000076860598497</v>
      </c>
      <c r="V140" s="4">
        <f t="shared" si="120"/>
        <v>3.920716929467695E-3</v>
      </c>
      <c r="W140" t="str">
        <f t="shared" si="106"/>
        <v>1-0.00217239418183319i</v>
      </c>
      <c r="X140" s="4">
        <f t="shared" si="121"/>
        <v>1.0000023596454566</v>
      </c>
      <c r="Y140" s="4">
        <f t="shared" si="122"/>
        <v>-2.1723907644521268E-3</v>
      </c>
      <c r="Z140" t="str">
        <f t="shared" si="107"/>
        <v>0.999999972457713+0.00161626127128389i</v>
      </c>
      <c r="AA140" s="4">
        <f t="shared" si="123"/>
        <v>1.0000012786071444</v>
      </c>
      <c r="AB140" s="4">
        <f t="shared" si="124"/>
        <v>1.6162599084148051E-3</v>
      </c>
      <c r="AC140" s="47" t="str">
        <f t="shared" si="125"/>
        <v>18.1108857111814-4.23625587923568i</v>
      </c>
      <c r="AD140" s="20">
        <f t="shared" si="126"/>
        <v>25.390133915789832</v>
      </c>
      <c r="AE140" s="43">
        <f t="shared" si="127"/>
        <v>-13.165168716429884</v>
      </c>
      <c r="AF140" t="str">
        <f t="shared" si="108"/>
        <v>69.5520360182888</v>
      </c>
      <c r="AG140" t="str">
        <f t="shared" si="109"/>
        <v>1+0.186701762827264i</v>
      </c>
      <c r="AH140">
        <f t="shared" si="128"/>
        <v>1.0172794838405068</v>
      </c>
      <c r="AI140">
        <f t="shared" si="129"/>
        <v>0.18457671140698845</v>
      </c>
      <c r="AJ140" t="str">
        <f t="shared" si="110"/>
        <v>1+0.00392073701937253i</v>
      </c>
      <c r="AK140">
        <f t="shared" si="130"/>
        <v>1.0000076860598497</v>
      </c>
      <c r="AL140">
        <f t="shared" si="131"/>
        <v>3.920716929467695E-3</v>
      </c>
      <c r="AM140" t="str">
        <f t="shared" si="111"/>
        <v>1-0.000475947718873208i</v>
      </c>
      <c r="AN140">
        <f t="shared" si="132"/>
        <v>1.0000001132631091</v>
      </c>
      <c r="AO140">
        <f t="shared" si="133"/>
        <v>-4.7594768293499854E-4</v>
      </c>
      <c r="AP140" s="41" t="str">
        <f t="shared" si="134"/>
        <v>67.2526360699084-12.3165935995286i</v>
      </c>
      <c r="AQ140">
        <f t="shared" si="135"/>
        <v>36.697458981278388</v>
      </c>
      <c r="AR140" s="43">
        <f t="shared" si="136"/>
        <v>-10.378095820801857</v>
      </c>
      <c r="AS140" t="str">
        <f t="shared" si="112"/>
        <v>-0.0000166666666666667</v>
      </c>
      <c r="AT140" t="str">
        <f t="shared" si="113"/>
        <v>3.54534730475176E-06i</v>
      </c>
      <c r="AU140">
        <f t="shared" si="137"/>
        <v>3.5453473047517602E-6</v>
      </c>
      <c r="AV140">
        <f t="shared" si="138"/>
        <v>1.5707963267948966</v>
      </c>
      <c r="AW140" t="str">
        <f t="shared" si="114"/>
        <v>1+0.00360300520209548i</v>
      </c>
      <c r="AX140">
        <f t="shared" si="139"/>
        <v>1.000006490802178</v>
      </c>
      <c r="AY140">
        <f t="shared" si="140"/>
        <v>3.602989611236976E-3</v>
      </c>
      <c r="AZ140" t="str">
        <f t="shared" si="115"/>
        <v>1+0.122502176871246i</v>
      </c>
      <c r="BA140">
        <f t="shared" si="141"/>
        <v>1.0074754504890895</v>
      </c>
      <c r="BB140">
        <f t="shared" si="142"/>
        <v>0.12189484811882367</v>
      </c>
      <c r="BC140" s="41" t="str">
        <f t="shared" si="143"/>
        <v>-0.558937380750716+4.70301074797386i</v>
      </c>
      <c r="BD140">
        <f t="shared" si="144"/>
        <v>13.508432352805656</v>
      </c>
      <c r="BE140" s="43">
        <f t="shared" si="145"/>
        <v>96.777624243243395</v>
      </c>
      <c r="BF140" s="41" t="str">
        <f t="shared" si="146"/>
        <v>9.80030590872956+87.5434919203421i</v>
      </c>
      <c r="BG140" s="20">
        <f t="shared" si="147"/>
        <v>38.898566268595488</v>
      </c>
      <c r="BH140" s="43">
        <f t="shared" si="148"/>
        <v>83.61245552681352</v>
      </c>
      <c r="BI140" s="41" t="str">
        <f t="shared" si="152"/>
        <v>20.3350598235133+323.174074832645i</v>
      </c>
      <c r="BJ140" s="20">
        <f t="shared" si="149"/>
        <v>50.205891334084036</v>
      </c>
      <c r="BK140" s="43">
        <f t="shared" si="153"/>
        <v>86.399528422441549</v>
      </c>
      <c r="BL140">
        <f t="shared" si="150"/>
        <v>38.898566268595488</v>
      </c>
      <c r="BM140" s="43">
        <f t="shared" si="151"/>
        <v>83.61245552681352</v>
      </c>
    </row>
    <row r="141" spans="14:65" x14ac:dyDescent="0.25">
      <c r="N141" s="9">
        <v>23</v>
      </c>
      <c r="O141" s="34">
        <f t="shared" si="154"/>
        <v>169.82436524617444</v>
      </c>
      <c r="P141" s="33" t="str">
        <f t="shared" si="103"/>
        <v>19.1021967526266</v>
      </c>
      <c r="Q141" s="4" t="str">
        <f t="shared" si="104"/>
        <v>1+0.239497535607667i</v>
      </c>
      <c r="R141" s="4">
        <f t="shared" si="117"/>
        <v>1.0282796650533093</v>
      </c>
      <c r="S141" s="4">
        <f t="shared" si="118"/>
        <v>0.23506982787111649</v>
      </c>
      <c r="T141" s="4" t="str">
        <f t="shared" si="105"/>
        <v>1+0.00401206271649963i</v>
      </c>
      <c r="U141" s="4">
        <f t="shared" si="119"/>
        <v>1.000008048291233</v>
      </c>
      <c r="V141" s="4">
        <f t="shared" si="120"/>
        <v>4.012041189788115E-3</v>
      </c>
      <c r="W141" t="str">
        <f t="shared" si="106"/>
        <v>1-0.00222299574274138i</v>
      </c>
      <c r="X141" s="4">
        <f t="shared" si="121"/>
        <v>1.0000024708519837</v>
      </c>
      <c r="Y141" s="4">
        <f t="shared" si="122"/>
        <v>-2.2229920809520862E-3</v>
      </c>
      <c r="Z141" t="str">
        <f t="shared" si="107"/>
        <v>0.999999971159685+0.00165390883259958i</v>
      </c>
      <c r="AA141" s="4">
        <f t="shared" si="123"/>
        <v>1.0000013388660023</v>
      </c>
      <c r="AB141" s="4">
        <f t="shared" si="124"/>
        <v>1.6539073722591508E-3</v>
      </c>
      <c r="AC141" s="47" t="str">
        <f t="shared" si="125"/>
        <v>18.0667010490939-4.32434885008576i</v>
      </c>
      <c r="AD141" s="20">
        <f t="shared" si="126"/>
        <v>25.379521070007161</v>
      </c>
      <c r="AE141" s="43">
        <f t="shared" si="127"/>
        <v>-13.460765976739738</v>
      </c>
      <c r="AF141" t="str">
        <f t="shared" si="108"/>
        <v>69.5520360182888</v>
      </c>
      <c r="AG141" t="str">
        <f t="shared" si="109"/>
        <v>1+0.191050605547602i</v>
      </c>
      <c r="AH141">
        <f t="shared" si="128"/>
        <v>1.0180866043122783</v>
      </c>
      <c r="AI141">
        <f t="shared" si="129"/>
        <v>0.18877575098905866</v>
      </c>
      <c r="AJ141" t="str">
        <f t="shared" si="110"/>
        <v>1+0.00401206271649963i</v>
      </c>
      <c r="AK141">
        <f t="shared" si="130"/>
        <v>1.000008048291233</v>
      </c>
      <c r="AL141">
        <f t="shared" si="131"/>
        <v>4.012041189788115E-3</v>
      </c>
      <c r="AM141" t="str">
        <f t="shared" si="111"/>
        <v>1-0.000487033965414962i</v>
      </c>
      <c r="AN141">
        <f t="shared" si="132"/>
        <v>1.0000001186010348</v>
      </c>
      <c r="AO141">
        <f t="shared" si="133"/>
        <v>-4.8703392690647703E-4</v>
      </c>
      <c r="AP141" s="41" t="str">
        <f t="shared" si="134"/>
        <v>67.14808484362-12.5835093440744i</v>
      </c>
      <c r="AQ141">
        <f t="shared" si="135"/>
        <v>36.690573428204296</v>
      </c>
      <c r="AR141" s="43">
        <f t="shared" si="136"/>
        <v>-10.614085767169547</v>
      </c>
      <c r="AS141" t="str">
        <f t="shared" si="112"/>
        <v>-0.0000166666666666667</v>
      </c>
      <c r="AT141" t="str">
        <f t="shared" si="113"/>
        <v>3.62792905215393E-06i</v>
      </c>
      <c r="AU141">
        <f t="shared" si="137"/>
        <v>3.62792905215393E-6</v>
      </c>
      <c r="AV141">
        <f t="shared" si="138"/>
        <v>1.5707963267948966</v>
      </c>
      <c r="AW141" t="str">
        <f t="shared" si="114"/>
        <v>1+0.00368692997445539i</v>
      </c>
      <c r="AX141">
        <f t="shared" si="139"/>
        <v>1.0000067967032207</v>
      </c>
      <c r="AY141">
        <f t="shared" si="140"/>
        <v>3.6869132685556504E-3</v>
      </c>
      <c r="AZ141" t="str">
        <f t="shared" si="115"/>
        <v>1+0.125355619131483i</v>
      </c>
      <c r="BA141">
        <f t="shared" si="141"/>
        <v>1.0078263894381003</v>
      </c>
      <c r="BB141">
        <f t="shared" si="142"/>
        <v>0.12470512727558727</v>
      </c>
      <c r="BC141" s="41" t="str">
        <f t="shared" si="143"/>
        <v>-0.558937038794036+4.59604990182719i</v>
      </c>
      <c r="BD141">
        <f t="shared" si="144"/>
        <v>13.311454768225206</v>
      </c>
      <c r="BE141" s="43">
        <f t="shared" si="145"/>
        <v>96.933832906813905</v>
      </c>
      <c r="BF141" s="41" t="str">
        <f t="shared" si="146"/>
        <v>9.77677472274553+85.4524983240085i</v>
      </c>
      <c r="BG141" s="20">
        <f t="shared" si="147"/>
        <v>38.690975838232362</v>
      </c>
      <c r="BH141" s="43">
        <f t="shared" si="148"/>
        <v>83.473066930074154</v>
      </c>
      <c r="BI141" s="41" t="str">
        <f t="shared" si="152"/>
        <v>20.302885182291+315.649338203817i</v>
      </c>
      <c r="BJ141" s="20">
        <f t="shared" si="149"/>
        <v>50.002028196429499</v>
      </c>
      <c r="BK141" s="43">
        <f t="shared" si="153"/>
        <v>86.319747139644363</v>
      </c>
      <c r="BL141">
        <f t="shared" si="150"/>
        <v>38.690975838232362</v>
      </c>
      <c r="BM141" s="43">
        <f t="shared" si="151"/>
        <v>83.473066930074154</v>
      </c>
    </row>
    <row r="142" spans="14:65" x14ac:dyDescent="0.25">
      <c r="N142" s="9">
        <v>24</v>
      </c>
      <c r="O142" s="34">
        <f t="shared" si="154"/>
        <v>173.78008287493768</v>
      </c>
      <c r="P142" s="33" t="str">
        <f t="shared" si="103"/>
        <v>19.1021967526266</v>
      </c>
      <c r="Q142" s="4" t="str">
        <f t="shared" si="104"/>
        <v>1+0.245076149855837i</v>
      </c>
      <c r="R142" s="4">
        <f t="shared" si="117"/>
        <v>1.0295932785465145</v>
      </c>
      <c r="S142" s="4">
        <f t="shared" si="118"/>
        <v>0.24033910930882454</v>
      </c>
      <c r="T142" s="4" t="str">
        <f t="shared" si="105"/>
        <v>1+0.00410551566238497i</v>
      </c>
      <c r="U142" s="4">
        <f t="shared" si="119"/>
        <v>1.000008427593915</v>
      </c>
      <c r="V142" s="4">
        <f t="shared" si="120"/>
        <v>4.1054925961085034E-3</v>
      </c>
      <c r="W142" t="str">
        <f t="shared" si="106"/>
        <v>1-0.00227477596541721i</v>
      </c>
      <c r="X142" s="4">
        <f t="shared" si="121"/>
        <v>1.0000025872994993</v>
      </c>
      <c r="Y142" s="4">
        <f t="shared" si="122"/>
        <v>-2.2747720417398386E-3</v>
      </c>
      <c r="Z142" t="str">
        <f t="shared" si="107"/>
        <v>0.999999969800483+0.0016924333182704i</v>
      </c>
      <c r="AA142" s="4">
        <f t="shared" si="123"/>
        <v>1.0000014019647692</v>
      </c>
      <c r="AB142" s="4">
        <f t="shared" si="124"/>
        <v>1.6924317534875561E-3</v>
      </c>
      <c r="AC142" s="47" t="str">
        <f t="shared" si="125"/>
        <v>18.0206646872853-4.4137934741345i</v>
      </c>
      <c r="AD142" s="20">
        <f t="shared" si="126"/>
        <v>25.368435801852627</v>
      </c>
      <c r="AE142" s="43">
        <f t="shared" si="127"/>
        <v>-13.762493250684585</v>
      </c>
      <c r="AF142" t="str">
        <f t="shared" si="108"/>
        <v>69.5520360182888</v>
      </c>
      <c r="AG142" t="str">
        <f t="shared" si="109"/>
        <v>1+0.195500745827856i</v>
      </c>
      <c r="AH142">
        <f t="shared" si="128"/>
        <v>1.0189310779533853</v>
      </c>
      <c r="AI142">
        <f t="shared" si="129"/>
        <v>0.19306563452169864</v>
      </c>
      <c r="AJ142" t="str">
        <f t="shared" si="110"/>
        <v>1+0.00410551566238497i</v>
      </c>
      <c r="AK142">
        <f t="shared" si="130"/>
        <v>1.000008427593915</v>
      </c>
      <c r="AL142">
        <f t="shared" si="131"/>
        <v>4.1054925961085034E-3</v>
      </c>
      <c r="AM142" t="str">
        <f t="shared" si="111"/>
        <v>1-0.00049837844381184i</v>
      </c>
      <c r="AN142">
        <f t="shared" si="132"/>
        <v>1.000000124190529</v>
      </c>
      <c r="AO142">
        <f t="shared" si="133"/>
        <v>-4.9837840254925516E-4</v>
      </c>
      <c r="AP142" s="41" t="str">
        <f t="shared" si="134"/>
        <v>67.038960891718-12.8552831161062i</v>
      </c>
      <c r="AQ142">
        <f t="shared" si="135"/>
        <v>36.683375061344613</v>
      </c>
      <c r="AR142" s="43">
        <f t="shared" si="136"/>
        <v>-10.855173607595873</v>
      </c>
      <c r="AS142" t="str">
        <f t="shared" si="112"/>
        <v>-0.0000166666666666667</v>
      </c>
      <c r="AT142" t="str">
        <f t="shared" si="113"/>
        <v>3.71243437556088E-06i</v>
      </c>
      <c r="AU142">
        <f t="shared" si="137"/>
        <v>3.7124343755608799E-6</v>
      </c>
      <c r="AV142">
        <f t="shared" si="138"/>
        <v>1.5707963267948966</v>
      </c>
      <c r="AW142" t="str">
        <f t="shared" si="114"/>
        <v>1+0.00377280960589007i</v>
      </c>
      <c r="AX142">
        <f t="shared" si="139"/>
        <v>1.0000071170208351</v>
      </c>
      <c r="AY142">
        <f t="shared" si="140"/>
        <v>3.7727917052028685E-3</v>
      </c>
      <c r="AZ142" t="str">
        <f t="shared" si="115"/>
        <v>1+0.128275526600263i</v>
      </c>
      <c r="BA142">
        <f t="shared" si="141"/>
        <v>1.0081937367017189</v>
      </c>
      <c r="BB142">
        <f t="shared" si="142"/>
        <v>0.12757881759949291</v>
      </c>
      <c r="BC142" s="41" t="str">
        <f t="shared" si="143"/>
        <v>-0.55893668072189+4.49152594205553i</v>
      </c>
      <c r="BD142">
        <f t="shared" si="144"/>
        <v>13.114617368910332</v>
      </c>
      <c r="BE142" s="43">
        <f t="shared" si="145"/>
        <v>97.093562762030203</v>
      </c>
      <c r="BF142" s="41" t="str">
        <f t="shared" si="146"/>
        <v>9.75225738723709+83.4073140098506i</v>
      </c>
      <c r="BG142" s="20">
        <f t="shared" si="147"/>
        <v>38.483053170762958</v>
      </c>
      <c r="BH142" s="43">
        <f t="shared" si="148"/>
        <v>83.331069511345618</v>
      </c>
      <c r="BI142" s="41" t="str">
        <f t="shared" si="152"/>
        <v>20.269303328598+308.292521248254i</v>
      </c>
      <c r="BJ142" s="20">
        <f t="shared" si="149"/>
        <v>49.797992430254936</v>
      </c>
      <c r="BK142" s="43">
        <f t="shared" si="153"/>
        <v>86.23838915443433</v>
      </c>
      <c r="BL142">
        <f t="shared" si="150"/>
        <v>38.483053170762958</v>
      </c>
      <c r="BM142" s="43">
        <f t="shared" si="151"/>
        <v>83.331069511345618</v>
      </c>
    </row>
    <row r="143" spans="14:65" x14ac:dyDescent="0.25">
      <c r="N143" s="9">
        <v>25</v>
      </c>
      <c r="O143" s="34">
        <f t="shared" si="154"/>
        <v>177.82794100389242</v>
      </c>
      <c r="P143" s="33" t="str">
        <f t="shared" si="103"/>
        <v>19.1021967526266</v>
      </c>
      <c r="Q143" s="4" t="str">
        <f t="shared" si="104"/>
        <v>1+0.250784706722627i</v>
      </c>
      <c r="R143" s="4">
        <f t="shared" si="117"/>
        <v>1.0309670068076642</v>
      </c>
      <c r="S143" s="4">
        <f t="shared" si="118"/>
        <v>0.24571707415837585</v>
      </c>
      <c r="T143" s="4" t="str">
        <f t="shared" si="105"/>
        <v>1+0.00420114540701744i</v>
      </c>
      <c r="U143" s="4">
        <f t="shared" si="119"/>
        <v>1.000008824772427</v>
      </c>
      <c r="V143" s="4">
        <f t="shared" si="120"/>
        <v>4.2011206910686849E-3</v>
      </c>
      <c r="W143" t="str">
        <f t="shared" si="106"/>
        <v>1-0.00232776230442013i</v>
      </c>
      <c r="X143" s="4">
        <f t="shared" si="121"/>
        <v>1.000002709235003</v>
      </c>
      <c r="Y143" s="4">
        <f t="shared" si="122"/>
        <v>-2.3277581001246942E-3</v>
      </c>
      <c r="Z143" t="str">
        <f t="shared" si="107"/>
        <v>0.999999968377223+0.00173185515448857i</v>
      </c>
      <c r="AA143" s="4">
        <f t="shared" si="123"/>
        <v>1.000001468037284</v>
      </c>
      <c r="AB143" s="4">
        <f t="shared" si="124"/>
        <v>1.7318534777936781E-3</v>
      </c>
      <c r="AC143" s="47" t="str">
        <f t="shared" si="125"/>
        <v>17.9727096803654-4.50457756407898i</v>
      </c>
      <c r="AD143" s="20">
        <f t="shared" si="126"/>
        <v>25.35685836853866</v>
      </c>
      <c r="AE143" s="43">
        <f t="shared" si="127"/>
        <v>-14.070443428631819</v>
      </c>
      <c r="AF143" t="str">
        <f t="shared" si="108"/>
        <v>69.5520360182888</v>
      </c>
      <c r="AG143" t="str">
        <f t="shared" si="109"/>
        <v>1+0.200054543191307i</v>
      </c>
      <c r="AH143">
        <f t="shared" si="128"/>
        <v>1.0198146009209137</v>
      </c>
      <c r="AI143">
        <f t="shared" si="129"/>
        <v>0.19744800467599169</v>
      </c>
      <c r="AJ143" t="str">
        <f t="shared" si="110"/>
        <v>1+0.00420114540701744i</v>
      </c>
      <c r="AK143">
        <f t="shared" si="130"/>
        <v>1.000008824772427</v>
      </c>
      <c r="AL143">
        <f t="shared" si="131"/>
        <v>4.2011206910686849E-3</v>
      </c>
      <c r="AM143" t="str">
        <f t="shared" si="111"/>
        <v>1-0.000509987169056445i</v>
      </c>
      <c r="AN143">
        <f t="shared" si="132"/>
        <v>1.0000001300434478</v>
      </c>
      <c r="AO143">
        <f t="shared" si="133"/>
        <v>-5.0998712484278915E-4</v>
      </c>
      <c r="AP143" s="41" t="str">
        <f t="shared" si="134"/>
        <v>66.9250809907852-13.1319389349369i</v>
      </c>
      <c r="AQ143">
        <f t="shared" si="135"/>
        <v>36.67585022381914</v>
      </c>
      <c r="AR143" s="43">
        <f t="shared" si="136"/>
        <v>-11.101450966249859</v>
      </c>
      <c r="AS143" t="str">
        <f t="shared" si="112"/>
        <v>-0.0000166666666666667</v>
      </c>
      <c r="AT143" t="str">
        <f t="shared" si="113"/>
        <v>3.79890808081363E-06i</v>
      </c>
      <c r="AU143">
        <f t="shared" si="137"/>
        <v>3.79890808081363E-6</v>
      </c>
      <c r="AV143">
        <f t="shared" si="138"/>
        <v>1.5707963267948966</v>
      </c>
      <c r="AW143" t="str">
        <f t="shared" si="114"/>
        <v>1+0.00386068963091684i</v>
      </c>
      <c r="AX143">
        <f t="shared" si="139"/>
        <v>1.0000074524344438</v>
      </c>
      <c r="AY143">
        <f t="shared" si="140"/>
        <v>3.8606704499926465E-3</v>
      </c>
      <c r="AZ143" t="str">
        <f t="shared" si="115"/>
        <v>1+0.131263447451173i</v>
      </c>
      <c r="BA143">
        <f t="shared" si="141"/>
        <v>1.0085782531052148</v>
      </c>
      <c r="BB143">
        <f t="shared" si="142"/>
        <v>0.13051725280827609</v>
      </c>
      <c r="BC143" s="41" t="str">
        <f t="shared" si="143"/>
        <v>-0.558936305774809+4.38938344866334i</v>
      </c>
      <c r="BD143">
        <f t="shared" si="144"/>
        <v>12.917926547465425</v>
      </c>
      <c r="BE143" s="43">
        <f t="shared" si="145"/>
        <v>97.256887616680743</v>
      </c>
      <c r="BF143" s="41" t="str">
        <f t="shared" si="146"/>
        <v>9.72671824948191+81.4068863413697i</v>
      </c>
      <c r="BG143" s="20">
        <f t="shared" si="147"/>
        <v>38.274784916004087</v>
      </c>
      <c r="BH143" s="43">
        <f t="shared" si="148"/>
        <v>83.186444188048952</v>
      </c>
      <c r="BI143" s="41" t="str">
        <f t="shared" si="152"/>
        <v>20.2342578772003+301.09976023736i</v>
      </c>
      <c r="BJ143" s="20">
        <f t="shared" si="149"/>
        <v>49.593776771284567</v>
      </c>
      <c r="BK143" s="43">
        <f t="shared" si="153"/>
        <v>86.1554366504309</v>
      </c>
      <c r="BL143">
        <f t="shared" si="150"/>
        <v>38.274784916004087</v>
      </c>
      <c r="BM143" s="43">
        <f t="shared" si="151"/>
        <v>83.186444188048952</v>
      </c>
    </row>
    <row r="144" spans="14:65" x14ac:dyDescent="0.25">
      <c r="N144" s="9">
        <v>26</v>
      </c>
      <c r="O144" s="34">
        <f t="shared" si="154"/>
        <v>181.9700858609983</v>
      </c>
      <c r="P144" s="33" t="str">
        <f t="shared" si="103"/>
        <v>19.1021967526266</v>
      </c>
      <c r="Q144" s="4" t="str">
        <f t="shared" si="104"/>
        <v>1+0.256626232960446i</v>
      </c>
      <c r="R144" s="4">
        <f t="shared" si="117"/>
        <v>1.0324035177407471</v>
      </c>
      <c r="S144" s="4">
        <f t="shared" si="118"/>
        <v>0.25120532899935971</v>
      </c>
      <c r="T144" s="4" t="str">
        <f t="shared" si="105"/>
        <v>1+0.00429900265455339i</v>
      </c>
      <c r="U144" s="4">
        <f t="shared" si="119"/>
        <v>1.0000092406692169</v>
      </c>
      <c r="V144" s="4">
        <f t="shared" si="120"/>
        <v>4.2989761709503697E-3</v>
      </c>
      <c r="W144" t="str">
        <f t="shared" si="106"/>
        <v>1-0.0023819828538084i</v>
      </c>
      <c r="X144" s="4">
        <f t="shared" si="121"/>
        <v>1.0000028369171339</v>
      </c>
      <c r="Y144" s="4">
        <f t="shared" si="122"/>
        <v>-2.3819783488253656E-3</v>
      </c>
      <c r="Z144" t="str">
        <f t="shared" si="107"/>
        <v>0.999999966886888+0.00177219524323345i</v>
      </c>
      <c r="AA144" s="4">
        <f t="shared" si="123"/>
        <v>1.0000015372236972</v>
      </c>
      <c r="AB144" s="4">
        <f t="shared" si="124"/>
        <v>1.7721934466226525E-3</v>
      </c>
      <c r="AC144" s="47" t="str">
        <f t="shared" si="125"/>
        <v>17.9227676255387-4.59668622915008i</v>
      </c>
      <c r="AD144" s="20">
        <f t="shared" si="126"/>
        <v>25.344768318543963</v>
      </c>
      <c r="AE144" s="43">
        <f t="shared" si="127"/>
        <v>-14.384708463287303</v>
      </c>
      <c r="AF144" t="str">
        <f t="shared" si="108"/>
        <v>69.5520360182888</v>
      </c>
      <c r="AG144" t="str">
        <f t="shared" si="109"/>
        <v>1+0.20471441212159i</v>
      </c>
      <c r="AH144">
        <f t="shared" si="128"/>
        <v>1.0207389433789074</v>
      </c>
      <c r="AI144">
        <f t="shared" si="129"/>
        <v>0.20192451140724055</v>
      </c>
      <c r="AJ144" t="str">
        <f t="shared" si="110"/>
        <v>1+0.00429900265455339i</v>
      </c>
      <c r="AK144">
        <f t="shared" si="130"/>
        <v>1.0000092406692169</v>
      </c>
      <c r="AL144">
        <f t="shared" si="131"/>
        <v>4.2989761709503697E-3</v>
      </c>
      <c r="AM144" t="str">
        <f t="shared" si="111"/>
        <v>1-0.000521866296248557i</v>
      </c>
      <c r="AN144">
        <f t="shared" si="132"/>
        <v>1.0000001361722064</v>
      </c>
      <c r="AO144">
        <f t="shared" si="133"/>
        <v>-5.2186624887277152E-4</v>
      </c>
      <c r="AP144" s="41" t="str">
        <f t="shared" si="134"/>
        <v>66.8062561258582-13.4134959248106i</v>
      </c>
      <c r="AQ144">
        <f t="shared" si="135"/>
        <v>36.667984713808352</v>
      </c>
      <c r="AR144" s="43">
        <f t="shared" si="136"/>
        <v>-11.353009826584078</v>
      </c>
      <c r="AS144" t="str">
        <f t="shared" si="112"/>
        <v>-0.0000166666666666667</v>
      </c>
      <c r="AT144" t="str">
        <f t="shared" si="113"/>
        <v>3.88739601741531E-06i</v>
      </c>
      <c r="AU144">
        <f t="shared" si="137"/>
        <v>3.8873960174153101E-6</v>
      </c>
      <c r="AV144">
        <f t="shared" si="138"/>
        <v>1.5707963267948966</v>
      </c>
      <c r="AW144" t="str">
        <f t="shared" si="114"/>
        <v>1+0.00395061664468815i</v>
      </c>
      <c r="AX144">
        <f t="shared" si="139"/>
        <v>1.0000078036554882</v>
      </c>
      <c r="AY144">
        <f t="shared" si="140"/>
        <v>3.950596091966246E-3</v>
      </c>
      <c r="AZ144" t="str">
        <f t="shared" si="115"/>
        <v>1+0.134320965919397i</v>
      </c>
      <c r="BA144">
        <f t="shared" si="141"/>
        <v>1.0089807341498249</v>
      </c>
      <c r="BB144">
        <f t="shared" si="142"/>
        <v>0.13352178781830604</v>
      </c>
      <c r="BC144" s="41" t="str">
        <f t="shared" si="143"/>
        <v>-0.558935913157551+4.28956826433953i</v>
      </c>
      <c r="BD144">
        <f t="shared" si="144"/>
        <v>12.721388977636028</v>
      </c>
      <c r="BE144" s="43">
        <f t="shared" si="145"/>
        <v>97.423882432399665</v>
      </c>
      <c r="BF144" s="41" t="str">
        <f t="shared" si="146"/>
        <v>9.70012088059766+79.4501882306315i</v>
      </c>
      <c r="BG144" s="20">
        <f t="shared" si="147"/>
        <v>38.066157296179995</v>
      </c>
      <c r="BH144" s="43">
        <f t="shared" si="148"/>
        <v>83.039173969112383</v>
      </c>
      <c r="BI144" s="41" t="str">
        <f t="shared" si="152"/>
        <v>20.1976906605714+294.067280730189i</v>
      </c>
      <c r="BJ144" s="20">
        <f t="shared" si="149"/>
        <v>49.389373691444391</v>
      </c>
      <c r="BK144" s="43">
        <f t="shared" si="153"/>
        <v>86.070872605815595</v>
      </c>
      <c r="BL144">
        <f t="shared" si="150"/>
        <v>38.066157296179995</v>
      </c>
      <c r="BM144" s="43">
        <f t="shared" si="151"/>
        <v>83.039173969112383</v>
      </c>
    </row>
    <row r="145" spans="14:65" x14ac:dyDescent="0.25">
      <c r="N145" s="9">
        <v>27</v>
      </c>
      <c r="O145" s="34">
        <f t="shared" si="154"/>
        <v>186.20871366628685</v>
      </c>
      <c r="P145" s="33" t="str">
        <f t="shared" si="103"/>
        <v>19.1021967526266</v>
      </c>
      <c r="Q145" s="4" t="str">
        <f t="shared" si="104"/>
        <v>1+0.262603825823833i</v>
      </c>
      <c r="R145" s="4">
        <f t="shared" si="117"/>
        <v>1.0339055901470473</v>
      </c>
      <c r="S145" s="4">
        <f t="shared" si="118"/>
        <v>0.2568054607254861</v>
      </c>
      <c r="T145" s="4" t="str">
        <f t="shared" si="105"/>
        <v>1+0.00439913929020084i</v>
      </c>
      <c r="U145" s="4">
        <f t="shared" si="119"/>
        <v>1.0000096761664332</v>
      </c>
      <c r="V145" s="4">
        <f t="shared" si="120"/>
        <v>4.3991109125237609E-3</v>
      </c>
      <c r="W145" t="str">
        <f t="shared" si="106"/>
        <v>1-0.00243746636203504i</v>
      </c>
      <c r="X145" s="4">
        <f t="shared" si="121"/>
        <v>1.0000029706167208</v>
      </c>
      <c r="Y145" s="4">
        <f t="shared" si="122"/>
        <v>-2.4374615348595236E-3</v>
      </c>
      <c r="Z145" t="str">
        <f t="shared" si="107"/>
        <v>0.999999965326315+0.00181347497335407i</v>
      </c>
      <c r="AA145" s="4">
        <f t="shared" si="123"/>
        <v>1.0000016096707594</v>
      </c>
      <c r="AB145" s="4">
        <f t="shared" si="124"/>
        <v>1.8134730482510838E-3</v>
      </c>
      <c r="AC145" s="47" t="str">
        <f t="shared" si="125"/>
        <v>17.8707687230278-4.69010171245132i</v>
      </c>
      <c r="AD145" s="20">
        <f t="shared" si="126"/>
        <v>25.332144476669122</v>
      </c>
      <c r="AE145" s="43">
        <f t="shared" si="127"/>
        <v>-14.705379177183868</v>
      </c>
      <c r="AF145" t="str">
        <f t="shared" si="108"/>
        <v>69.5520360182888</v>
      </c>
      <c r="AG145" t="str">
        <f t="shared" si="109"/>
        <v>1+0.209482823342897i</v>
      </c>
      <c r="AH145">
        <f t="shared" si="128"/>
        <v>1.021705952451933</v>
      </c>
      <c r="AI145">
        <f t="shared" si="129"/>
        <v>0.20649681023647282</v>
      </c>
      <c r="AJ145" t="str">
        <f t="shared" si="110"/>
        <v>1+0.00439913929020084i</v>
      </c>
      <c r="AK145">
        <f t="shared" si="130"/>
        <v>1.0000096761664332</v>
      </c>
      <c r="AL145">
        <f t="shared" si="131"/>
        <v>4.3991109125237609E-3</v>
      </c>
      <c r="AM145" t="str">
        <f t="shared" si="111"/>
        <v>1-0.00053402212385866i</v>
      </c>
      <c r="AN145">
        <f t="shared" si="132"/>
        <v>1.0000001425898042</v>
      </c>
      <c r="AO145">
        <f t="shared" si="133"/>
        <v>-5.3402207309459168E-4</v>
      </c>
      <c r="AP145" s="41" t="str">
        <f t="shared" si="134"/>
        <v>66.6822914545364-13.6999679125019i</v>
      </c>
      <c r="AQ145">
        <f t="shared" si="135"/>
        <v>36.659763767544817</v>
      </c>
      <c r="AR145" s="43">
        <f t="shared" si="136"/>
        <v>-11.609942431521356</v>
      </c>
      <c r="AS145" t="str">
        <f t="shared" si="112"/>
        <v>-0.0000166666666666667</v>
      </c>
      <c r="AT145" t="str">
        <f t="shared" si="113"/>
        <v>0.0000039779451028412i</v>
      </c>
      <c r="AU145">
        <f t="shared" si="137"/>
        <v>3.9779451028412003E-6</v>
      </c>
      <c r="AV145">
        <f t="shared" si="138"/>
        <v>1.5707963267948966</v>
      </c>
      <c r="AW145" t="str">
        <f t="shared" si="114"/>
        <v>1+0.00404263832769708i</v>
      </c>
      <c r="AX145">
        <f t="shared" si="139"/>
        <v>1.0000081714289382</v>
      </c>
      <c r="AY145">
        <f t="shared" si="140"/>
        <v>4.0426163050685041E-3</v>
      </c>
      <c r="AZ145" t="str">
        <f t="shared" si="115"/>
        <v>1+0.137449703141701i</v>
      </c>
      <c r="BA145">
        <f t="shared" si="141"/>
        <v>1.0094020115364055</v>
      </c>
      <c r="BB145">
        <f t="shared" si="142"/>
        <v>0.13659379857792042</v>
      </c>
      <c r="BC145" s="41" t="str">
        <f t="shared" si="143"/>
        <v>-0.558935502037408+4.19202746574238i</v>
      </c>
      <c r="BD145">
        <f t="shared" si="144"/>
        <v>12.525011625691931</v>
      </c>
      <c r="BE145" s="43">
        <f t="shared" si="145"/>
        <v>97.594623313703693</v>
      </c>
      <c r="BF145" s="41" t="str">
        <f t="shared" si="146"/>
        <v>9.67242810772135+77.5362176761179i</v>
      </c>
      <c r="BG145" s="20">
        <f t="shared" si="147"/>
        <v>37.857156102361053</v>
      </c>
      <c r="BH145" s="43">
        <f t="shared" si="148"/>
        <v>82.889244136519821</v>
      </c>
      <c r="BI145" s="41" t="str">
        <f t="shared" si="152"/>
        <v>20.1595417178512+287.191395699126i</v>
      </c>
      <c r="BJ145" s="20">
        <f t="shared" si="149"/>
        <v>49.184775393236762</v>
      </c>
      <c r="BK145" s="43">
        <f t="shared" si="153"/>
        <v>85.984680882182346</v>
      </c>
      <c r="BL145">
        <f t="shared" si="150"/>
        <v>37.857156102361053</v>
      </c>
      <c r="BM145" s="43">
        <f t="shared" si="151"/>
        <v>82.889244136519821</v>
      </c>
    </row>
    <row r="146" spans="14:65" x14ac:dyDescent="0.25">
      <c r="N146" s="9">
        <v>28</v>
      </c>
      <c r="O146" s="34">
        <f t="shared" si="154"/>
        <v>190.54607179632498</v>
      </c>
      <c r="P146" s="33" t="str">
        <f t="shared" si="103"/>
        <v>19.1021967526266</v>
      </c>
      <c r="Q146" s="4" t="str">
        <f t="shared" si="104"/>
        <v>1+0.268720654711646i</v>
      </c>
      <c r="R146" s="4">
        <f t="shared" si="117"/>
        <v>1.0354761176717964</v>
      </c>
      <c r="S146" s="4">
        <f t="shared" si="118"/>
        <v>0.26251903298687285</v>
      </c>
      <c r="T146" s="4" t="str">
        <f t="shared" si="105"/>
        <v>1+0.00450160840772948i</v>
      </c>
      <c r="U146" s="4">
        <f t="shared" si="119"/>
        <v>1.0000101321877977</v>
      </c>
      <c r="V146" s="4">
        <f t="shared" si="120"/>
        <v>4.5015780005172919E-3</v>
      </c>
      <c r="W146" t="str">
        <f t="shared" si="106"/>
        <v>1-0.00249424224719054i</v>
      </c>
      <c r="X146" s="4">
        <f t="shared" si="121"/>
        <v>1.0000031106173559</v>
      </c>
      <c r="Y146" s="4">
        <f t="shared" si="122"/>
        <v>-2.4942370747796532E-3</v>
      </c>
      <c r="Z146" t="str">
        <f t="shared" si="107"/>
        <v>0.999999963692195+0.00185571623190976i</v>
      </c>
      <c r="AA146" s="4">
        <f t="shared" si="123"/>
        <v>1.0000016855321419</v>
      </c>
      <c r="AB146" s="4">
        <f t="shared" si="124"/>
        <v>1.8557141691249329E-3</v>
      </c>
      <c r="AC146" s="47" t="str">
        <f t="shared" si="125"/>
        <v>17.816641847442-4.78480322440627i</v>
      </c>
      <c r="AD146" s="20">
        <f t="shared" si="126"/>
        <v>25.31896492978192</v>
      </c>
      <c r="AE146" s="43">
        <f t="shared" si="127"/>
        <v>-15.032545058788266</v>
      </c>
      <c r="AF146" t="str">
        <f t="shared" si="108"/>
        <v>69.5520360182888</v>
      </c>
      <c r="AG146" t="str">
        <f t="shared" si="109"/>
        <v>1+0.214362305129976i</v>
      </c>
      <c r="AH146">
        <f t="shared" si="128"/>
        <v>1.0227175552715602</v>
      </c>
      <c r="AI146">
        <f t="shared" si="129"/>
        <v>0.21116656039294252</v>
      </c>
      <c r="AJ146" t="str">
        <f t="shared" si="110"/>
        <v>1+0.00450160840772948i</v>
      </c>
      <c r="AK146">
        <f t="shared" si="130"/>
        <v>1.0000101321877977</v>
      </c>
      <c r="AL146">
        <f t="shared" si="131"/>
        <v>4.5015780005172919E-3</v>
      </c>
      <c r="AM146" t="str">
        <f t="shared" si="111"/>
        <v>1-0.000546461097067456i</v>
      </c>
      <c r="AN146">
        <f t="shared" si="132"/>
        <v>1.000000149309854</v>
      </c>
      <c r="AO146">
        <f t="shared" si="133"/>
        <v>-5.4646104267277724E-4</v>
      </c>
      <c r="AP146" s="41" t="str">
        <f t="shared" si="134"/>
        <v>66.5529862872941-13.9913630056192i</v>
      </c>
      <c r="AQ146">
        <f t="shared" si="135"/>
        <v>36.65117204222387</v>
      </c>
      <c r="AR146" s="43">
        <f t="shared" si="136"/>
        <v>-11.872341175644868</v>
      </c>
      <c r="AS146" t="str">
        <f t="shared" si="112"/>
        <v>-0.0000166666666666667</v>
      </c>
      <c r="AT146" t="str">
        <f t="shared" si="113"/>
        <v>4.07060334741495E-06i</v>
      </c>
      <c r="AU146">
        <f t="shared" si="137"/>
        <v>4.0706033474149496E-6</v>
      </c>
      <c r="AV146">
        <f t="shared" si="138"/>
        <v>1.5707963267948966</v>
      </c>
      <c r="AW146" t="str">
        <f t="shared" si="114"/>
        <v>1+0.00413680347105804i</v>
      </c>
      <c r="AX146">
        <f t="shared" si="139"/>
        <v>1.000008556534872</v>
      </c>
      <c r="AY146">
        <f t="shared" si="140"/>
        <v>4.1367798733972748E-3</v>
      </c>
      <c r="AZ146" t="str">
        <f t="shared" si="115"/>
        <v>1+0.140651318015973i</v>
      </c>
      <c r="BA146">
        <f t="shared" si="141"/>
        <v>1.0098429547507031</v>
      </c>
      <c r="BB146">
        <f t="shared" si="142"/>
        <v>0.13973468185492377</v>
      </c>
      <c r="BC146" s="41" t="str">
        <f t="shared" si="143"/>
        <v>-0.558935071542418+4.09670933543889i</v>
      </c>
      <c r="BD146">
        <f t="shared" si="144"/>
        <v>12.328801762177882</v>
      </c>
      <c r="BE146" s="43">
        <f t="shared" si="145"/>
        <v>97.769187494370087</v>
      </c>
      <c r="BF146" s="41" t="str">
        <f t="shared" si="146"/>
        <v>9.64360205201763+75.6639973151367i</v>
      </c>
      <c r="BG146" s="20">
        <f t="shared" si="147"/>
        <v>37.647766691959802</v>
      </c>
      <c r="BH146" s="43">
        <f t="shared" si="148"/>
        <v>82.736642435581828</v>
      </c>
      <c r="BI146" s="41" t="str">
        <f t="shared" si="152"/>
        <v>20.1197492887842+280.468503707016i</v>
      </c>
      <c r="BJ146" s="20">
        <f t="shared" si="149"/>
        <v>48.979973804401752</v>
      </c>
      <c r="BK146" s="43">
        <f t="shared" si="153"/>
        <v>85.896846318725238</v>
      </c>
      <c r="BL146">
        <f t="shared" si="150"/>
        <v>37.647766691959802</v>
      </c>
      <c r="BM146" s="43">
        <f t="shared" si="151"/>
        <v>82.736642435581828</v>
      </c>
    </row>
    <row r="147" spans="14:65" x14ac:dyDescent="0.25">
      <c r="N147" s="9">
        <v>29</v>
      </c>
      <c r="O147" s="34">
        <f t="shared" si="154"/>
        <v>194.98445997580458</v>
      </c>
      <c r="P147" s="33" t="str">
        <f t="shared" ref="P147:P210" si="155">COMPLEX(Adc,0)</f>
        <v>19.1021967526266</v>
      </c>
      <c r="Q147" s="4" t="str">
        <f t="shared" ref="Q147:Q210" si="156">IMSUM(COMPLEX(1,0),IMDIV(COMPLEX(0,2*PI()*O147),COMPLEX(wp_lf,0)))</f>
        <v>1+0.274979962847522i</v>
      </c>
      <c r="R147" s="4">
        <f t="shared" si="117"/>
        <v>1.0371181128336466</v>
      </c>
      <c r="S147" s="4">
        <f t="shared" si="118"/>
        <v>0.26834758242932572</v>
      </c>
      <c r="T147" s="4" t="str">
        <f t="shared" ref="T147:T210" si="157">IMSUM(COMPLEX(1,0),IMDIV(COMPLEX(0,2*PI()*O147),COMPLEX(wz_esr,0)))</f>
        <v>1+0.00460646433762168i</v>
      </c>
      <c r="U147" s="4">
        <f t="shared" si="119"/>
        <v>1.0000106097005639</v>
      </c>
      <c r="V147" s="4">
        <f t="shared" si="120"/>
        <v>4.6064317557254712E-3</v>
      </c>
      <c r="W147" t="str">
        <f t="shared" ref="W147:W210" si="158">IMSUB(COMPLEX(1,0),IMDIV(COMPLEX(0,2*PI()*O147),COMPLEX(wz_rhp,0)))</f>
        <v>1-0.00255234061260067i</v>
      </c>
      <c r="X147" s="4">
        <f t="shared" si="121"/>
        <v>1.0000032572159967</v>
      </c>
      <c r="Y147" s="4">
        <f t="shared" si="122"/>
        <v>-2.5523350702635252E-3</v>
      </c>
      <c r="Z147" t="str">
        <f t="shared" ref="Z147:Z210" si="159">IMSUM(COMPLEX(1,0),IMDIV(COMPLEX(0,2*PI()*O147),COMPLEX(Q*(wsl/2),0)),IMDIV(IMPOWER(COMPLEX(0,2*PI()*O147),2),IMPOWER(COMPLEX(wsl/2,0),2)))</f>
        <v>0.99999996198106+0.0018989414157749i</v>
      </c>
      <c r="AA147" s="4">
        <f t="shared" si="123"/>
        <v>1.0000017649687534</v>
      </c>
      <c r="AB147" s="4">
        <f t="shared" si="124"/>
        <v>1.8989392054613477E-3</v>
      </c>
      <c r="AC147" s="47" t="str">
        <f t="shared" si="125"/>
        <v>17.7603146308823-4.88076677279321i</v>
      </c>
      <c r="AD147" s="20">
        <f t="shared" si="126"/>
        <v>25.305207013372257</v>
      </c>
      <c r="AE147" s="43">
        <f t="shared" si="127"/>
        <v>-15.366294046975399</v>
      </c>
      <c r="AF147" t="str">
        <f t="shared" ref="AF147:AF210" si="160">COMPLEX($B$72,0)</f>
        <v>69.5520360182888</v>
      </c>
      <c r="AG147" t="str">
        <f t="shared" ref="AG147:AG210" si="161">IMSUM(COMPLEX(1,0),IMDIV(COMPLEX(0,2*PI()*O147),COMPLEX(wp_lf_DCM,0)))</f>
        <v>1+0.219355444648652i</v>
      </c>
      <c r="AH147">
        <f t="shared" si="128"/>
        <v>1.0237757621163961</v>
      </c>
      <c r="AI147">
        <f t="shared" si="129"/>
        <v>0.21593542281112688</v>
      </c>
      <c r="AJ147" t="str">
        <f t="shared" ref="AJ147:AJ210" si="162">IMSUM(COMPLEX(1,0),IMDIV(COMPLEX(0,2*PI()*O147),COMPLEX(wz1_dcm,0)))</f>
        <v>1+0.00460646433762168i</v>
      </c>
      <c r="AK147">
        <f t="shared" si="130"/>
        <v>1.0000106097005639</v>
      </c>
      <c r="AL147">
        <f t="shared" si="131"/>
        <v>4.6064317557254712E-3</v>
      </c>
      <c r="AM147" t="str">
        <f t="shared" ref="AM147:AM210" si="163">IMSUB(COMPLEX(1,0),IMDIV(COMPLEX(0,2*PI()*O147),COMPLEX(wz2_dcm,0)))</f>
        <v>1-0.000559189811183177i</v>
      </c>
      <c r="AN147">
        <f t="shared" si="132"/>
        <v>1.0000001563466101</v>
      </c>
      <c r="AO147">
        <f t="shared" si="133"/>
        <v>-5.5918975289822909E-4</v>
      </c>
      <c r="AP147" s="41" t="str">
        <f t="shared" si="134"/>
        <v>66.4181340858431-14.2876831514952i</v>
      </c>
      <c r="AQ147">
        <f t="shared" si="135"/>
        <v>36.642193598883011</v>
      </c>
      <c r="AR147" s="43">
        <f t="shared" si="136"/>
        <v>-12.140298489020497</v>
      </c>
      <c r="AS147" t="str">
        <f t="shared" ref="AS147:AS210" si="164">COMPLEX(Adc_ea,0)</f>
        <v>-0.0000166666666666667</v>
      </c>
      <c r="AT147" t="str">
        <f t="shared" ref="AT147:AT210" si="165">COMPLEX(0,2*PI()*O147*wp0_ea)</f>
        <v>4.16541987976429E-06i</v>
      </c>
      <c r="AU147">
        <f t="shared" si="137"/>
        <v>4.1654198797642903E-6</v>
      </c>
      <c r="AV147">
        <f t="shared" si="138"/>
        <v>1.5707963267948966</v>
      </c>
      <c r="AW147" t="str">
        <f t="shared" ref="AW147:AW210" si="166">IMSUM(COMPLEX(1,0),IMDIV(COMPLEX(0,2*PI()*O147),COMPLEX(wp1_ea,0)))</f>
        <v>1+0.00423316200237637i</v>
      </c>
      <c r="AX147">
        <f t="shared" si="139"/>
        <v>1.0000089597901303</v>
      </c>
      <c r="AY147">
        <f t="shared" si="140"/>
        <v>4.2331367170395373E-3</v>
      </c>
      <c r="AZ147" t="str">
        <f t="shared" ref="AZ147:AZ210" si="167">IMSUM(COMPLEX(1,0),IMDIV(COMPLEX(0,2*PI()*O147),COMPLEX(wz_ea,0)))</f>
        <v>1+0.143927508080797i</v>
      </c>
      <c r="BA147">
        <f t="shared" si="141"/>
        <v>1.0103044727122352</v>
      </c>
      <c r="BB147">
        <f t="shared" si="142"/>
        <v>0.14294585497481119</v>
      </c>
      <c r="BC147" s="41" t="str">
        <f t="shared" si="143"/>
        <v>-0.558934620759536+4.00356333448354i</v>
      </c>
      <c r="BD147">
        <f t="shared" si="144"/>
        <v>12.132766974034194</v>
      </c>
      <c r="BE147" s="43">
        <f t="shared" si="145"/>
        <v>97.947653320957599</v>
      </c>
      <c r="BF147" s="41" t="str">
        <f t="shared" si="146"/>
        <v>9.61360417293822+73.8325739902589i</v>
      </c>
      <c r="BG147" s="20">
        <f t="shared" si="147"/>
        <v>37.437973987406458</v>
      </c>
      <c r="BH147" s="43">
        <f t="shared" si="148"/>
        <v>82.581359273982201</v>
      </c>
      <c r="BI147" s="41" t="str">
        <f t="shared" si="152"/>
        <v>20.0782498132177+273.895087134706i</v>
      </c>
      <c r="BJ147" s="20">
        <f t="shared" si="149"/>
        <v>48.774960572917209</v>
      </c>
      <c r="BK147" s="43">
        <f t="shared" si="153"/>
        <v>85.80735483193709</v>
      </c>
      <c r="BL147">
        <f t="shared" si="150"/>
        <v>37.437973987406458</v>
      </c>
      <c r="BM147" s="43">
        <f t="shared" si="151"/>
        <v>82.581359273982201</v>
      </c>
    </row>
    <row r="148" spans="14:65" x14ac:dyDescent="0.25">
      <c r="N148" s="9">
        <v>30</v>
      </c>
      <c r="O148" s="34">
        <f t="shared" si="154"/>
        <v>199.52623149688802</v>
      </c>
      <c r="P148" s="33" t="str">
        <f t="shared" si="155"/>
        <v>19.1021967526266</v>
      </c>
      <c r="Q148" s="4" t="str">
        <f t="shared" si="156"/>
        <v>1+0.281385068999492i</v>
      </c>
      <c r="R148" s="4">
        <f t="shared" ref="R148:R211" si="168">IMABS(Q148)</f>
        <v>1.0388347111335128</v>
      </c>
      <c r="S148" s="4">
        <f t="shared" ref="S148:S211" si="169">IMARGUMENT(Q148)</f>
        <v>0.27429261472681654</v>
      </c>
      <c r="T148" s="4" t="str">
        <f t="shared" si="157"/>
        <v>1+0.00471376267587948i</v>
      </c>
      <c r="U148" s="4">
        <f t="shared" ref="U148:U211" si="170">IMABS(T148)</f>
        <v>1.0000111097175692</v>
      </c>
      <c r="V148" s="4">
        <f t="shared" ref="V148:V211" si="171">IMARGUMENT(T148)</f>
        <v>4.7137277637696387E-3</v>
      </c>
      <c r="W148" t="str">
        <f t="shared" si="158"/>
        <v>1-0.00261179226278783i</v>
      </c>
      <c r="X148" s="4">
        <f t="shared" ref="X148:X211" si="172">IMABS(W148)</f>
        <v>1.0000034107235956</v>
      </c>
      <c r="Y148" s="4">
        <f t="shared" ref="Y148:Y211" si="173">IMARGUMENT(W148)</f>
        <v>-2.6117863240676773E-3</v>
      </c>
      <c r="Z148" t="str">
        <f t="shared" si="159"/>
        <v>0.999999960189283+0.00194317344351415i</v>
      </c>
      <c r="AA148" s="4">
        <f t="shared" ref="AA148:AA211" si="174">IMABS(Z148)</f>
        <v>1.000001848149092</v>
      </c>
      <c r="AB148" s="4">
        <f t="shared" ref="AB148:AB211" si="175">IMARGUMENT(Z148)</f>
        <v>1.9431710751207432E-3</v>
      </c>
      <c r="AC148" s="47" t="str">
        <f t="shared" ref="AC148:AC211" si="176">(IMDIV(IMPRODUCT(P148,T148,W148),IMPRODUCT(Q148,Z148)))</f>
        <v>17.7017135585841-4.97796498992809i</v>
      </c>
      <c r="AD148" s="20">
        <f t="shared" ref="AD148:AD211" si="177">20*LOG(IMABS(AC148))</f>
        <v>25.290847299043961</v>
      </c>
      <c r="AE148" s="43">
        <f t="shared" ref="AE148:AE211" si="178">(180/PI())*IMARGUMENT(AC148)</f>
        <v>-15.706712303652264</v>
      </c>
      <c r="AF148" t="str">
        <f t="shared" si="160"/>
        <v>69.5520360182888</v>
      </c>
      <c r="AG148" t="str">
        <f t="shared" si="161"/>
        <v>1+0.224464889327595i</v>
      </c>
      <c r="AH148">
        <f t="shared" ref="AH148:AH211" si="179">IMABS(AG148)</f>
        <v>1.0248826696460671</v>
      </c>
      <c r="AI148">
        <f t="shared" ref="AI148:AI211" si="180">IMARGUMENT(AG148)</f>
        <v>0.22080505797567854</v>
      </c>
      <c r="AJ148" t="str">
        <f t="shared" si="162"/>
        <v>1+0.00471376267587948i</v>
      </c>
      <c r="AK148">
        <f t="shared" ref="AK148:AK211" si="181">IMABS(AJ148)</f>
        <v>1.0000111097175692</v>
      </c>
      <c r="AL148">
        <f t="shared" ref="AL148:AL211" si="182">IMARGUMENT(AJ148)</f>
        <v>4.7137277637696387E-3</v>
      </c>
      <c r="AM148" t="str">
        <f t="shared" si="163"/>
        <v>1-0.000572215015138544i</v>
      </c>
      <c r="AN148">
        <f t="shared" ref="AN148:AN211" si="183">IMABS(AM148)</f>
        <v>1.0000001637149984</v>
      </c>
      <c r="AO148">
        <f t="shared" ref="AO148:AO211" si="184">IMARGUMENT(AM148)</f>
        <v>-5.7221495268509762E-4</v>
      </c>
      <c r="AP148" s="41" t="str">
        <f t="shared" ref="AP148:AP211" si="185">(IMDIV(IMPRODUCT(AF148,AJ148,AM148),IMPRODUCT(AG148)))</f>
        <v>66.2775224815186-14.58892367665i</v>
      </c>
      <c r="AQ148">
        <f t="shared" ref="AQ148:AQ211" si="186">20*LOG(IMABS(AP148))</f>
        <v>36.632811885306438</v>
      </c>
      <c r="AR148" s="43">
        <f t="shared" ref="AR148:AR211" si="187">(180/PI())*IMARGUMENT(AP148)</f>
        <v>-12.413906712273374</v>
      </c>
      <c r="AS148" t="str">
        <f t="shared" si="164"/>
        <v>-0.0000166666666666667</v>
      </c>
      <c r="AT148" t="str">
        <f t="shared" si="165"/>
        <v>4.26244497286974E-06i</v>
      </c>
      <c r="AU148">
        <f t="shared" ref="AU148:AU211" si="188">IMABS(AT148)</f>
        <v>4.2624449728697403E-6</v>
      </c>
      <c r="AV148">
        <f t="shared" ref="AV148:AV211" si="189">IMARGUMENT(AT148)</f>
        <v>1.5707963267948966</v>
      </c>
      <c r="AW148" t="str">
        <f t="shared" si="166"/>
        <v>1+0.00433176501222091i</v>
      </c>
      <c r="AX148">
        <f t="shared" ref="AX148:AX211" si="190">IMABS(AW148)</f>
        <v>1.0000093820500491</v>
      </c>
      <c r="AY148">
        <f t="shared" ref="AY148:AY211" si="191">IMARGUMENT(AW148)</f>
        <v>4.3317379185080817E-3</v>
      </c>
      <c r="AZ148" t="str">
        <f t="shared" si="167"/>
        <v>1+0.147280010415511i</v>
      </c>
      <c r="BA148">
        <f t="shared" ref="BA148:BA211" si="192">IMABS(AZ148)</f>
        <v>1.010787515488786</v>
      </c>
      <c r="BB148">
        <f t="shared" ref="BB148:BB211" si="193">IMARGUMENT(AZ148)</f>
        <v>0.1462287555060556</v>
      </c>
      <c r="BC148" s="41" t="str">
        <f t="shared" ref="BC148:BC211" si="194">IMPRODUCT(AS148,IMDIV(AZ148,IMPRODUCT(AT148,AW148)))</f>
        <v>-0.558934148732688+3.91254007562162i</v>
      </c>
      <c r="BD148">
        <f t="shared" ref="BD148:BD211" si="195">20*LOG(IMABS(BC148))</f>
        <v>11.936915177088061</v>
      </c>
      <c r="BE148" s="43">
        <f t="shared" ref="BE148:BE211" si="196">(180/PI())*IMARGUMENT(BC148)</f>
        <v>98.130100233260109</v>
      </c>
      <c r="BF148" s="41" t="str">
        <f t="shared" ref="BF148:BF211" si="197">IMPRODUCT(AC148,BC148)</f>
        <v>9.58239531915794+72.0410183292015i</v>
      </c>
      <c r="BG148" s="20">
        <f t="shared" ref="BG148:BG211" si="198">20*LOG(IMABS(BF148))</f>
        <v>37.227762476132028</v>
      </c>
      <c r="BH148" s="43">
        <f t="shared" ref="BH148:BH211" si="199">(180/PI())*IMARGUMENT(BF148)</f>
        <v>82.423387929607856</v>
      </c>
      <c r="BI148" s="41" t="str">
        <f t="shared" si="152"/>
        <v>20.034977936759+267.467710457989i</v>
      </c>
      <c r="BJ148" s="20">
        <f t="shared" ref="BJ148:BJ211" si="200">20*LOG(IMABS(BI148))</f>
        <v>48.569727062394499</v>
      </c>
      <c r="BK148" s="43">
        <f t="shared" si="153"/>
        <v>85.716193520986764</v>
      </c>
      <c r="BL148">
        <f t="shared" ref="BL148:BL211" si="201">IF($B$31=0,BJ148,BG148)</f>
        <v>37.227762476132028</v>
      </c>
      <c r="BM148" s="43">
        <f t="shared" ref="BM148:BM211" si="202">IF($B$31=0,BK148,BH148)</f>
        <v>82.423387929607856</v>
      </c>
    </row>
    <row r="149" spans="14:65" x14ac:dyDescent="0.25">
      <c r="N149" s="9">
        <v>31</v>
      </c>
      <c r="O149" s="34">
        <f t="shared" si="154"/>
        <v>204.17379446695315</v>
      </c>
      <c r="P149" s="33" t="str">
        <f t="shared" si="155"/>
        <v>19.1021967526266</v>
      </c>
      <c r="Q149" s="4" t="str">
        <f t="shared" si="156"/>
        <v>1+0.287939369239615i</v>
      </c>
      <c r="R149" s="4">
        <f t="shared" si="168"/>
        <v>1.0406291752387626</v>
      </c>
      <c r="S149" s="4">
        <f t="shared" si="169"/>
        <v>0.28035560040405877</v>
      </c>
      <c r="T149" s="4" t="str">
        <f t="shared" si="157"/>
        <v>1+0.00482356031350203i</v>
      </c>
      <c r="U149" s="4">
        <f t="shared" si="170"/>
        <v>1.0000116332993823</v>
      </c>
      <c r="V149" s="4">
        <f t="shared" si="171"/>
        <v>4.8235229045258529E-3</v>
      </c>
      <c r="W149" t="str">
        <f t="shared" si="158"/>
        <v>1-0.00267262871980388i</v>
      </c>
      <c r="X149" s="4">
        <f t="shared" si="172"/>
        <v>1.0000035714657591</v>
      </c>
      <c r="Y149" s="4">
        <f t="shared" si="173"/>
        <v>-2.6726223563518152E-3</v>
      </c>
      <c r="Z149" t="str">
        <f t="shared" si="159"/>
        <v>0.999999958313062+0.00198843576753408i</v>
      </c>
      <c r="AA149" s="4">
        <f t="shared" si="174"/>
        <v>1.000001935249591</v>
      </c>
      <c r="AB149" s="4">
        <f t="shared" si="175"/>
        <v>1.9884332297550869E-3</v>
      </c>
      <c r="AC149" s="47" t="str">
        <f t="shared" si="176"/>
        <v>17.6407640779026-5.07636695764572i</v>
      </c>
      <c r="AD149" s="20">
        <f t="shared" si="177"/>
        <v>25.275861583078697</v>
      </c>
      <c r="AE149" s="43">
        <f t="shared" si="178"/>
        <v>-16.053883974354566</v>
      </c>
      <c r="AF149" t="str">
        <f t="shared" si="160"/>
        <v>69.5520360182888</v>
      </c>
      <c r="AG149" t="str">
        <f t="shared" si="161"/>
        <v>1+0.229693348262002i</v>
      </c>
      <c r="AH149">
        <f t="shared" si="179"/>
        <v>1.0260404642292669</v>
      </c>
      <c r="AI149">
        <f t="shared" si="180"/>
        <v>0.22577712360773672</v>
      </c>
      <c r="AJ149" t="str">
        <f t="shared" si="162"/>
        <v>1+0.00482356031350203i</v>
      </c>
      <c r="AK149">
        <f t="shared" si="181"/>
        <v>1.0000116332993823</v>
      </c>
      <c r="AL149">
        <f t="shared" si="182"/>
        <v>4.8235229045258529E-3</v>
      </c>
      <c r="AM149" t="str">
        <f t="shared" si="163"/>
        <v>1-0.000585543615069096i</v>
      </c>
      <c r="AN149">
        <f t="shared" si="183"/>
        <v>1.0000001714306479</v>
      </c>
      <c r="AO149">
        <f t="shared" si="184"/>
        <v>-5.8554354814902324E-4</v>
      </c>
      <c r="AP149" s="41" t="str">
        <f t="shared" si="185"/>
        <v>66.1309333157719-14.8950728069353i</v>
      </c>
      <c r="AQ149">
        <f t="shared" si="186"/>
        <v>36.623009719015954</v>
      </c>
      <c r="AR149" s="43">
        <f t="shared" si="187"/>
        <v>-12.69325796254285</v>
      </c>
      <c r="AS149" t="str">
        <f t="shared" si="164"/>
        <v>-0.0000166666666666667</v>
      </c>
      <c r="AT149" t="str">
        <f t="shared" si="165"/>
        <v>4.36173007071994E-06i</v>
      </c>
      <c r="AU149">
        <f t="shared" si="188"/>
        <v>4.36173007071994E-6</v>
      </c>
      <c r="AV149">
        <f t="shared" si="189"/>
        <v>1.5707963267948966</v>
      </c>
      <c r="AW149" t="str">
        <f t="shared" si="166"/>
        <v>1+0.0044326647812126i</v>
      </c>
      <c r="AX149">
        <f t="shared" si="190"/>
        <v>1.0000098242102737</v>
      </c>
      <c r="AY149">
        <f t="shared" si="191"/>
        <v>4.4326357497916583E-3</v>
      </c>
      <c r="AZ149" t="str">
        <f t="shared" si="167"/>
        <v>1+0.150710602561228i</v>
      </c>
      <c r="BA149">
        <f t="shared" si="192"/>
        <v>1.0112930760785266</v>
      </c>
      <c r="BB149">
        <f t="shared" si="193"/>
        <v>0.14958484088862548</v>
      </c>
      <c r="BC149" s="41" t="str">
        <f t="shared" si="194"/>
        <v>-0.558933654460751+3.82359129710364i</v>
      </c>
      <c r="BD149">
        <f t="shared" si="195"/>
        <v>11.741254628917211</v>
      </c>
      <c r="BE149" s="43">
        <f t="shared" si="196"/>
        <v>98.316608741472294</v>
      </c>
      <c r="BF149" s="41" t="str">
        <f t="shared" si="197"/>
        <v>9.54993578661662+70.2884243375476i</v>
      </c>
      <c r="BG149" s="20">
        <f t="shared" si="198"/>
        <v>37.017116211995905</v>
      </c>
      <c r="BH149" s="43">
        <f t="shared" si="199"/>
        <v>82.262724767117717</v>
      </c>
      <c r="BI149" s="41" t="str">
        <f t="shared" si="152"/>
        <v>19.9898665232383+261.183018572966i</v>
      </c>
      <c r="BJ149" s="20">
        <f t="shared" si="200"/>
        <v>48.364264347933172</v>
      </c>
      <c r="BK149" s="43">
        <f t="shared" si="153"/>
        <v>85.623350778929449</v>
      </c>
      <c r="BL149">
        <f t="shared" si="201"/>
        <v>37.017116211995905</v>
      </c>
      <c r="BM149" s="43">
        <f t="shared" si="202"/>
        <v>82.262724767117717</v>
      </c>
    </row>
    <row r="150" spans="14:65" x14ac:dyDescent="0.25">
      <c r="N150" s="9">
        <v>32</v>
      </c>
      <c r="O150" s="34">
        <f t="shared" si="154"/>
        <v>208.92961308540396</v>
      </c>
      <c r="P150" s="33" t="str">
        <f t="shared" si="155"/>
        <v>19.1021967526266</v>
      </c>
      <c r="Q150" s="4" t="str">
        <f t="shared" si="156"/>
        <v>1+0.29464633874464i</v>
      </c>
      <c r="R150" s="4">
        <f t="shared" si="168"/>
        <v>1.0425048992381865</v>
      </c>
      <c r="S150" s="4">
        <f t="shared" si="169"/>
        <v>0.28653797044703527</v>
      </c>
      <c r="T150" s="4" t="str">
        <f t="shared" si="157"/>
        <v>1+0.00493591546665021i</v>
      </c>
      <c r="U150" s="4">
        <f t="shared" si="170"/>
        <v>1.0000121815565519</v>
      </c>
      <c r="V150" s="4">
        <f t="shared" si="171"/>
        <v>4.935875382236418E-3</v>
      </c>
      <c r="W150" t="str">
        <f t="shared" si="158"/>
        <v>1-0.0027348822399436i</v>
      </c>
      <c r="X150" s="4">
        <f t="shared" si="172"/>
        <v>1.0000037397834403</v>
      </c>
      <c r="Y150" s="4">
        <f t="shared" si="173"/>
        <v>-2.734875421383242E-3</v>
      </c>
      <c r="Z150" t="str">
        <f t="shared" si="159"/>
        <v>0.999999956348417+0.00203475238651804i</v>
      </c>
      <c r="AA150" s="4">
        <f t="shared" si="174"/>
        <v>1.0000020264550018</v>
      </c>
      <c r="AB150" s="4">
        <f t="shared" si="175"/>
        <v>2.0347496672391547E-3</v>
      </c>
      <c r="AC150" s="47" t="str">
        <f t="shared" si="176"/>
        <v>17.5773907214455-5.17593803082707i</v>
      </c>
      <c r="AD150" s="20">
        <f t="shared" si="177"/>
        <v>25.260224876216022</v>
      </c>
      <c r="AE150" s="43">
        <f t="shared" si="178"/>
        <v>-16.407890936692517</v>
      </c>
      <c r="AF150" t="str">
        <f t="shared" si="160"/>
        <v>69.5520360182888</v>
      </c>
      <c r="AG150" t="str">
        <f t="shared" si="161"/>
        <v>1+0.23504359365001i</v>
      </c>
      <c r="AH150">
        <f t="shared" si="179"/>
        <v>1.0272514253657237</v>
      </c>
      <c r="AI150">
        <f t="shared" si="180"/>
        <v>0.23085327218618892</v>
      </c>
      <c r="AJ150" t="str">
        <f t="shared" si="162"/>
        <v>1+0.00493591546665021i</v>
      </c>
      <c r="AK150">
        <f t="shared" si="181"/>
        <v>1.0000121815565519</v>
      </c>
      <c r="AL150">
        <f t="shared" si="182"/>
        <v>4.935875382236418E-3</v>
      </c>
      <c r="AM150" t="str">
        <f t="shared" si="163"/>
        <v>1-0.000599182677974949i</v>
      </c>
      <c r="AN150">
        <f t="shared" si="183"/>
        <v>1.0000001795099247</v>
      </c>
      <c r="AO150">
        <f t="shared" si="184"/>
        <v>-5.9918260626879978E-4</v>
      </c>
      <c r="AP150" s="41" t="str">
        <f t="shared" si="185"/>
        <v>65.9781427049703-15.2061111686098i</v>
      </c>
      <c r="AQ150">
        <f t="shared" si="186"/>
        <v>36.612769270416621</v>
      </c>
      <c r="AR150" s="43">
        <f t="shared" si="187"/>
        <v>-12.978443989945665</v>
      </c>
      <c r="AS150" t="str">
        <f t="shared" si="164"/>
        <v>-0.0000166666666666667</v>
      </c>
      <c r="AT150" t="str">
        <f t="shared" si="165"/>
        <v>4.46332781558795E-06i</v>
      </c>
      <c r="AU150">
        <f t="shared" si="188"/>
        <v>4.46332781558795E-6</v>
      </c>
      <c r="AV150">
        <f t="shared" si="189"/>
        <v>1.5707963267948966</v>
      </c>
      <c r="AW150" t="str">
        <f t="shared" si="166"/>
        <v>1+0.00453591480774458i</v>
      </c>
      <c r="AX150">
        <f t="shared" si="190"/>
        <v>1.0000102872086583</v>
      </c>
      <c r="AY150">
        <f t="shared" si="191"/>
        <v>4.535883700033866E-3</v>
      </c>
      <c r="AZ150" t="str">
        <f t="shared" si="167"/>
        <v>1+0.154221103463316i</v>
      </c>
      <c r="BA150">
        <f t="shared" si="192"/>
        <v>1.0118221922617843</v>
      </c>
      <c r="BB150">
        <f t="shared" si="193"/>
        <v>0.15301558800171353</v>
      </c>
      <c r="BC150" s="41" t="str">
        <f t="shared" si="194"/>
        <v>-0.558933136895443+3.73666983709602i</v>
      </c>
      <c r="BD150">
        <f t="shared" si="195"/>
        <v>11.545793942082927</v>
      </c>
      <c r="BE150" s="43">
        <f t="shared" si="196"/>
        <v>98.507260399836682</v>
      </c>
      <c r="BF150" s="41" t="str">
        <f t="shared" si="197"/>
        <v>9.5161853840953+68.5739090036235i</v>
      </c>
      <c r="BG150" s="20">
        <f t="shared" si="198"/>
        <v>36.806018818298952</v>
      </c>
      <c r="BH150" s="43">
        <f t="shared" si="199"/>
        <v>82.099369463144171</v>
      </c>
      <c r="BI150" s="41" t="str">
        <f t="shared" si="152"/>
        <v>19.9428466746489+255.037735168731i</v>
      </c>
      <c r="BJ150" s="20">
        <f t="shared" si="200"/>
        <v>48.158563212499537</v>
      </c>
      <c r="BK150" s="43">
        <f t="shared" si="153"/>
        <v>85.528816409891036</v>
      </c>
      <c r="BL150">
        <f t="shared" si="201"/>
        <v>36.806018818298952</v>
      </c>
      <c r="BM150" s="43">
        <f t="shared" si="202"/>
        <v>82.099369463144171</v>
      </c>
    </row>
    <row r="151" spans="14:65" x14ac:dyDescent="0.25">
      <c r="N151" s="9">
        <v>33</v>
      </c>
      <c r="O151" s="34">
        <f t="shared" si="154"/>
        <v>213.79620895022339</v>
      </c>
      <c r="P151" s="33" t="str">
        <f t="shared" si="155"/>
        <v>19.1021967526266</v>
      </c>
      <c r="Q151" s="4" t="str">
        <f t="shared" si="156"/>
        <v>1+0.301509533638571i</v>
      </c>
      <c r="R151" s="4">
        <f t="shared" si="168"/>
        <v>1.0444654129625111</v>
      </c>
      <c r="S151" s="4">
        <f t="shared" si="169"/>
        <v>0.29284111170015137</v>
      </c>
      <c r="T151" s="4" t="str">
        <f t="shared" si="157"/>
        <v>1+0.00505088770751334i</v>
      </c>
      <c r="U151" s="4">
        <f t="shared" si="170"/>
        <v>1.0000127556519636</v>
      </c>
      <c r="V151" s="4">
        <f t="shared" si="171"/>
        <v>5.0508447563197131E-3</v>
      </c>
      <c r="W151" t="str">
        <f t="shared" si="158"/>
        <v>1-0.00279858583084737i</v>
      </c>
      <c r="X151" s="4">
        <f t="shared" si="172"/>
        <v>1.0000039160336587</v>
      </c>
      <c r="Y151" s="4">
        <f t="shared" si="173"/>
        <v>-2.7985785246298581E-3</v>
      </c>
      <c r="Z151" t="str">
        <f t="shared" si="159"/>
        <v>0.999999954291181+0.00208214785815045i</v>
      </c>
      <c r="AA151" s="4">
        <f t="shared" si="174"/>
        <v>1.0000021219587825</v>
      </c>
      <c r="AB151" s="4">
        <f t="shared" si="175"/>
        <v>2.0821449443909623E-3</v>
      </c>
      <c r="AC151" s="47" t="str">
        <f t="shared" si="176"/>
        <v>17.5115172451491-5.2766396603204i</v>
      </c>
      <c r="AD151" s="20">
        <f t="shared" si="177"/>
        <v>25.243911394802613</v>
      </c>
      <c r="AE151" s="43">
        <f t="shared" si="178"/>
        <v>-16.768812536570188</v>
      </c>
      <c r="AF151" t="str">
        <f t="shared" si="160"/>
        <v>69.5520360182888</v>
      </c>
      <c r="AG151" t="str">
        <f t="shared" si="161"/>
        <v>1+0.24051846226254i</v>
      </c>
      <c r="AH151">
        <f t="shared" si="179"/>
        <v>1.0285179292015949</v>
      </c>
      <c r="AI151">
        <f t="shared" si="180"/>
        <v>0.23603514829745523</v>
      </c>
      <c r="AJ151" t="str">
        <f t="shared" si="162"/>
        <v>1+0.00505088770751334i</v>
      </c>
      <c r="AK151">
        <f t="shared" si="181"/>
        <v>1.0000127556519636</v>
      </c>
      <c r="AL151">
        <f t="shared" si="182"/>
        <v>5.0508447563197131E-3</v>
      </c>
      <c r="AM151" t="str">
        <f t="shared" si="163"/>
        <v>1-0.000613139435467779i</v>
      </c>
      <c r="AN151">
        <f t="shared" si="183"/>
        <v>1.000000187969966</v>
      </c>
      <c r="AO151">
        <f t="shared" si="184"/>
        <v>-6.1313935863325651E-4</v>
      </c>
      <c r="AP151" s="41" t="str">
        <f t="shared" si="185"/>
        <v>65.8189211318186-15.522011270747i</v>
      </c>
      <c r="AQ151">
        <f t="shared" si="186"/>
        <v>36.602072046171472</v>
      </c>
      <c r="AR151" s="43">
        <f t="shared" si="187"/>
        <v>-13.269556024178826</v>
      </c>
      <c r="AS151" t="str">
        <f t="shared" si="164"/>
        <v>-0.0000166666666666667</v>
      </c>
      <c r="AT151" t="str">
        <f t="shared" si="165"/>
        <v>4.56729207594292E-06i</v>
      </c>
      <c r="AU151">
        <f t="shared" si="188"/>
        <v>4.5672920759429201E-6</v>
      </c>
      <c r="AV151">
        <f t="shared" si="189"/>
        <v>1.5707963267948966</v>
      </c>
      <c r="AW151" t="str">
        <f t="shared" si="166"/>
        <v>1+0.00464156983634752i</v>
      </c>
      <c r="AX151">
        <f t="shared" si="190"/>
        <v>1.0000107720272546</v>
      </c>
      <c r="AY151">
        <f t="shared" si="191"/>
        <v>4.6415365038543401E-3</v>
      </c>
      <c r="AZ151" t="str">
        <f t="shared" si="167"/>
        <v>1+0.157813374435816i</v>
      </c>
      <c r="BA151">
        <f t="shared" si="192"/>
        <v>1.0123759485244694</v>
      </c>
      <c r="BB151">
        <f t="shared" si="193"/>
        <v>0.15652249266643167</v>
      </c>
      <c r="BC151" s="41" t="str">
        <f t="shared" si="194"/>
        <v>-0.558932594939053+3.65172960867536i</v>
      </c>
      <c r="BD151">
        <f t="shared" si="195"/>
        <v>11.350542097731433</v>
      </c>
      <c r="BE151" s="43">
        <f t="shared" si="196"/>
        <v>98.702137776527152</v>
      </c>
      <c r="BF151" s="41" t="str">
        <f t="shared" si="197"/>
        <v>9.48110350675154+66.8966119148413i</v>
      </c>
      <c r="BG151" s="20">
        <f t="shared" si="198"/>
        <v>36.594453492534043</v>
      </c>
      <c r="BH151" s="43">
        <f t="shared" si="199"/>
        <v>81.933325239956957</v>
      </c>
      <c r="BI151" s="41" t="str">
        <f t="shared" si="152"/>
        <v>19.8938477592832+249.028661146362i</v>
      </c>
      <c r="BJ151" s="20">
        <f t="shared" si="200"/>
        <v>47.952614143902899</v>
      </c>
      <c r="BK151" s="43">
        <f t="shared" si="153"/>
        <v>85.432581752348327</v>
      </c>
      <c r="BL151">
        <f t="shared" si="201"/>
        <v>36.594453492534043</v>
      </c>
      <c r="BM151" s="43">
        <f t="shared" si="202"/>
        <v>81.933325239956957</v>
      </c>
    </row>
    <row r="152" spans="14:65" x14ac:dyDescent="0.25">
      <c r="N152" s="9">
        <v>34</v>
      </c>
      <c r="O152" s="34">
        <f t="shared" si="154"/>
        <v>218.77616239495524</v>
      </c>
      <c r="P152" s="33" t="str">
        <f t="shared" si="155"/>
        <v>19.1021967526266</v>
      </c>
      <c r="Q152" s="4" t="str">
        <f t="shared" si="156"/>
        <v>1+0.308532592878188i</v>
      </c>
      <c r="R152" s="4">
        <f t="shared" si="168"/>
        <v>1.0465143863646298</v>
      </c>
      <c r="S152" s="4">
        <f t="shared" si="169"/>
        <v>0.29926636204991891</v>
      </c>
      <c r="T152" s="4" t="str">
        <f t="shared" si="157"/>
        <v>1+0.0051685379958954i</v>
      </c>
      <c r="U152" s="4">
        <f t="shared" si="170"/>
        <v>1.0000133568033054</v>
      </c>
      <c r="V152" s="4">
        <f t="shared" si="171"/>
        <v>5.1684919728954455E-3</v>
      </c>
      <c r="W152" t="str">
        <f t="shared" si="158"/>
        <v>1-0.00286377326900233i</v>
      </c>
      <c r="X152" s="4">
        <f t="shared" si="172"/>
        <v>1.0000041005902607</v>
      </c>
      <c r="Y152" s="4">
        <f t="shared" si="173"/>
        <v>-2.863765440250951E-3</v>
      </c>
      <c r="Z152" t="str">
        <f t="shared" si="159"/>
        <v>0.999999952136991+0.00213064731213773i</v>
      </c>
      <c r="AA152" s="4">
        <f t="shared" si="174"/>
        <v>1.0000022219635079</v>
      </c>
      <c r="AB152" s="4">
        <f t="shared" si="175"/>
        <v>2.1306441899885623E-3</v>
      </c>
      <c r="AC152" s="47" t="str">
        <f t="shared" si="176"/>
        <v>17.4430667820716-5.37842921621288i</v>
      </c>
      <c r="AD152" s="20">
        <f t="shared" si="177"/>
        <v>25.226894553470508</v>
      </c>
      <c r="AE152" s="43">
        <f t="shared" si="178"/>
        <v>-17.136725312172484</v>
      </c>
      <c r="AF152" t="str">
        <f t="shared" si="160"/>
        <v>69.5520360182888</v>
      </c>
      <c r="AG152" t="str">
        <f t="shared" si="161"/>
        <v>1+0.246120856947401i</v>
      </c>
      <c r="AH152">
        <f t="shared" si="179"/>
        <v>1.0298424521374727</v>
      </c>
      <c r="AI152">
        <f t="shared" si="180"/>
        <v>0.24132438580763937</v>
      </c>
      <c r="AJ152" t="str">
        <f t="shared" si="162"/>
        <v>1+0.0051685379958954i</v>
      </c>
      <c r="AK152">
        <f t="shared" si="181"/>
        <v>1.0000133568033054</v>
      </c>
      <c r="AL152">
        <f t="shared" si="182"/>
        <v>5.1684919728954455E-3</v>
      </c>
      <c r="AM152" t="str">
        <f t="shared" si="163"/>
        <v>1-0.000627421287605156i</v>
      </c>
      <c r="AN152">
        <f t="shared" si="183"/>
        <v>1.0000001968287167</v>
      </c>
      <c r="AO152">
        <f t="shared" si="184"/>
        <v>-6.2742120527548278E-4</v>
      </c>
      <c r="AP152" s="41" t="str">
        <f t="shared" si="185"/>
        <v>65.653033565822-15.8427369695583i</v>
      </c>
      <c r="AQ152">
        <f t="shared" si="186"/>
        <v>36.590898872887081</v>
      </c>
      <c r="AR152" s="43">
        <f t="shared" si="187"/>
        <v>-13.566684610909634</v>
      </c>
      <c r="AS152" t="str">
        <f t="shared" si="164"/>
        <v>-0.0000166666666666667</v>
      </c>
      <c r="AT152" t="str">
        <f t="shared" si="165"/>
        <v>0.0000046736779750118i</v>
      </c>
      <c r="AU152">
        <f t="shared" si="188"/>
        <v>4.6736779750118001E-6</v>
      </c>
      <c r="AV152">
        <f t="shared" si="189"/>
        <v>1.5707963267948966</v>
      </c>
      <c r="AW152" t="str">
        <f t="shared" si="166"/>
        <v>1+0.00474968588671615i</v>
      </c>
      <c r="AX152">
        <f t="shared" si="190"/>
        <v>1.0000112796943954</v>
      </c>
      <c r="AY152">
        <f t="shared" si="191"/>
        <v>4.7496501703279742E-3</v>
      </c>
      <c r="AZ152" t="str">
        <f t="shared" si="167"/>
        <v>1+0.161489320148349i</v>
      </c>
      <c r="BA152">
        <f t="shared" si="192"/>
        <v>1.0129554780551691</v>
      </c>
      <c r="BB152">
        <f t="shared" si="193"/>
        <v>0.16010706907908823</v>
      </c>
      <c r="BC152" s="41" t="str">
        <f t="shared" si="194"/>
        <v>-0.558932027442173+3.56872557539242i</v>
      </c>
      <c r="BD152">
        <f t="shared" si="195"/>
        <v>11.155508459557982</v>
      </c>
      <c r="BE152" s="43">
        <f t="shared" si="196"/>
        <v>98.901324419517891</v>
      </c>
      <c r="BF152" s="41" t="str">
        <f t="shared" si="197"/>
        <v>9.44464921802421+65.255694884729i</v>
      </c>
      <c r="BG152" s="20">
        <f t="shared" si="198"/>
        <v>36.382403013028494</v>
      </c>
      <c r="BH152" s="43">
        <f t="shared" si="199"/>
        <v>81.764599107345433</v>
      </c>
      <c r="BI152" s="41" t="str">
        <f t="shared" si="152"/>
        <v>19.8427974488038+243.152673083074i</v>
      </c>
      <c r="BJ152" s="20">
        <f t="shared" si="200"/>
        <v>47.746407332445045</v>
      </c>
      <c r="BK152" s="43">
        <f t="shared" si="153"/>
        <v>85.334639808608259</v>
      </c>
      <c r="BL152">
        <f t="shared" si="201"/>
        <v>36.382403013028494</v>
      </c>
      <c r="BM152" s="43">
        <f t="shared" si="202"/>
        <v>81.764599107345433</v>
      </c>
    </row>
    <row r="153" spans="14:65" x14ac:dyDescent="0.25">
      <c r="N153" s="9">
        <v>35</v>
      </c>
      <c r="O153" s="34">
        <f t="shared" si="154"/>
        <v>223.87211385683412</v>
      </c>
      <c r="P153" s="33" t="str">
        <f t="shared" si="155"/>
        <v>19.1021967526266</v>
      </c>
      <c r="Q153" s="4" t="str">
        <f t="shared" si="156"/>
        <v>1+0.315719240182462i</v>
      </c>
      <c r="R153" s="4">
        <f t="shared" si="168"/>
        <v>1.0486556339530109</v>
      </c>
      <c r="S153" s="4">
        <f t="shared" si="169"/>
        <v>0.30581500539616813</v>
      </c>
      <c r="T153" s="4" t="str">
        <f t="shared" si="157"/>
        <v>1+0.00528892871153659i</v>
      </c>
      <c r="U153" s="4">
        <f t="shared" si="170"/>
        <v>1.0000139862856499</v>
      </c>
      <c r="V153" s="4">
        <f t="shared" si="171"/>
        <v>5.2888793970409043E-3</v>
      </c>
      <c r="W153" t="str">
        <f t="shared" si="158"/>
        <v>1-0.00293047911765104i</v>
      </c>
      <c r="X153" s="4">
        <f t="shared" si="172"/>
        <v>1.0000042938447109</v>
      </c>
      <c r="Y153" s="4">
        <f t="shared" si="173"/>
        <v>-2.9304707289947471E-3</v>
      </c>
      <c r="Z153" t="str">
        <f t="shared" si="159"/>
        <v>0.999999949881277+0.00218027646353237i</v>
      </c>
      <c r="AA153" s="4">
        <f t="shared" si="174"/>
        <v>1.0000023266813005</v>
      </c>
      <c r="AB153" s="4">
        <f t="shared" si="175"/>
        <v>2.1802731180896834E-3</v>
      </c>
      <c r="AC153" s="47" t="str">
        <f t="shared" si="176"/>
        <v>17.3719620126528-5.48125981252125i</v>
      </c>
      <c r="AD153" s="20">
        <f t="shared" si="177"/>
        <v>25.209146959514111</v>
      </c>
      <c r="AE153" s="43">
        <f t="shared" si="178"/>
        <v>-17.511702705777132</v>
      </c>
      <c r="AF153" t="str">
        <f t="shared" si="160"/>
        <v>69.5520360182888</v>
      </c>
      <c r="AG153" t="str">
        <f t="shared" si="161"/>
        <v>1+0.25185374816841i</v>
      </c>
      <c r="AH153">
        <f t="shared" si="179"/>
        <v>1.0312275745277939</v>
      </c>
      <c r="AI153">
        <f t="shared" si="180"/>
        <v>0.24672260485103079</v>
      </c>
      <c r="AJ153" t="str">
        <f t="shared" si="162"/>
        <v>1+0.00528892871153659i</v>
      </c>
      <c r="AK153">
        <f t="shared" si="181"/>
        <v>1.0000139862856499</v>
      </c>
      <c r="AL153">
        <f t="shared" si="182"/>
        <v>5.2888793970409043E-3</v>
      </c>
      <c r="AM153" t="str">
        <f t="shared" si="163"/>
        <v>1-0.000642035806814126i</v>
      </c>
      <c r="AN153">
        <f t="shared" si="183"/>
        <v>1.0000002061049673</v>
      </c>
      <c r="AO153">
        <f t="shared" si="184"/>
        <v>-6.4203571859629271E-4</v>
      </c>
      <c r="AP153" s="41" t="str">
        <f t="shared" si="185"/>
        <v>65.4802396153175-16.1682429154009i</v>
      </c>
      <c r="AQ153">
        <f t="shared" si="186"/>
        <v>36.579229881198657</v>
      </c>
      <c r="AR153" s="43">
        <f t="shared" si="187"/>
        <v>-13.869919437606045</v>
      </c>
      <c r="AS153" t="str">
        <f t="shared" si="164"/>
        <v>-0.0000166666666666667</v>
      </c>
      <c r="AT153" t="str">
        <f t="shared" si="165"/>
        <v>4.78254192000649E-06i</v>
      </c>
      <c r="AU153">
        <f t="shared" si="188"/>
        <v>4.7825419200064899E-6</v>
      </c>
      <c r="AV153">
        <f t="shared" si="189"/>
        <v>1.5707963267948966</v>
      </c>
      <c r="AW153" t="str">
        <f t="shared" si="166"/>
        <v>1+0.00486032028341145i</v>
      </c>
      <c r="AX153">
        <f t="shared" si="190"/>
        <v>1.0000118112868754</v>
      </c>
      <c r="AY153">
        <f t="shared" si="191"/>
        <v>4.8602820126364202E-3</v>
      </c>
      <c r="AZ153" t="str">
        <f t="shared" si="167"/>
        <v>1+0.165250889635989i</v>
      </c>
      <c r="BA153">
        <f t="shared" si="192"/>
        <v>1.0135619648178822</v>
      </c>
      <c r="BB153">
        <f t="shared" si="193"/>
        <v>0.16377084917037926</v>
      </c>
      <c r="BC153" s="41" t="str">
        <f t="shared" si="194"/>
        <v>-0.558931433201225+3.48761372739309i</v>
      </c>
      <c r="BD153">
        <f t="shared" si="195"/>
        <v>10.960702788127756</v>
      </c>
      <c r="BE153" s="43">
        <f t="shared" si="196"/>
        <v>99.104904818168905</v>
      </c>
      <c r="BF153" s="41" t="str">
        <f t="shared" si="197"/>
        <v>9.40678134030792+63.65034158984i</v>
      </c>
      <c r="BG153" s="20">
        <f t="shared" si="198"/>
        <v>36.169849747641869</v>
      </c>
      <c r="BH153" s="43">
        <f t="shared" si="199"/>
        <v>81.593202112391779</v>
      </c>
      <c r="BI153" s="41" t="str">
        <f t="shared" si="152"/>
        <v>19.7896217650292+237.406721740421i</v>
      </c>
      <c r="BJ153" s="20">
        <f t="shared" si="200"/>
        <v>47.539932669326426</v>
      </c>
      <c r="BK153" s="43">
        <f t="shared" si="153"/>
        <v>85.234985380562875</v>
      </c>
      <c r="BL153">
        <f t="shared" si="201"/>
        <v>36.169849747641869</v>
      </c>
      <c r="BM153" s="43">
        <f t="shared" si="202"/>
        <v>81.593202112391779</v>
      </c>
    </row>
    <row r="154" spans="14:65" x14ac:dyDescent="0.25">
      <c r="N154" s="9">
        <v>36</v>
      </c>
      <c r="O154" s="34">
        <f t="shared" si="154"/>
        <v>229.08676527677744</v>
      </c>
      <c r="P154" s="33" t="str">
        <f t="shared" si="155"/>
        <v>19.1021967526266</v>
      </c>
      <c r="Q154" s="4" t="str">
        <f t="shared" si="156"/>
        <v>1+0.323073286006917i</v>
      </c>
      <c r="R154" s="4">
        <f t="shared" si="168"/>
        <v>1.0508931192710833</v>
      </c>
      <c r="S154" s="4">
        <f t="shared" si="169"/>
        <v>0.31248826641323196</v>
      </c>
      <c r="T154" s="4" t="str">
        <f t="shared" si="157"/>
        <v>1+0.00541212368718787i</v>
      </c>
      <c r="U154" s="4">
        <f t="shared" si="170"/>
        <v>1.0000146454341583</v>
      </c>
      <c r="V154" s="4">
        <f t="shared" si="171"/>
        <v>5.4120708457955115E-3</v>
      </c>
      <c r="W154" t="str">
        <f t="shared" si="158"/>
        <v>1-0.0029987387451174i</v>
      </c>
      <c r="X154" s="4">
        <f t="shared" si="172"/>
        <v>1.0000044962069228</v>
      </c>
      <c r="Y154" s="4">
        <f t="shared" si="173"/>
        <v>-2.9987297565124199E-3</v>
      </c>
      <c r="Z154" t="str">
        <f t="shared" si="159"/>
        <v>0.999999947519254+0.00223106162636734i</v>
      </c>
      <c r="AA154" s="4">
        <f t="shared" si="174"/>
        <v>1.0000024363342779</v>
      </c>
      <c r="AB154" s="4">
        <f t="shared" si="175"/>
        <v>2.2310580416613885E-3</v>
      </c>
      <c r="AC154" s="47" t="str">
        <f t="shared" si="176"/>
        <v>17.2981253521429-5.58508013448724i</v>
      </c>
      <c r="AD154" s="20">
        <f t="shared" si="177"/>
        <v>25.190640409141047</v>
      </c>
      <c r="AE154" s="43">
        <f t="shared" si="178"/>
        <v>-17.893814763532383</v>
      </c>
      <c r="AF154" t="str">
        <f t="shared" si="160"/>
        <v>69.5520360182888</v>
      </c>
      <c r="AG154" t="str">
        <f t="shared" si="161"/>
        <v>1+0.257720175580375i</v>
      </c>
      <c r="AH154">
        <f t="shared" si="179"/>
        <v>1.0326759844700464</v>
      </c>
      <c r="AI154">
        <f t="shared" si="180"/>
        <v>0.25223140862930693</v>
      </c>
      <c r="AJ154" t="str">
        <f t="shared" si="162"/>
        <v>1+0.00541212368718787i</v>
      </c>
      <c r="AK154">
        <f t="shared" si="181"/>
        <v>1.0000146454341583</v>
      </c>
      <c r="AL154">
        <f t="shared" si="182"/>
        <v>5.4120708457955115E-3</v>
      </c>
      <c r="AM154" t="str">
        <f t="shared" si="163"/>
        <v>1-0.000656990741906214i</v>
      </c>
      <c r="AN154">
        <f t="shared" si="183"/>
        <v>1.0000002158183943</v>
      </c>
      <c r="AO154">
        <f t="shared" si="184"/>
        <v>-6.5699064737910365E-4</v>
      </c>
      <c r="AP154" s="41" t="str">
        <f t="shared" si="185"/>
        <v>65.3002937136916-16.4984739834607i</v>
      </c>
      <c r="AQ154">
        <f t="shared" si="186"/>
        <v>36.56704449035108</v>
      </c>
      <c r="AR154" s="43">
        <f t="shared" si="187"/>
        <v>-14.179349148483466</v>
      </c>
      <c r="AS154" t="str">
        <f t="shared" si="164"/>
        <v>-0.0000166666666666667</v>
      </c>
      <c r="AT154" t="str">
        <f t="shared" si="165"/>
        <v>4.89394163203158E-06i</v>
      </c>
      <c r="AU154">
        <f t="shared" si="188"/>
        <v>4.89394163203158E-6</v>
      </c>
      <c r="AV154">
        <f t="shared" si="189"/>
        <v>1.5707963267948966</v>
      </c>
      <c r="AW154" t="str">
        <f t="shared" si="166"/>
        <v>1+0.00497353168625494i</v>
      </c>
      <c r="AX154">
        <f t="shared" si="190"/>
        <v>1.0000123679322341</v>
      </c>
      <c r="AY154">
        <f t="shared" si="191"/>
        <v>4.9734906784080603E-3</v>
      </c>
      <c r="AZ154" t="str">
        <f t="shared" si="167"/>
        <v>1+0.169100077332668i</v>
      </c>
      <c r="BA154">
        <f t="shared" si="192"/>
        <v>1.0141966457023581</v>
      </c>
      <c r="BB154">
        <f t="shared" si="193"/>
        <v>0.16751538188569981</v>
      </c>
      <c r="BC154" s="41" t="str">
        <f t="shared" si="194"/>
        <v>-0.558930810955918+3.40835105808376i</v>
      </c>
      <c r="BD154">
        <f t="shared" si="195"/>
        <v>10.766135255545354</v>
      </c>
      <c r="BE154" s="43">
        <f t="shared" si="196"/>
        <v>99.312964360252408</v>
      </c>
      <c r="BF154" s="41" t="str">
        <f t="shared" si="197"/>
        <v>9.36745855477182+62.0797572156645i</v>
      </c>
      <c r="BG154" s="20">
        <f t="shared" si="198"/>
        <v>35.956775664686404</v>
      </c>
      <c r="BH154" s="43">
        <f t="shared" si="199"/>
        <v>81.419149596720018</v>
      </c>
      <c r="BI154" s="41" t="str">
        <f t="shared" si="152"/>
        <v>19.7342451372424+231.787830615352i</v>
      </c>
      <c r="BJ154" s="20">
        <f t="shared" si="200"/>
        <v>47.333179745896445</v>
      </c>
      <c r="BK154" s="43">
        <f t="shared" si="153"/>
        <v>85.133615211768941</v>
      </c>
      <c r="BL154">
        <f t="shared" si="201"/>
        <v>35.956775664686404</v>
      </c>
      <c r="BM154" s="43">
        <f t="shared" si="202"/>
        <v>81.419149596720018</v>
      </c>
    </row>
    <row r="155" spans="14:65" x14ac:dyDescent="0.25">
      <c r="N155" s="9">
        <v>37</v>
      </c>
      <c r="O155" s="34">
        <f t="shared" si="154"/>
        <v>234.42288153199232</v>
      </c>
      <c r="P155" s="33" t="str">
        <f t="shared" si="155"/>
        <v>19.1021967526266</v>
      </c>
      <c r="Q155" s="4" t="str">
        <f t="shared" si="156"/>
        <v>1+0.330598629563992i</v>
      </c>
      <c r="R155" s="4">
        <f t="shared" si="168"/>
        <v>1.0532309594146907</v>
      </c>
      <c r="S155" s="4">
        <f t="shared" si="169"/>
        <v>0.3192873051050244</v>
      </c>
      <c r="T155" s="4" t="str">
        <f t="shared" si="157"/>
        <v>1+0.00553818824245599i</v>
      </c>
      <c r="U155" s="4">
        <f t="shared" si="170"/>
        <v>1.0000153356469135</v>
      </c>
      <c r="V155" s="4">
        <f t="shared" si="171"/>
        <v>5.5381316219308575E-3</v>
      </c>
      <c r="W155" t="str">
        <f t="shared" si="158"/>
        <v>1-0.0030685883435594i</v>
      </c>
      <c r="X155" s="4">
        <f t="shared" si="172"/>
        <v>1.0000047081061281</v>
      </c>
      <c r="Y155" s="4">
        <f t="shared" si="173"/>
        <v>-3.0685787120980856E-3</v>
      </c>
      <c r="Z155" t="str">
        <f t="shared" si="159"/>
        <v>0.999999945045913+0.00228302972760819i</v>
      </c>
      <c r="AA155" s="4">
        <f t="shared" si="174"/>
        <v>1.000002551155029</v>
      </c>
      <c r="AB155" s="4">
        <f t="shared" si="175"/>
        <v>2.283025886527088E-3</v>
      </c>
      <c r="AC155" s="47" t="str">
        <f t="shared" si="176"/>
        <v>17.2214791558545-5.68983426978457i</v>
      </c>
      <c r="AD155" s="20">
        <f t="shared" si="177"/>
        <v>25.171345885781406</v>
      </c>
      <c r="AE155" s="43">
        <f t="shared" si="178"/>
        <v>-18.283127823423097</v>
      </c>
      <c r="AF155" t="str">
        <f t="shared" si="160"/>
        <v>69.5520360182888</v>
      </c>
      <c r="AG155" t="str">
        <f t="shared" si="161"/>
        <v>1+0.263723249640762i</v>
      </c>
      <c r="AH155">
        <f t="shared" si="179"/>
        <v>1.0341904816817276</v>
      </c>
      <c r="AI155">
        <f t="shared" si="180"/>
        <v>0.25785238001611616</v>
      </c>
      <c r="AJ155" t="str">
        <f t="shared" si="162"/>
        <v>1+0.00553818824245599i</v>
      </c>
      <c r="AK155">
        <f t="shared" si="181"/>
        <v>1.0000153356469135</v>
      </c>
      <c r="AL155">
        <f t="shared" si="182"/>
        <v>5.5381316219308575E-3</v>
      </c>
      <c r="AM155" t="str">
        <f t="shared" si="163"/>
        <v>1-0.000672294022185959i</v>
      </c>
      <c r="AN155">
        <f t="shared" si="183"/>
        <v>1.0000002259896006</v>
      </c>
      <c r="AO155">
        <f t="shared" si="184"/>
        <v>-6.7229392089833656E-4</v>
      </c>
      <c r="AP155" s="41" t="str">
        <f t="shared" si="185"/>
        <v>65.112945342489-16.8333646893331i</v>
      </c>
      <c r="AQ155">
        <f t="shared" si="186"/>
        <v>36.554321393379944</v>
      </c>
      <c r="AR155" s="43">
        <f t="shared" si="187"/>
        <v>-14.495061148262092</v>
      </c>
      <c r="AS155" t="str">
        <f t="shared" si="164"/>
        <v>-0.0000166666666666667</v>
      </c>
      <c r="AT155" t="str">
        <f t="shared" si="165"/>
        <v>5.00793617668895E-06i</v>
      </c>
      <c r="AU155">
        <f t="shared" si="188"/>
        <v>5.0079361766889502E-6</v>
      </c>
      <c r="AV155">
        <f t="shared" si="189"/>
        <v>1.5707963267948966</v>
      </c>
      <c r="AW155" t="str">
        <f t="shared" si="166"/>
        <v>1+0.00508938012143093i</v>
      </c>
      <c r="AX155">
        <f t="shared" si="190"/>
        <v>1.0000129508111484</v>
      </c>
      <c r="AY155">
        <f t="shared" si="191"/>
        <v>5.0893361807620666E-3</v>
      </c>
      <c r="AZ155" t="str">
        <f t="shared" si="167"/>
        <v>1+0.173038924128652i</v>
      </c>
      <c r="BA155">
        <f t="shared" si="192"/>
        <v>1.0148608127539467</v>
      </c>
      <c r="BB155">
        <f t="shared" si="193"/>
        <v>0.17134223238154239</v>
      </c>
      <c r="BC155" s="41" t="str">
        <f t="shared" si="194"/>
        <v>-0.558930159386576+3.33089554132851i</v>
      </c>
      <c r="BD155">
        <f t="shared" si="195"/>
        <v>10.571816460461548</v>
      </c>
      <c r="BE155" s="43">
        <f t="shared" si="196"/>
        <v>99.525589284131271</v>
      </c>
      <c r="BF155" s="41" t="str">
        <f t="shared" si="197"/>
        <v>9.32663951066923+60.5431681106115i</v>
      </c>
      <c r="BG155" s="20">
        <f t="shared" si="198"/>
        <v>35.743162346242954</v>
      </c>
      <c r="BH155" s="43">
        <f t="shared" si="199"/>
        <v>81.242461460708171</v>
      </c>
      <c r="BI155" s="41" t="str">
        <f t="shared" si="152"/>
        <v>19.6765904708496+226.293094532885i</v>
      </c>
      <c r="BJ155" s="20">
        <f t="shared" si="200"/>
        <v>47.126137853841492</v>
      </c>
      <c r="BK155" s="43">
        <f t="shared" si="153"/>
        <v>85.03052813586919</v>
      </c>
      <c r="BL155">
        <f t="shared" si="201"/>
        <v>35.743162346242954</v>
      </c>
      <c r="BM155" s="43">
        <f t="shared" si="202"/>
        <v>81.242461460708171</v>
      </c>
    </row>
    <row r="156" spans="14:65" x14ac:dyDescent="0.25">
      <c r="N156" s="9">
        <v>38</v>
      </c>
      <c r="O156" s="34">
        <f t="shared" si="154"/>
        <v>239.88329190194912</v>
      </c>
      <c r="P156" s="33" t="str">
        <f t="shared" si="155"/>
        <v>19.1021967526266</v>
      </c>
      <c r="Q156" s="4" t="str">
        <f t="shared" si="156"/>
        <v>1+0.338299260890456i</v>
      </c>
      <c r="R156" s="4">
        <f t="shared" si="168"/>
        <v>1.055673429578972</v>
      </c>
      <c r="S156" s="4">
        <f t="shared" si="169"/>
        <v>0.32621321115956492</v>
      </c>
      <c r="T156" s="4" t="str">
        <f t="shared" si="157"/>
        <v>1+0.0056671892184369i</v>
      </c>
      <c r="U156" s="4">
        <f t="shared" si="170"/>
        <v>1.0000160583878828</v>
      </c>
      <c r="V156" s="4">
        <f t="shared" si="171"/>
        <v>5.6671285485037654E-3</v>
      </c>
      <c r="W156" t="str">
        <f t="shared" si="158"/>
        <v>1-0.00314006494815875i</v>
      </c>
      <c r="X156" s="4">
        <f t="shared" si="172"/>
        <v>1.0000049299917868</v>
      </c>
      <c r="Y156" s="4">
        <f t="shared" si="173"/>
        <v>-3.1400546278647621E-3</v>
      </c>
      <c r="Z156" t="str">
        <f t="shared" si="159"/>
        <v>0.999999942456006+0.00233620832143011i</v>
      </c>
      <c r="AA156" s="4">
        <f t="shared" si="174"/>
        <v>1.0000026713871002</v>
      </c>
      <c r="AB156" s="4">
        <f t="shared" si="175"/>
        <v>2.3362042056381516E-3</v>
      </c>
      <c r="AC156" s="47" t="str">
        <f t="shared" si="176"/>
        <v>17.1419459428199-5.79546154506776i</v>
      </c>
      <c r="AD156" s="20">
        <f t="shared" si="177"/>
        <v>25.151233560644407</v>
      </c>
      <c r="AE156" s="43">
        <f t="shared" si="178"/>
        <v>-18.679704191746566</v>
      </c>
      <c r="AF156" t="str">
        <f t="shared" si="160"/>
        <v>69.5520360182888</v>
      </c>
      <c r="AG156" t="str">
        <f t="shared" si="161"/>
        <v>1+0.269866153258901i</v>
      </c>
      <c r="AH156">
        <f t="shared" si="179"/>
        <v>1.0357739814625373</v>
      </c>
      <c r="AI156">
        <f t="shared" si="180"/>
        <v>0.26358707796218939</v>
      </c>
      <c r="AJ156" t="str">
        <f t="shared" si="162"/>
        <v>1+0.0056671892184369i</v>
      </c>
      <c r="AK156">
        <f t="shared" si="181"/>
        <v>1.0000160583878828</v>
      </c>
      <c r="AL156">
        <f t="shared" si="182"/>
        <v>5.6671285485037654E-3</v>
      </c>
      <c r="AM156" t="str">
        <f t="shared" si="163"/>
        <v>1-0.000687953761655136i</v>
      </c>
      <c r="AN156">
        <f t="shared" si="183"/>
        <v>1.000000236640161</v>
      </c>
      <c r="AO156">
        <f t="shared" si="184"/>
        <v>-6.8795365312349468E-4</v>
      </c>
      <c r="AP156" s="41" t="str">
        <f t="shared" si="185"/>
        <v>64.917939294188-17.1728385909837i</v>
      </c>
      <c r="AQ156">
        <f t="shared" si="186"/>
        <v>36.541038543004916</v>
      </c>
      <c r="AR156" s="43">
        <f t="shared" si="187"/>
        <v>-14.817141394456421</v>
      </c>
      <c r="AS156" t="str">
        <f t="shared" si="164"/>
        <v>-0.0000166666666666667</v>
      </c>
      <c r="AT156" t="str">
        <f t="shared" si="165"/>
        <v>5.12458599539507E-06i</v>
      </c>
      <c r="AU156">
        <f t="shared" si="188"/>
        <v>5.1245859953950699E-6</v>
      </c>
      <c r="AV156">
        <f t="shared" si="189"/>
        <v>1.5707963267948966</v>
      </c>
      <c r="AW156" t="str">
        <f t="shared" si="166"/>
        <v>1+0.00520792701331327i</v>
      </c>
      <c r="AX156">
        <f t="shared" si="190"/>
        <v>1.0000135611599354</v>
      </c>
      <c r="AY156">
        <f t="shared" si="191"/>
        <v>5.2078799300727821E-3</v>
      </c>
      <c r="AZ156" t="str">
        <f t="shared" si="167"/>
        <v>1+0.177069518452651i</v>
      </c>
      <c r="BA156">
        <f t="shared" si="192"/>
        <v>1.0155558154848279</v>
      </c>
      <c r="BB156">
        <f t="shared" si="193"/>
        <v>0.17525298113276433</v>
      </c>
      <c r="BC156" s="41" t="str">
        <f t="shared" si="194"/>
        <v>-0.55892947711135+3.25520610916626i</v>
      </c>
      <c r="BD156">
        <f t="shared" si="195"/>
        <v>10.377757443404604</v>
      </c>
      <c r="BE156" s="43">
        <f t="shared" si="196"/>
        <v>99.74286662578919</v>
      </c>
      <c r="BF156" s="41" t="str">
        <f t="shared" si="197"/>
        <v>9.28428294445135+59.0398214470688i</v>
      </c>
      <c r="BG156" s="20">
        <f t="shared" si="198"/>
        <v>35.528991004049018</v>
      </c>
      <c r="BH156" s="43">
        <f t="shared" si="199"/>
        <v>81.063162434042624</v>
      </c>
      <c r="BI156" s="41" t="str">
        <f t="shared" si="152"/>
        <v>19.6165792282494+220.919678279101i</v>
      </c>
      <c r="BJ156" s="20">
        <f t="shared" si="200"/>
        <v>46.918795986409506</v>
      </c>
      <c r="BK156" s="43">
        <f t="shared" si="153"/>
        <v>84.925725231332748</v>
      </c>
      <c r="BL156">
        <f t="shared" si="201"/>
        <v>35.528991004049018</v>
      </c>
      <c r="BM156" s="43">
        <f t="shared" si="202"/>
        <v>81.063162434042624</v>
      </c>
    </row>
    <row r="157" spans="14:65" x14ac:dyDescent="0.25">
      <c r="N157" s="9">
        <v>39</v>
      </c>
      <c r="O157" s="34">
        <f t="shared" si="154"/>
        <v>245.4708915685033</v>
      </c>
      <c r="P157" s="33" t="str">
        <f t="shared" si="155"/>
        <v>19.1021967526266</v>
      </c>
      <c r="Q157" s="4" t="str">
        <f t="shared" si="156"/>
        <v>1+0.346179262962961i</v>
      </c>
      <c r="R157" s="4">
        <f t="shared" si="168"/>
        <v>1.0582249676253055</v>
      </c>
      <c r="S157" s="4">
        <f t="shared" si="169"/>
        <v>0.3332669981103088</v>
      </c>
      <c r="T157" s="4" t="str">
        <f t="shared" si="157"/>
        <v>1+0.00579919501315551i</v>
      </c>
      <c r="U157" s="4">
        <f t="shared" si="170"/>
        <v>1.0000168151900251</v>
      </c>
      <c r="V157" s="4">
        <f t="shared" si="171"/>
        <v>5.7991300042099471E-3</v>
      </c>
      <c r="W157" t="str">
        <f t="shared" si="158"/>
        <v>1-0.00321320645675727i</v>
      </c>
      <c r="X157" s="4">
        <f t="shared" si="172"/>
        <v>1.0000051623345421</v>
      </c>
      <c r="Y157" s="4">
        <f t="shared" si="173"/>
        <v>-3.2131953983661095E-3</v>
      </c>
      <c r="Z157" t="str">
        <f t="shared" si="159"/>
        <v>0.999999939744041+0.00239062560382741i</v>
      </c>
      <c r="AA157" s="4">
        <f t="shared" si="174"/>
        <v>1.0000027972855192</v>
      </c>
      <c r="AB157" s="4">
        <f t="shared" si="175"/>
        <v>2.3906211936775361E-3</v>
      </c>
      <c r="AC157" s="47" t="str">
        <f t="shared" si="176"/>
        <v>17.0594486383556-5.90189636941656i</v>
      </c>
      <c r="AD157" s="20">
        <f t="shared" si="177"/>
        <v>25.130272795718781</v>
      </c>
      <c r="AE157" s="43">
        <f t="shared" si="178"/>
        <v>-19.083601808515667</v>
      </c>
      <c r="AF157" t="str">
        <f t="shared" si="160"/>
        <v>69.5520360182888</v>
      </c>
      <c r="AG157" t="str">
        <f t="shared" si="161"/>
        <v>1+0.276152143483596i</v>
      </c>
      <c r="AH157">
        <f t="shared" si="179"/>
        <v>1.0374295187387839</v>
      </c>
      <c r="AI157">
        <f t="shared" si="180"/>
        <v>0.26943703369666622</v>
      </c>
      <c r="AJ157" t="str">
        <f t="shared" si="162"/>
        <v>1+0.00579919501315551i</v>
      </c>
      <c r="AK157">
        <f t="shared" si="181"/>
        <v>1.0000168151900251</v>
      </c>
      <c r="AL157">
        <f t="shared" si="182"/>
        <v>5.7991300042099471E-3</v>
      </c>
      <c r="AM157" t="str">
        <f t="shared" si="163"/>
        <v>1-0.000703978263314884i</v>
      </c>
      <c r="AN157">
        <f t="shared" si="183"/>
        <v>1.0000002477926668</v>
      </c>
      <c r="AO157">
        <f t="shared" si="184"/>
        <v>-7.0397814702113655E-4</v>
      </c>
      <c r="AP157" s="41" t="str">
        <f t="shared" si="185"/>
        <v>64.715015977475-17.516807678849i</v>
      </c>
      <c r="AQ157">
        <f t="shared" si="186"/>
        <v>36.527173138355728</v>
      </c>
      <c r="AR157" s="43">
        <f t="shared" si="187"/>
        <v>-15.145674177947972</v>
      </c>
      <c r="AS157" t="str">
        <f t="shared" si="164"/>
        <v>-0.0000166666666666667</v>
      </c>
      <c r="AT157" t="str">
        <f t="shared" si="165"/>
        <v>5.24395293742788E-06i</v>
      </c>
      <c r="AU157">
        <f t="shared" si="188"/>
        <v>5.2439529374278803E-6</v>
      </c>
      <c r="AV157">
        <f t="shared" si="189"/>
        <v>1.5707963267948966</v>
      </c>
      <c r="AW157" t="str">
        <f t="shared" si="166"/>
        <v>1+0.00532923521703309i</v>
      </c>
      <c r="AX157">
        <f t="shared" si="190"/>
        <v>1.0000142002731753</v>
      </c>
      <c r="AY157">
        <f t="shared" si="191"/>
        <v>5.3291847664706463E-3</v>
      </c>
      <c r="AZ157" t="str">
        <f t="shared" si="167"/>
        <v>1+0.181193997379125i</v>
      </c>
      <c r="BA157">
        <f t="shared" si="192"/>
        <v>1.0162830632684117</v>
      </c>
      <c r="BB157">
        <f t="shared" si="193"/>
        <v>0.1792492229452978</v>
      </c>
      <c r="BC157" s="41" t="str">
        <f t="shared" si="194"/>
        <v>-0.558928762683261+3.18124263003581i</v>
      </c>
      <c r="BD157">
        <f t="shared" si="195"/>
        <v>10.183969702419427</v>
      </c>
      <c r="BE157" s="43">
        <f t="shared" si="196"/>
        <v>99.964884160400928</v>
      </c>
      <c r="BF157" s="41" t="str">
        <f t="shared" si="197"/>
        <v>9.2403478089468+57.568984888486i</v>
      </c>
      <c r="BG157" s="20">
        <f t="shared" si="198"/>
        <v>35.314242498138206</v>
      </c>
      <c r="BH157" s="43">
        <f t="shared" si="199"/>
        <v>80.881282351885275</v>
      </c>
      <c r="BI157" s="41" t="str">
        <f t="shared" si="152"/>
        <v>19.5541315227755+215.664815273092i</v>
      </c>
      <c r="BJ157" s="20">
        <f t="shared" si="200"/>
        <v>46.711142840775167</v>
      </c>
      <c r="BK157" s="43">
        <f t="shared" si="153"/>
        <v>84.819209982452961</v>
      </c>
      <c r="BL157">
        <f t="shared" si="201"/>
        <v>35.314242498138206</v>
      </c>
      <c r="BM157" s="43">
        <f t="shared" si="202"/>
        <v>80.881282351885275</v>
      </c>
    </row>
    <row r="158" spans="14:65" x14ac:dyDescent="0.25">
      <c r="N158" s="9">
        <v>40</v>
      </c>
      <c r="O158" s="34">
        <f t="shared" si="154"/>
        <v>251.18864315095806</v>
      </c>
      <c r="P158" s="33" t="str">
        <f t="shared" si="155"/>
        <v>19.1021967526266</v>
      </c>
      <c r="Q158" s="4" t="str">
        <f t="shared" si="156"/>
        <v>1+0.354242813862916i</v>
      </c>
      <c r="R158" s="4">
        <f t="shared" si="168"/>
        <v>1.0608901786582421</v>
      </c>
      <c r="S158" s="4">
        <f t="shared" si="169"/>
        <v>0.34044959731365548</v>
      </c>
      <c r="T158" s="4" t="str">
        <f t="shared" si="157"/>
        <v>1+0.00593427561783156i</v>
      </c>
      <c r="U158" s="4">
        <f t="shared" si="170"/>
        <v>1.0000176076585394</v>
      </c>
      <c r="V158" s="4">
        <f t="shared" si="171"/>
        <v>5.9342059595576179E-3</v>
      </c>
      <c r="W158" t="str">
        <f t="shared" si="158"/>
        <v>1-0.003288051649951i</v>
      </c>
      <c r="X158" s="4">
        <f t="shared" si="172"/>
        <v>1.0000054056272161</v>
      </c>
      <c r="Y158" s="4">
        <f t="shared" si="173"/>
        <v>-3.2880398006748458E-3</v>
      </c>
      <c r="Z158" t="str">
        <f t="shared" si="159"/>
        <v>0.999999936904266+0.00244631042756354i</v>
      </c>
      <c r="AA158" s="4">
        <f t="shared" si="174"/>
        <v>1.0000029291173322</v>
      </c>
      <c r="AB158" s="4">
        <f t="shared" si="175"/>
        <v>2.446305702003557E-3</v>
      </c>
      <c r="AC158" s="47" t="str">
        <f t="shared" si="176"/>
        <v>16.973910835934-6.0090680863576i</v>
      </c>
      <c r="AD158" s="20">
        <f t="shared" si="177"/>
        <v>25.108432149417069</v>
      </c>
      <c r="AE158" s="43">
        <f t="shared" si="178"/>
        <v>-19.494873902330163</v>
      </c>
      <c r="AF158" t="str">
        <f t="shared" si="160"/>
        <v>69.5520360182888</v>
      </c>
      <c r="AG158" t="str">
        <f t="shared" si="161"/>
        <v>1+0.282584553230075i</v>
      </c>
      <c r="AH158">
        <f t="shared" si="179"/>
        <v>1.0391602521864667</v>
      </c>
      <c r="AI158">
        <f t="shared" si="180"/>
        <v>0.27540374672101381</v>
      </c>
      <c r="AJ158" t="str">
        <f t="shared" si="162"/>
        <v>1+0.00593427561783156i</v>
      </c>
      <c r="AK158">
        <f t="shared" si="181"/>
        <v>1.0000176076585394</v>
      </c>
      <c r="AL158">
        <f t="shared" si="182"/>
        <v>5.9342059595576179E-3</v>
      </c>
      <c r="AM158" t="str">
        <f t="shared" si="163"/>
        <v>1-0.000720376023568099i</v>
      </c>
      <c r="AN158">
        <f t="shared" si="183"/>
        <v>1.000000259470774</v>
      </c>
      <c r="AO158">
        <f t="shared" si="184"/>
        <v>-7.2037589895710536E-4</v>
      </c>
      <c r="AP158" s="41" t="str">
        <f t="shared" si="185"/>
        <v>64.5039117678856-17.8651717561442i</v>
      </c>
      <c r="AQ158">
        <f t="shared" si="186"/>
        <v>36.512701612659569</v>
      </c>
      <c r="AR158" s="43">
        <f t="shared" si="187"/>
        <v>-15.480741891633148</v>
      </c>
      <c r="AS158" t="str">
        <f t="shared" si="164"/>
        <v>-0.0000166666666666667</v>
      </c>
      <c r="AT158" t="str">
        <f t="shared" si="165"/>
        <v>5.36610029272002E-06i</v>
      </c>
      <c r="AU158">
        <f t="shared" si="188"/>
        <v>5.3661002927200203E-6</v>
      </c>
      <c r="AV158">
        <f t="shared" si="189"/>
        <v>1.5707963267948966</v>
      </c>
      <c r="AW158" t="str">
        <f t="shared" si="166"/>
        <v>1+0.00545336905180579i</v>
      </c>
      <c r="AX158">
        <f t="shared" si="190"/>
        <v>1.0000148695064566</v>
      </c>
      <c r="AY158">
        <f t="shared" si="191"/>
        <v>5.453314993097585E-3</v>
      </c>
      <c r="AZ158" t="str">
        <f t="shared" si="167"/>
        <v>1+0.185414547761397i</v>
      </c>
      <c r="BA158">
        <f t="shared" si="192"/>
        <v>1.0170440278186403</v>
      </c>
      <c r="BB158">
        <f t="shared" si="193"/>
        <v>0.18333256586872484</v>
      </c>
      <c r="BC158" s="41" t="str">
        <f t="shared" si="194"/>
        <v>-0.558928014587179+3.10896588749759i</v>
      </c>
      <c r="BD158">
        <f t="shared" si="195"/>
        <v>9.9904652089962802</v>
      </c>
      <c r="BE158" s="43">
        <f t="shared" si="196"/>
        <v>100.19173033812218</v>
      </c>
      <c r="BF158" s="41" t="str">
        <f t="shared" si="197"/>
        <v>9.19479341282781+56.1299462613715i</v>
      </c>
      <c r="BG158" s="20">
        <f t="shared" si="198"/>
        <v>35.098897358413346</v>
      </c>
      <c r="BH158" s="43">
        <f t="shared" si="199"/>
        <v>80.696856435792029</v>
      </c>
      <c r="BI158" s="41" t="str">
        <f t="shared" si="152"/>
        <v>19.4891662266069+210.525806276431i</v>
      </c>
      <c r="BJ158" s="20">
        <f t="shared" si="200"/>
        <v>46.503166821655839</v>
      </c>
      <c r="BK158" s="43">
        <f t="shared" si="153"/>
        <v>84.710988446489026</v>
      </c>
      <c r="BL158">
        <f t="shared" si="201"/>
        <v>35.098897358413346</v>
      </c>
      <c r="BM158" s="43">
        <f t="shared" si="202"/>
        <v>80.696856435792029</v>
      </c>
    </row>
    <row r="159" spans="14:65" x14ac:dyDescent="0.25">
      <c r="N159" s="9">
        <v>41</v>
      </c>
      <c r="O159" s="34">
        <f t="shared" si="154"/>
        <v>257.03957827688663</v>
      </c>
      <c r="P159" s="33" t="str">
        <f t="shared" si="155"/>
        <v>19.1021967526266</v>
      </c>
      <c r="Q159" s="4" t="str">
        <f t="shared" si="156"/>
        <v>1+0.362494188991736i</v>
      </c>
      <c r="R159" s="4">
        <f t="shared" si="168"/>
        <v>1.0636738396015841</v>
      </c>
      <c r="S159" s="4">
        <f t="shared" si="169"/>
        <v>0.34776185175397267</v>
      </c>
      <c r="T159" s="4" t="str">
        <f t="shared" si="157"/>
        <v>1+0.00607250265398956i</v>
      </c>
      <c r="U159" s="4">
        <f t="shared" si="170"/>
        <v>1.0000184374742711</v>
      </c>
      <c r="V159" s="4">
        <f t="shared" si="171"/>
        <v>6.0724280138785862E-3</v>
      </c>
      <c r="W159" t="str">
        <f t="shared" si="158"/>
        <v>1-0.00336464021165202i</v>
      </c>
      <c r="X159" s="4">
        <f t="shared" si="172"/>
        <v>1.0000056603858569</v>
      </c>
      <c r="Y159" s="4">
        <f t="shared" si="173"/>
        <v>-3.3646275149277496E-3</v>
      </c>
      <c r="Z159" t="str">
        <f t="shared" si="159"/>
        <v>0.999999933930655+0.0025032923174691i</v>
      </c>
      <c r="AA159" s="4">
        <f t="shared" si="174"/>
        <v>1.0000030671621667</v>
      </c>
      <c r="AB159" s="4">
        <f t="shared" si="175"/>
        <v>2.5032872539411904E-3</v>
      </c>
      <c r="AC159" s="47" t="str">
        <f t="shared" si="176"/>
        <v>16.8852570786447-6.11690083626305i</v>
      </c>
      <c r="AD159" s="20">
        <f t="shared" si="177"/>
        <v>25.085679385067017</v>
      </c>
      <c r="AE159" s="43">
        <f t="shared" si="178"/>
        <v>-19.913568635363283</v>
      </c>
      <c r="AF159" t="str">
        <f t="shared" si="160"/>
        <v>69.5520360182888</v>
      </c>
      <c r="AG159" t="str">
        <f t="shared" si="161"/>
        <v>1+0.289166793047122i</v>
      </c>
      <c r="AH159">
        <f t="shared" si="179"/>
        <v>1.040969468428905</v>
      </c>
      <c r="AI159">
        <f t="shared" si="180"/>
        <v>0.28148868059255949</v>
      </c>
      <c r="AJ159" t="str">
        <f t="shared" si="162"/>
        <v>1+0.00607250265398956i</v>
      </c>
      <c r="AK159">
        <f t="shared" si="181"/>
        <v>1.0000184374742711</v>
      </c>
      <c r="AL159">
        <f t="shared" si="182"/>
        <v>6.0724280138785862E-3</v>
      </c>
      <c r="AM159" t="str">
        <f t="shared" si="163"/>
        <v>1-0.000737155736724309i</v>
      </c>
      <c r="AN159">
        <f t="shared" si="183"/>
        <v>1.0000002716992531</v>
      </c>
      <c r="AO159">
        <f t="shared" si="184"/>
        <v>-7.371556032012257E-4</v>
      </c>
      <c r="AP159" s="41" t="str">
        <f t="shared" si="185"/>
        <v>64.2843594066989-18.217817811764i</v>
      </c>
      <c r="AQ159">
        <f t="shared" si="186"/>
        <v>36.497599622027238</v>
      </c>
      <c r="AR159" s="43">
        <f t="shared" si="187"/>
        <v>-15.822424786975331</v>
      </c>
      <c r="AS159" t="str">
        <f t="shared" si="164"/>
        <v>-0.0000166666666666667</v>
      </c>
      <c r="AT159" t="str">
        <f t="shared" si="165"/>
        <v>0.0000054910928254161i</v>
      </c>
      <c r="AU159">
        <f t="shared" si="188"/>
        <v>5.4910928254161002E-6</v>
      </c>
      <c r="AV159">
        <f t="shared" si="189"/>
        <v>1.5707963267948966</v>
      </c>
      <c r="AW159" t="str">
        <f t="shared" si="166"/>
        <v>1+0.00558039433503359i</v>
      </c>
      <c r="AX159">
        <f t="shared" si="190"/>
        <v>1.0000155702792506</v>
      </c>
      <c r="AY159">
        <f t="shared" si="191"/>
        <v>5.5803364101328417E-3</v>
      </c>
      <c r="AZ159" t="str">
        <f t="shared" si="167"/>
        <v>1+0.189733407391142i</v>
      </c>
      <c r="BA159">
        <f t="shared" si="192"/>
        <v>1.0178402457558127</v>
      </c>
      <c r="BB159">
        <f t="shared" si="193"/>
        <v>0.1875046300029059</v>
      </c>
      <c r="BC159" s="41" t="str">
        <f t="shared" si="194"/>
        <v>-0.558927231236554+3.03833755944032i</v>
      </c>
      <c r="BD159">
        <f t="shared" si="195"/>
        <v>9.7972564242653579</v>
      </c>
      <c r="BE159" s="43">
        <f t="shared" si="196"/>
        <v>100.42349421376476</v>
      </c>
      <c r="BF159" s="41" t="str">
        <f t="shared" si="197"/>
        <v>9.14757957050563+54.7220132310128i</v>
      </c>
      <c r="BG159" s="20">
        <f t="shared" si="198"/>
        <v>34.88293580933238</v>
      </c>
      <c r="BH159" s="43">
        <f t="shared" si="199"/>
        <v>80.509925578401479</v>
      </c>
      <c r="BI159" s="41" t="str">
        <f t="shared" si="152"/>
        <v>19.4216010935217+205.500018138635i</v>
      </c>
      <c r="BJ159" s="20">
        <f t="shared" si="200"/>
        <v>46.294856046292594</v>
      </c>
      <c r="BK159" s="43">
        <f t="shared" si="153"/>
        <v>84.601069426789437</v>
      </c>
      <c r="BL159">
        <f t="shared" si="201"/>
        <v>34.88293580933238</v>
      </c>
      <c r="BM159" s="43">
        <f t="shared" si="202"/>
        <v>80.509925578401479</v>
      </c>
    </row>
    <row r="160" spans="14:65" x14ac:dyDescent="0.25">
      <c r="N160" s="9">
        <v>42</v>
      </c>
      <c r="O160" s="34">
        <f t="shared" si="154"/>
        <v>263.02679918953817</v>
      </c>
      <c r="P160" s="33" t="str">
        <f t="shared" si="155"/>
        <v>19.1021967526266</v>
      </c>
      <c r="Q160" s="4" t="str">
        <f t="shared" si="156"/>
        <v>1+0.370937763337739i</v>
      </c>
      <c r="R160" s="4">
        <f t="shared" si="168"/>
        <v>1.0665809037621123</v>
      </c>
      <c r="S160" s="4">
        <f t="shared" si="169"/>
        <v>0.35520450968988898</v>
      </c>
      <c r="T160" s="4" t="str">
        <f t="shared" si="157"/>
        <v>1+0.00621394941143379i</v>
      </c>
      <c r="U160" s="4">
        <f t="shared" si="170"/>
        <v>1.0000193063972753</v>
      </c>
      <c r="V160" s="4">
        <f t="shared" si="171"/>
        <v>6.213869433197329E-3</v>
      </c>
      <c r="W160" t="str">
        <f t="shared" si="158"/>
        <v>1-0.00344301275012954i</v>
      </c>
      <c r="X160" s="4">
        <f t="shared" si="172"/>
        <v>1.0000059271508333</v>
      </c>
      <c r="Y160" s="4">
        <f t="shared" si="173"/>
        <v>-3.4429991453487261E-3</v>
      </c>
      <c r="Z160" t="str">
        <f t="shared" si="159"/>
        <v>0.999999930816903+0.00256160148609638i</v>
      </c>
      <c r="AA160" s="4">
        <f t="shared" si="174"/>
        <v>1.0000032117128346</v>
      </c>
      <c r="AB160" s="4">
        <f t="shared" si="175"/>
        <v>2.5615960604294125E-3</v>
      </c>
      <c r="AC160" s="47" t="str">
        <f t="shared" si="176"/>
        <v>16.7934131603951-6.22531343105067i</v>
      </c>
      <c r="AD160" s="20">
        <f t="shared" si="177"/>
        <v>25.06198148245786</v>
      </c>
      <c r="AE160" s="43">
        <f t="shared" si="178"/>
        <v>-20.339728739252422</v>
      </c>
      <c r="AF160" t="str">
        <f t="shared" si="160"/>
        <v>69.5520360182888</v>
      </c>
      <c r="AG160" t="str">
        <f t="shared" si="161"/>
        <v>1+0.295902352925419i</v>
      </c>
      <c r="AH160">
        <f t="shared" si="179"/>
        <v>1.0428605863042284</v>
      </c>
      <c r="AI160">
        <f t="shared" si="180"/>
        <v>0.28769325849567456</v>
      </c>
      <c r="AJ160" t="str">
        <f t="shared" si="162"/>
        <v>1+0.00621394941143379i</v>
      </c>
      <c r="AK160">
        <f t="shared" si="181"/>
        <v>1.0000193063972753</v>
      </c>
      <c r="AL160">
        <f t="shared" si="182"/>
        <v>6.213869433197329E-3</v>
      </c>
      <c r="AM160" t="str">
        <f t="shared" si="163"/>
        <v>1-0.000754326299609541i</v>
      </c>
      <c r="AN160">
        <f t="shared" si="183"/>
        <v>1.0000002845040428</v>
      </c>
      <c r="AO160">
        <f t="shared" si="184"/>
        <v>-7.5432615653698166E-4</v>
      </c>
      <c r="AP160" s="41" t="str">
        <f t="shared" si="185"/>
        <v>64.0560884509535-18.574619388516i</v>
      </c>
      <c r="AQ160">
        <f t="shared" si="186"/>
        <v>36.481842035483275</v>
      </c>
      <c r="AR160" s="43">
        <f t="shared" si="187"/>
        <v>-16.17080071834669</v>
      </c>
      <c r="AS160" t="str">
        <f t="shared" si="164"/>
        <v>-0.0000166666666666667</v>
      </c>
      <c r="AT160" t="str">
        <f t="shared" si="165"/>
        <v>5.61899680821142E-06i</v>
      </c>
      <c r="AU160">
        <f t="shared" si="188"/>
        <v>5.6189968082114196E-6</v>
      </c>
      <c r="AV160">
        <f t="shared" si="189"/>
        <v>1.5707963267948966</v>
      </c>
      <c r="AW160" t="str">
        <f t="shared" si="166"/>
        <v>1+0.00571037841720308i</v>
      </c>
      <c r="AX160">
        <f t="shared" si="190"/>
        <v>1.0000163040779224</v>
      </c>
      <c r="AY160">
        <f t="shared" si="191"/>
        <v>5.7103163496083275E-3</v>
      </c>
      <c r="AZ160" t="str">
        <f t="shared" si="167"/>
        <v>1+0.194152866184905i</v>
      </c>
      <c r="BA160">
        <f t="shared" si="192"/>
        <v>1.0186733212604586</v>
      </c>
      <c r="BB160">
        <f t="shared" si="193"/>
        <v>0.19176704619275128</v>
      </c>
      <c r="BC160" s="41" t="str">
        <f t="shared" si="194"/>
        <v>-0.558926410970111+2.96932019776211i</v>
      </c>
      <c r="BD160">
        <f t="shared" si="195"/>
        <v>9.6043563154325895</v>
      </c>
      <c r="BE160" s="43">
        <f t="shared" si="196"/>
        <v>100.6602653700178</v>
      </c>
      <c r="BF160" s="41" t="str">
        <f t="shared" si="197"/>
        <v>9.09866676254063+53.3445129797064i</v>
      </c>
      <c r="BG160" s="20">
        <f t="shared" si="198"/>
        <v>34.666337797890449</v>
      </c>
      <c r="BH160" s="43">
        <f t="shared" si="199"/>
        <v>80.320536630765389</v>
      </c>
      <c r="BI160" s="41" t="str">
        <f t="shared" si="152"/>
        <v>19.3513528973888+200.584882577012i</v>
      </c>
      <c r="BJ160" s="20">
        <f t="shared" si="200"/>
        <v>46.086198350915886</v>
      </c>
      <c r="BK160" s="43">
        <f t="shared" si="153"/>
        <v>84.489464651671142</v>
      </c>
      <c r="BL160">
        <f t="shared" si="201"/>
        <v>34.666337797890449</v>
      </c>
      <c r="BM160" s="43">
        <f t="shared" si="202"/>
        <v>80.320536630765389</v>
      </c>
    </row>
    <row r="161" spans="14:65" x14ac:dyDescent="0.25">
      <c r="N161" s="9">
        <v>43</v>
      </c>
      <c r="O161" s="34">
        <f t="shared" si="154"/>
        <v>269.15348039269179</v>
      </c>
      <c r="P161" s="33" t="str">
        <f t="shared" si="155"/>
        <v>19.1021967526266</v>
      </c>
      <c r="Q161" s="4" t="str">
        <f t="shared" si="156"/>
        <v>1+0.379578013795806i</v>
      </c>
      <c r="R161" s="4">
        <f t="shared" si="168"/>
        <v>1.0696165053687088</v>
      </c>
      <c r="S161" s="4">
        <f t="shared" si="169"/>
        <v>0.3627782181578324</v>
      </c>
      <c r="T161" s="4" t="str">
        <f t="shared" si="157"/>
        <v>1+0.00635869088710733i</v>
      </c>
      <c r="U161" s="4">
        <f t="shared" si="170"/>
        <v>1.00002021627055</v>
      </c>
      <c r="V161" s="4">
        <f t="shared" si="171"/>
        <v>6.3586051889765313E-3</v>
      </c>
      <c r="W161" t="str">
        <f t="shared" si="158"/>
        <v>1-0.00352321081954085i</v>
      </c>
      <c r="X161" s="4">
        <f t="shared" si="172"/>
        <v>1.0000062064879793</v>
      </c>
      <c r="Y161" s="4">
        <f t="shared" si="173"/>
        <v>-3.5231962417604503E-3</v>
      </c>
      <c r="Z161" t="str">
        <f t="shared" si="159"/>
        <v>0.999999927556404+0.00262126884973839i</v>
      </c>
      <c r="AA161" s="4">
        <f t="shared" si="174"/>
        <v>1.0000033630759426</v>
      </c>
      <c r="AB161" s="4">
        <f t="shared" si="175"/>
        <v>2.6212630360325467E-3</v>
      </c>
      <c r="AC161" s="47" t="str">
        <f t="shared" si="176"/>
        <v>16.6983064468392-6.33421924321755i</v>
      </c>
      <c r="AD161" s="20">
        <f t="shared" si="177"/>
        <v>25.03730465264665</v>
      </c>
      <c r="AE161" s="43">
        <f t="shared" si="178"/>
        <v>-20.773391142809281</v>
      </c>
      <c r="AF161" t="str">
        <f t="shared" si="160"/>
        <v>69.5520360182888</v>
      </c>
      <c r="AG161" t="str">
        <f t="shared" si="161"/>
        <v>1+0.302794804147968i</v>
      </c>
      <c r="AH161">
        <f t="shared" si="179"/>
        <v>1.044837161197383</v>
      </c>
      <c r="AI161">
        <f t="shared" si="180"/>
        <v>0.29401885859946597</v>
      </c>
      <c r="AJ161" t="str">
        <f t="shared" si="162"/>
        <v>1+0.00635869088710733i</v>
      </c>
      <c r="AK161">
        <f t="shared" si="181"/>
        <v>1.00002021627055</v>
      </c>
      <c r="AL161">
        <f t="shared" si="182"/>
        <v>6.3586051889765313E-3</v>
      </c>
      <c r="AM161" t="str">
        <f t="shared" si="163"/>
        <v>1-0.000771896816283517i</v>
      </c>
      <c r="AN161">
        <f t="shared" si="183"/>
        <v>1.000000297912303</v>
      </c>
      <c r="AO161">
        <f t="shared" si="184"/>
        <v>-7.7189666297851009E-4</v>
      </c>
      <c r="AP161" s="41" t="str">
        <f t="shared" si="185"/>
        <v>63.8188257774234-18.9354359497875i</v>
      </c>
      <c r="AQ161">
        <f t="shared" si="186"/>
        <v>36.465402926394638</v>
      </c>
      <c r="AR161" s="43">
        <f t="shared" si="187"/>
        <v>-16.525944875093682</v>
      </c>
      <c r="AS161" t="str">
        <f t="shared" si="164"/>
        <v>-0.0000166666666666667</v>
      </c>
      <c r="AT161" t="str">
        <f t="shared" si="165"/>
        <v>5.74988005749067E-06i</v>
      </c>
      <c r="AU161">
        <f t="shared" si="188"/>
        <v>5.7498800574906699E-6</v>
      </c>
      <c r="AV161">
        <f t="shared" si="189"/>
        <v>1.5707963267948966</v>
      </c>
      <c r="AW161" t="str">
        <f t="shared" si="166"/>
        <v>1+0.00584339021759519i</v>
      </c>
      <c r="AX161">
        <f t="shared" si="190"/>
        <v>1.000017072458883</v>
      </c>
      <c r="AY161">
        <f t="shared" si="191"/>
        <v>5.8433237110305054E-3</v>
      </c>
      <c r="AZ161" t="str">
        <f t="shared" si="167"/>
        <v>1+0.198675267398237i</v>
      </c>
      <c r="BA161">
        <f t="shared" si="192"/>
        <v>1.0195449288166565</v>
      </c>
      <c r="BB161">
        <f t="shared" si="193"/>
        <v>0.19612145460499439</v>
      </c>
      <c r="BC161" s="41" t="str">
        <f t="shared" si="194"/>
        <v>-0.558925552048281+2.90187720851472i</v>
      </c>
      <c r="BD161">
        <f t="shared" si="195"/>
        <v>9.411778372425367</v>
      </c>
      <c r="BE161" s="43">
        <f t="shared" si="196"/>
        <v>100.90213383386194</v>
      </c>
      <c r="BF161" s="41" t="str">
        <f t="shared" si="197"/>
        <v>9.0480163065574+51.9967918861873i</v>
      </c>
      <c r="BG161" s="20">
        <f t="shared" si="198"/>
        <v>34.449083025072021</v>
      </c>
      <c r="BH161" s="43">
        <f t="shared" si="199"/>
        <v>80.128742691052665</v>
      </c>
      <c r="BI161" s="41" t="str">
        <f t="shared" si="152"/>
        <v>19.2783375872592+195.777894989187i</v>
      </c>
      <c r="BJ161" s="20">
        <f t="shared" si="200"/>
        <v>45.877181298820027</v>
      </c>
      <c r="BK161" s="43">
        <f t="shared" si="153"/>
        <v>84.376188958768282</v>
      </c>
      <c r="BL161">
        <f t="shared" si="201"/>
        <v>34.449083025072021</v>
      </c>
      <c r="BM161" s="43">
        <f t="shared" si="202"/>
        <v>80.128742691052665</v>
      </c>
    </row>
    <row r="162" spans="14:65" x14ac:dyDescent="0.25">
      <c r="N162" s="9">
        <v>44</v>
      </c>
      <c r="O162" s="34">
        <f t="shared" si="154"/>
        <v>275.42287033381683</v>
      </c>
      <c r="P162" s="33" t="str">
        <f t="shared" si="155"/>
        <v>19.1021967526266</v>
      </c>
      <c r="Q162" s="4" t="str">
        <f t="shared" si="156"/>
        <v>1+0.388419521541096i</v>
      </c>
      <c r="R162" s="4">
        <f t="shared" si="168"/>
        <v>1.0727859640740149</v>
      </c>
      <c r="S162" s="4">
        <f t="shared" si="169"/>
        <v>0.37048351635144017</v>
      </c>
      <c r="T162" s="4" t="str">
        <f t="shared" si="157"/>
        <v>1+0.00650680382485643i</v>
      </c>
      <c r="U162" s="4">
        <f t="shared" si="170"/>
        <v>1.0000211690239438</v>
      </c>
      <c r="V162" s="4">
        <f t="shared" si="171"/>
        <v>6.506711997759841E-3</v>
      </c>
      <c r="W162" t="str">
        <f t="shared" si="158"/>
        <v>1-0.0036052769419639i</v>
      </c>
      <c r="X162" s="4">
        <f t="shared" si="172"/>
        <v>1.0000064989897957</v>
      </c>
      <c r="Y162" s="4">
        <f t="shared" si="173"/>
        <v>-3.6052613215962572E-3</v>
      </c>
      <c r="Z162" t="str">
        <f t="shared" si="159"/>
        <v>0.999999924142242+0.00268232604482114i</v>
      </c>
      <c r="AA162" s="4">
        <f t="shared" si="174"/>
        <v>1.0000035215725493</v>
      </c>
      <c r="AB162" s="4">
        <f t="shared" si="175"/>
        <v>2.6823198153242797E-3</v>
      </c>
      <c r="AC162" s="47" t="str">
        <f t="shared" si="176"/>
        <v>16.5998662158541-6.44352611134908i</v>
      </c>
      <c r="AD162" s="20">
        <f t="shared" si="177"/>
        <v>25.011614356232418</v>
      </c>
      <c r="AE162" s="43">
        <f t="shared" si="178"/>
        <v>-21.214586592616371</v>
      </c>
      <c r="AF162" t="str">
        <f t="shared" si="160"/>
        <v>69.5520360182888</v>
      </c>
      <c r="AG162" t="str">
        <f t="shared" si="161"/>
        <v>1+0.30984780118364i</v>
      </c>
      <c r="AH162">
        <f t="shared" si="179"/>
        <v>1.0469028894306942</v>
      </c>
      <c r="AI162">
        <f t="shared" si="180"/>
        <v>0.30046680920208618</v>
      </c>
      <c r="AJ162" t="str">
        <f t="shared" si="162"/>
        <v>1+0.00650680382485643i</v>
      </c>
      <c r="AK162">
        <f t="shared" si="181"/>
        <v>1.0000211690239438</v>
      </c>
      <c r="AL162">
        <f t="shared" si="182"/>
        <v>6.506711997759841E-3</v>
      </c>
      <c r="AM162" t="str">
        <f t="shared" si="163"/>
        <v>1-0.000789876602866749i</v>
      </c>
      <c r="AN162">
        <f t="shared" si="183"/>
        <v>1.0000003119524752</v>
      </c>
      <c r="AO162">
        <f t="shared" si="184"/>
        <v>-7.8987643859747736E-4</v>
      </c>
      <c r="AP162" s="41" t="str">
        <f t="shared" si="185"/>
        <v>63.5722961433086-19.3001122481416i</v>
      </c>
      <c r="AQ162">
        <f t="shared" si="186"/>
        <v>36.448255565459831</v>
      </c>
      <c r="AR162" s="43">
        <f t="shared" si="187"/>
        <v>-16.887929501331783</v>
      </c>
      <c r="AS162" t="str">
        <f t="shared" si="164"/>
        <v>-0.0000166666666666667</v>
      </c>
      <c r="AT162" t="str">
        <f t="shared" si="165"/>
        <v>5.88381196928507E-06i</v>
      </c>
      <c r="AU162">
        <f t="shared" si="188"/>
        <v>5.8838119692850698E-6</v>
      </c>
      <c r="AV162">
        <f t="shared" si="189"/>
        <v>1.5707963267948966</v>
      </c>
      <c r="AW162" t="str">
        <f t="shared" si="166"/>
        <v>1+0.00597950026082708i</v>
      </c>
      <c r="AX162">
        <f t="shared" si="190"/>
        <v>1.0000178770518902</v>
      </c>
      <c r="AY162">
        <f t="shared" si="191"/>
        <v>5.9794289978279003E-3</v>
      </c>
      <c r="AZ162" t="str">
        <f t="shared" si="167"/>
        <v>1+0.203303008868121i</v>
      </c>
      <c r="BA162">
        <f t="shared" si="192"/>
        <v>1.0204568160460448</v>
      </c>
      <c r="BB162">
        <f t="shared" si="193"/>
        <v>0.20056950318075403</v>
      </c>
      <c r="BC162" s="41" t="str">
        <f t="shared" si="194"/>
        <v>-0.558924652649541+2.83597283250099i</v>
      </c>
      <c r="BD162">
        <f t="shared" si="195"/>
        <v>9.2195366247156656</v>
      </c>
      <c r="BE162" s="43">
        <f t="shared" si="196"/>
        <v>101.14918998581925</v>
      </c>
      <c r="BF162" s="41" t="str">
        <f t="shared" si="197"/>
        <v>8.99559053857163+50.6782152049373i</v>
      </c>
      <c r="BG162" s="20">
        <f t="shared" si="198"/>
        <v>34.231150980948087</v>
      </c>
      <c r="BH162" s="43">
        <f t="shared" si="199"/>
        <v>79.934603393202906</v>
      </c>
      <c r="BI162" s="41" t="str">
        <f t="shared" si="152"/>
        <v>19.2024704599167+191.07661329652i</v>
      </c>
      <c r="BJ162" s="20">
        <f t="shared" si="200"/>
        <v>45.667792190175483</v>
      </c>
      <c r="BK162" s="43">
        <f t="shared" si="153"/>
        <v>84.261260484487451</v>
      </c>
      <c r="BL162">
        <f t="shared" si="201"/>
        <v>34.231150980948087</v>
      </c>
      <c r="BM162" s="43">
        <f t="shared" si="202"/>
        <v>79.934603393202906</v>
      </c>
    </row>
    <row r="163" spans="14:65" x14ac:dyDescent="0.25">
      <c r="N163" s="9">
        <v>45</v>
      </c>
      <c r="O163" s="34">
        <f t="shared" si="154"/>
        <v>281.83829312644554</v>
      </c>
      <c r="P163" s="33" t="str">
        <f t="shared" si="155"/>
        <v>19.1021967526266</v>
      </c>
      <c r="Q163" s="4" t="str">
        <f t="shared" si="156"/>
        <v>1+0.397466974458047i</v>
      </c>
      <c r="R163" s="4">
        <f t="shared" si="168"/>
        <v>1.0760947894051127</v>
      </c>
      <c r="S163" s="4">
        <f t="shared" si="169"/>
        <v>0.37832082889802804</v>
      </c>
      <c r="T163" s="4" t="str">
        <f t="shared" si="157"/>
        <v>1+0.00665836675612119i</v>
      </c>
      <c r="U163" s="4">
        <f t="shared" si="170"/>
        <v>1.0000221666782487</v>
      </c>
      <c r="V163" s="4">
        <f t="shared" si="171"/>
        <v>6.6582683617322459E-3</v>
      </c>
      <c r="W163" t="str">
        <f t="shared" si="158"/>
        <v>1-0.00368925462994304i</v>
      </c>
      <c r="X163" s="4">
        <f t="shared" si="172"/>
        <v>1.0000068052767064</v>
      </c>
      <c r="Y163" s="4">
        <f t="shared" si="173"/>
        <v>-3.6892378924237076E-3</v>
      </c>
      <c r="Z163" t="str">
        <f t="shared" si="159"/>
        <v>0.999999920567177+0.00274480544467762i</v>
      </c>
      <c r="AA163" s="4">
        <f t="shared" si="174"/>
        <v>1.0000036875388456</v>
      </c>
      <c r="AB163" s="4">
        <f t="shared" si="175"/>
        <v>2.7447987696527995E-3</v>
      </c>
      <c r="AC163" s="47" t="str">
        <f t="shared" si="176"/>
        <v>16.4980240171819-6.55313626433493i</v>
      </c>
      <c r="AD163" s="20">
        <f t="shared" si="177"/>
        <v>24.984875325299548</v>
      </c>
      <c r="AE163" s="43">
        <f t="shared" si="178"/>
        <v>-21.663339267724616</v>
      </c>
      <c r="AF163" t="str">
        <f t="shared" si="160"/>
        <v>69.5520360182888</v>
      </c>
      <c r="AG163" t="str">
        <f t="shared" si="161"/>
        <v>1+0.317065083624819i</v>
      </c>
      <c r="AH163">
        <f t="shared" si="179"/>
        <v>1.0490616127063335</v>
      </c>
      <c r="AI163">
        <f t="shared" si="180"/>
        <v>0.30703838366292396</v>
      </c>
      <c r="AJ163" t="str">
        <f t="shared" si="162"/>
        <v>1+0.00665836675612119i</v>
      </c>
      <c r="AK163">
        <f t="shared" si="181"/>
        <v>1.0000221666782487</v>
      </c>
      <c r="AL163">
        <f t="shared" si="182"/>
        <v>6.6582683617322459E-3</v>
      </c>
      <c r="AM163" t="str">
        <f t="shared" si="163"/>
        <v>1-0.000808275192480073i</v>
      </c>
      <c r="AN163">
        <f t="shared" si="183"/>
        <v>1.00000032665434</v>
      </c>
      <c r="AO163">
        <f t="shared" si="184"/>
        <v>-8.0827501646238019E-4</v>
      </c>
      <c r="AP163" s="41" t="str">
        <f t="shared" si="185"/>
        <v>63.3162228062861-19.6684776997381i</v>
      </c>
      <c r="AQ163">
        <f t="shared" si="186"/>
        <v>36.430372415428501</v>
      </c>
      <c r="AR163" s="43">
        <f t="shared" si="187"/>
        <v>-17.256823603540472</v>
      </c>
      <c r="AS163" t="str">
        <f t="shared" si="164"/>
        <v>-0.0000166666666666667</v>
      </c>
      <c r="AT163" t="str">
        <f t="shared" si="165"/>
        <v>6.02086355606703E-06i</v>
      </c>
      <c r="AU163">
        <f t="shared" si="188"/>
        <v>6.0208635560670297E-6</v>
      </c>
      <c r="AV163">
        <f t="shared" si="189"/>
        <v>1.5707963267948966</v>
      </c>
      <c r="AW163" t="str">
        <f t="shared" si="166"/>
        <v>1+0.0061187807142453i</v>
      </c>
      <c r="AX163">
        <f t="shared" si="190"/>
        <v>1.0000187195635035</v>
      </c>
      <c r="AY163">
        <f t="shared" si="191"/>
        <v>6.1187043546431291E-3</v>
      </c>
      <c r="AZ163" t="str">
        <f t="shared" si="167"/>
        <v>1+0.20803854428434i</v>
      </c>
      <c r="BA163">
        <f t="shared" si="192"/>
        <v>1.0214108066336225</v>
      </c>
      <c r="BB163">
        <f t="shared" si="193"/>
        <v>0.20511284595752133</v>
      </c>
      <c r="BC163" s="41" t="str">
        <f t="shared" si="194"/>
        <v>-0.558923710866546+2.77157212631457i</v>
      </c>
      <c r="BD163">
        <f t="shared" si="195"/>
        <v>9.0276456582802389</v>
      </c>
      <c r="BE163" s="43">
        <f t="shared" si="196"/>
        <v>101.40152446167357</v>
      </c>
      <c r="BF163" s="41" t="str">
        <f t="shared" si="197"/>
        <v>8.94135300452317+49.3881667439659i</v>
      </c>
      <c r="BG163" s="20">
        <f t="shared" si="198"/>
        <v>34.012520983579783</v>
      </c>
      <c r="BH163" s="43">
        <f t="shared" si="199"/>
        <v>79.738185193948965</v>
      </c>
      <c r="BI163" s="41" t="str">
        <f t="shared" si="152"/>
        <v>19.1236663506914+186.478656816459i</v>
      </c>
      <c r="BJ163" s="20">
        <f t="shared" si="200"/>
        <v>45.458018073708743</v>
      </c>
      <c r="BK163" s="43">
        <f t="shared" si="153"/>
        <v>84.144700858133106</v>
      </c>
      <c r="BL163">
        <f t="shared" si="201"/>
        <v>34.012520983579783</v>
      </c>
      <c r="BM163" s="43">
        <f t="shared" si="202"/>
        <v>79.738185193948965</v>
      </c>
    </row>
    <row r="164" spans="14:65" x14ac:dyDescent="0.25">
      <c r="N164" s="9">
        <v>46</v>
      </c>
      <c r="O164" s="34">
        <f t="shared" si="154"/>
        <v>288.40315031266073</v>
      </c>
      <c r="P164" s="33" t="str">
        <f t="shared" si="155"/>
        <v>19.1021967526266</v>
      </c>
      <c r="Q164" s="4" t="str">
        <f t="shared" si="156"/>
        <v>1+0.406725169625953i</v>
      </c>
      <c r="R164" s="4">
        <f t="shared" si="168"/>
        <v>1.0795486851491507</v>
      </c>
      <c r="S164" s="4">
        <f t="shared" si="169"/>
        <v>0.38629045905607284</v>
      </c>
      <c r="T164" s="4" t="str">
        <f t="shared" si="157"/>
        <v>1+0.00681346004157395i</v>
      </c>
      <c r="U164" s="4">
        <f t="shared" si="170"/>
        <v>1.0000232113494858</v>
      </c>
      <c r="V164" s="4">
        <f t="shared" si="171"/>
        <v>6.813354610218837E-3</v>
      </c>
      <c r="W164" t="str">
        <f t="shared" si="158"/>
        <v>1-0.00377518840956004i</v>
      </c>
      <c r="X164" s="4">
        <f t="shared" si="172"/>
        <v>1.0000071259983738</v>
      </c>
      <c r="Y164" s="4">
        <f t="shared" si="173"/>
        <v>-3.7751704749918562E-3</v>
      </c>
      <c r="Z164" t="str">
        <f t="shared" si="159"/>
        <v>0.999999916823623+0.00280874017671267i</v>
      </c>
      <c r="AA164" s="4">
        <f t="shared" si="174"/>
        <v>1.0000038613268618</v>
      </c>
      <c r="AB164" s="4">
        <f t="shared" si="175"/>
        <v>2.8087330242962043E-3</v>
      </c>
      <c r="AC164" s="47" t="str">
        <f t="shared" si="176"/>
        <v>16.3927140506443-6.66294626660519i</v>
      </c>
      <c r="AD164" s="20">
        <f t="shared" si="177"/>
        <v>24.957051589229916</v>
      </c>
      <c r="AE164" s="43">
        <f t="shared" si="178"/>
        <v>-22.119666389823198</v>
      </c>
      <c r="AF164" t="str">
        <f t="shared" si="160"/>
        <v>69.5520360182888</v>
      </c>
      <c r="AG164" t="str">
        <f t="shared" si="161"/>
        <v>1+0.324450478170189i</v>
      </c>
      <c r="AH164">
        <f t="shared" si="179"/>
        <v>1.0513173225933568</v>
      </c>
      <c r="AI164">
        <f t="shared" si="180"/>
        <v>0.31373479512537711</v>
      </c>
      <c r="AJ164" t="str">
        <f t="shared" si="162"/>
        <v>1+0.00681346004157395i</v>
      </c>
      <c r="AK164">
        <f t="shared" si="181"/>
        <v>1.0000232113494858</v>
      </c>
      <c r="AL164">
        <f t="shared" si="182"/>
        <v>6.813354610218837E-3</v>
      </c>
      <c r="AM164" t="str">
        <f t="shared" si="163"/>
        <v>1-0.000827102340299236i</v>
      </c>
      <c r="AN164">
        <f t="shared" si="183"/>
        <v>1.0000003420490822</v>
      </c>
      <c r="AO164">
        <f t="shared" si="184"/>
        <v>-8.2710215169288354E-4</v>
      </c>
      <c r="AP164" s="41" t="str">
        <f t="shared" si="185"/>
        <v>63.0503282064159-20.0403457689016i</v>
      </c>
      <c r="AQ164">
        <f t="shared" si="186"/>
        <v>36.411725127729618</v>
      </c>
      <c r="AR164" s="43">
        <f t="shared" si="187"/>
        <v>-17.632692646112329</v>
      </c>
      <c r="AS164" t="str">
        <f t="shared" si="164"/>
        <v>-0.0000166666666666667</v>
      </c>
      <c r="AT164" t="str">
        <f t="shared" si="165"/>
        <v>6.16110748440197E-06i</v>
      </c>
      <c r="AU164">
        <f t="shared" si="188"/>
        <v>6.1611074844019703E-6</v>
      </c>
      <c r="AV164">
        <f t="shared" si="189"/>
        <v>1.5707963267948966</v>
      </c>
      <c r="AW164" t="str">
        <f t="shared" si="166"/>
        <v>1+0.00626130542618984i</v>
      </c>
      <c r="AX164">
        <f t="shared" si="190"/>
        <v>1.000019601780705</v>
      </c>
      <c r="AY164">
        <f t="shared" si="191"/>
        <v>6.2612236054885939E-3</v>
      </c>
      <c r="AZ164" t="str">
        <f t="shared" si="167"/>
        <v>1+0.212884384490455i</v>
      </c>
      <c r="BA164">
        <f t="shared" si="192"/>
        <v>1.0224088033462349</v>
      </c>
      <c r="BB164">
        <f t="shared" si="193"/>
        <v>0.20975314125411482</v>
      </c>
      <c r="BC164" s="41" t="str">
        <f t="shared" si="194"/>
        <v>-0.558922724702088+2.70864094381232i</v>
      </c>
      <c r="BD164">
        <f t="shared" si="195"/>
        <v>8.8361206326556534</v>
      </c>
      <c r="BE164" s="43">
        <f t="shared" si="196"/>
        <v>101.65922804629</v>
      </c>
      <c r="BF164" s="41" t="str">
        <f t="shared" si="197"/>
        <v>8.88526866169994+48.1260485396572i</v>
      </c>
      <c r="BG164" s="20">
        <f t="shared" si="198"/>
        <v>33.793172221885563</v>
      </c>
      <c r="BH164" s="43">
        <f t="shared" si="199"/>
        <v>79.539561656466802</v>
      </c>
      <c r="BI164" s="41" t="str">
        <f t="shared" si="152"/>
        <v>19.041839843312+181.981705161829i</v>
      </c>
      <c r="BJ164" s="20">
        <f t="shared" si="200"/>
        <v>45.247845760385246</v>
      </c>
      <c r="BK164" s="43">
        <f t="shared" si="153"/>
        <v>84.02653540017765</v>
      </c>
      <c r="BL164">
        <f t="shared" si="201"/>
        <v>33.793172221885563</v>
      </c>
      <c r="BM164" s="43">
        <f t="shared" si="202"/>
        <v>79.539561656466802</v>
      </c>
    </row>
    <row r="165" spans="14:65" x14ac:dyDescent="0.25">
      <c r="N165" s="9">
        <v>47</v>
      </c>
      <c r="O165" s="34">
        <f t="shared" si="154"/>
        <v>295.12092266663871</v>
      </c>
      <c r="P165" s="33" t="str">
        <f t="shared" si="155"/>
        <v>19.1021967526266</v>
      </c>
      <c r="Q165" s="4" t="str">
        <f t="shared" si="156"/>
        <v>1+0.416199015862438i</v>
      </c>
      <c r="R165" s="4">
        <f t="shared" si="168"/>
        <v>1.0831535536593424</v>
      </c>
      <c r="S165" s="4">
        <f t="shared" si="169"/>
        <v>0.39439258186049503</v>
      </c>
      <c r="T165" s="4" t="str">
        <f t="shared" si="157"/>
        <v>1+0.00697216591372756i</v>
      </c>
      <c r="U165" s="4">
        <f t="shared" si="170"/>
        <v>1.0000243052533917</v>
      </c>
      <c r="V165" s="4">
        <f t="shared" si="171"/>
        <v>6.9720529421434729E-3</v>
      </c>
      <c r="W165" t="str">
        <f t="shared" si="158"/>
        <v>1-0.00386312384404231i</v>
      </c>
      <c r="X165" s="4">
        <f t="shared" si="172"/>
        <v>1.0000074618350778</v>
      </c>
      <c r="Y165" s="4">
        <f t="shared" si="173"/>
        <v>-3.8631046268140143E-3</v>
      </c>
      <c r="Z165" t="str">
        <f t="shared" si="159"/>
        <v>0.999999912903641+0.00287416413996748i</v>
      </c>
      <c r="AA165" s="4">
        <f t="shared" si="174"/>
        <v>1.0000040433052224</v>
      </c>
      <c r="AB165" s="4">
        <f t="shared" si="175"/>
        <v>2.8741564760168315E-3</v>
      </c>
      <c r="AC165" s="47" t="str">
        <f t="shared" si="176"/>
        <v>16.2838735620954-6.77284698676067i</v>
      </c>
      <c r="AD165" s="20">
        <f t="shared" si="177"/>
        <v>24.928106504572902</v>
      </c>
      <c r="AE165" s="43">
        <f t="shared" si="178"/>
        <v>-22.58357783041755</v>
      </c>
      <c r="AF165" t="str">
        <f t="shared" si="160"/>
        <v>69.5520360182888</v>
      </c>
      <c r="AG165" t="str">
        <f t="shared" si="161"/>
        <v>1+0.332007900653694i</v>
      </c>
      <c r="AH165">
        <f t="shared" si="179"/>
        <v>1.0536741650512615</v>
      </c>
      <c r="AI165">
        <f t="shared" si="180"/>
        <v>0.32055719103439817</v>
      </c>
      <c r="AJ165" t="str">
        <f t="shared" si="162"/>
        <v>1+0.00697216591372756i</v>
      </c>
      <c r="AK165">
        <f t="shared" si="181"/>
        <v>1.0000243052533917</v>
      </c>
      <c r="AL165">
        <f t="shared" si="182"/>
        <v>6.9720529421434729E-3</v>
      </c>
      <c r="AM165" t="str">
        <f t="shared" si="163"/>
        <v>1-0.000846368028727219i</v>
      </c>
      <c r="AN165">
        <f t="shared" si="183"/>
        <v>1.000000358169356</v>
      </c>
      <c r="AO165">
        <f t="shared" si="184"/>
        <v>-8.4636782663187514E-4</v>
      </c>
      <c r="AP165" s="41" t="str">
        <f t="shared" si="185"/>
        <v>62.7743347121875-20.4155133675874i</v>
      </c>
      <c r="AQ165">
        <f t="shared" si="186"/>
        <v>36.39228454119236</v>
      </c>
      <c r="AR165" s="43">
        <f t="shared" si="187"/>
        <v>-18.015598235094981</v>
      </c>
      <c r="AS165" t="str">
        <f t="shared" si="164"/>
        <v>-0.0000166666666666667</v>
      </c>
      <c r="AT165" t="str">
        <f t="shared" si="165"/>
        <v>6.30461811347705E-06i</v>
      </c>
      <c r="AU165">
        <f t="shared" si="188"/>
        <v>6.3046181134770503E-6</v>
      </c>
      <c r="AV165">
        <f t="shared" si="189"/>
        <v>1.5707963267948966</v>
      </c>
      <c r="AW165" t="str">
        <f t="shared" si="166"/>
        <v>1+0.00640714996514952i</v>
      </c>
      <c r="AX165">
        <f t="shared" si="190"/>
        <v>1.0000205255746883</v>
      </c>
      <c r="AY165">
        <f t="shared" si="191"/>
        <v>6.4070622927857547E-3</v>
      </c>
      <c r="AZ165" t="str">
        <f t="shared" si="167"/>
        <v>1+0.217843098815084i</v>
      </c>
      <c r="BA165">
        <f t="shared" si="192"/>
        <v>1.0234527911444466</v>
      </c>
      <c r="BB165">
        <f t="shared" si="193"/>
        <v>0.21449204971208663</v>
      </c>
      <c r="BC165" s="41" t="str">
        <f t="shared" si="194"/>
        <v>-0.55892169206486+2.64714591800946i</v>
      </c>
      <c r="BD165">
        <f t="shared" si="195"/>
        <v>8.6449772980393575</v>
      </c>
      <c r="BE165" s="43">
        <f t="shared" si="196"/>
        <v>101.92239155915874</v>
      </c>
      <c r="BF165" s="41" t="str">
        <f t="shared" si="197"/>
        <v>8.82730408960958+46.8912805272197i</v>
      </c>
      <c r="BG165" s="20">
        <f t="shared" si="198"/>
        <v>33.57308380261226</v>
      </c>
      <c r="BH165" s="43">
        <f t="shared" si="199"/>
        <v>79.338813728741201</v>
      </c>
      <c r="BI165" s="41" t="str">
        <f t="shared" si="152"/>
        <v>18.9569054994948+177.583497164911i</v>
      </c>
      <c r="BJ165" s="20">
        <f t="shared" si="200"/>
        <v>45.037261839231697</v>
      </c>
      <c r="BK165" s="43">
        <f t="shared" si="153"/>
        <v>83.90679332406377</v>
      </c>
      <c r="BL165">
        <f t="shared" si="201"/>
        <v>33.57308380261226</v>
      </c>
      <c r="BM165" s="43">
        <f t="shared" si="202"/>
        <v>79.338813728741201</v>
      </c>
    </row>
    <row r="166" spans="14:65" x14ac:dyDescent="0.25">
      <c r="N166" s="9">
        <v>48</v>
      </c>
      <c r="O166" s="34">
        <f t="shared" si="154"/>
        <v>301.99517204020168</v>
      </c>
      <c r="P166" s="33" t="str">
        <f t="shared" si="155"/>
        <v>19.1021967526266</v>
      </c>
      <c r="Q166" s="4" t="str">
        <f t="shared" si="156"/>
        <v>1+0.42589353632618i</v>
      </c>
      <c r="R166" s="4">
        <f t="shared" si="168"/>
        <v>1.0869155000663202</v>
      </c>
      <c r="S166" s="4">
        <f t="shared" si="169"/>
        <v>0.40262723724541838</v>
      </c>
      <c r="T166" s="4" t="str">
        <f t="shared" si="157"/>
        <v>1+0.00713456852053615i</v>
      </c>
      <c r="U166" s="4">
        <f t="shared" si="170"/>
        <v>1.0000254507101178</v>
      </c>
      <c r="V166" s="4">
        <f t="shared" si="171"/>
        <v>7.1344474694692451E-3</v>
      </c>
      <c r="W166" t="str">
        <f t="shared" si="158"/>
        <v>1-0.00395310755792119i</v>
      </c>
      <c r="X166" s="4">
        <f t="shared" si="172"/>
        <v>1.0000078134991568</v>
      </c>
      <c r="Y166" s="4">
        <f t="shared" si="173"/>
        <v>-3.9530869662987673E-3</v>
      </c>
      <c r="Z166" t="str">
        <f t="shared" si="159"/>
        <v>0.999999908798916+0.00294111202309336i</v>
      </c>
      <c r="AA166" s="4">
        <f t="shared" si="174"/>
        <v>1.0000042338599235</v>
      </c>
      <c r="AB166" s="4">
        <f t="shared" si="175"/>
        <v>2.9411038110241637E-3</v>
      </c>
      <c r="AC166" s="47" t="str">
        <f t="shared" si="176"/>
        <v>16.1714432560272-6.8827235920141i</v>
      </c>
      <c r="AD166" s="20">
        <f t="shared" si="177"/>
        <v>24.898002789154958</v>
      </c>
      <c r="AE166" s="43">
        <f t="shared" si="178"/>
        <v>-23.055075716715233</v>
      </c>
      <c r="AF166" t="str">
        <f t="shared" si="160"/>
        <v>69.5520360182888</v>
      </c>
      <c r="AG166" t="str">
        <f t="shared" si="161"/>
        <v>1+0.33974135812077i</v>
      </c>
      <c r="AH166">
        <f t="shared" si="179"/>
        <v>1.0561364449813033</v>
      </c>
      <c r="AI166">
        <f t="shared" si="180"/>
        <v>0.32750664745472535</v>
      </c>
      <c r="AJ166" t="str">
        <f t="shared" si="162"/>
        <v>1+0.00713456852053615i</v>
      </c>
      <c r="AK166">
        <f t="shared" si="181"/>
        <v>1.0000254507101178</v>
      </c>
      <c r="AL166">
        <f t="shared" si="182"/>
        <v>7.1344474694692451E-3</v>
      </c>
      <c r="AM166" t="str">
        <f t="shared" si="163"/>
        <v>1-0.000866082472687039i</v>
      </c>
      <c r="AN166">
        <f t="shared" si="183"/>
        <v>1.0000003750493545</v>
      </c>
      <c r="AO166">
        <f t="shared" si="184"/>
        <v>-8.6608225613798106E-4</v>
      </c>
      <c r="AP166" s="41" t="str">
        <f t="shared" si="185"/>
        <v>62.487965432748-20.7937602749454i</v>
      </c>
      <c r="AQ166">
        <f t="shared" si="186"/>
        <v>36.372020683051417</v>
      </c>
      <c r="AR166" s="43">
        <f t="shared" si="187"/>
        <v>-18.405597790464228</v>
      </c>
      <c r="AS166" t="str">
        <f t="shared" si="164"/>
        <v>-0.0000166666666666667</v>
      </c>
      <c r="AT166" t="str">
        <f t="shared" si="165"/>
        <v>6.45147153452737E-06i</v>
      </c>
      <c r="AU166">
        <f t="shared" si="188"/>
        <v>6.4514715345273698E-6</v>
      </c>
      <c r="AV166">
        <f t="shared" si="189"/>
        <v>1.5707963267948966</v>
      </c>
      <c r="AW166" t="str">
        <f t="shared" si="166"/>
        <v>1+0.00655639165982938i</v>
      </c>
      <c r="AX166">
        <f t="shared" si="190"/>
        <v>1.0000214929048261</v>
      </c>
      <c r="AY166">
        <f t="shared" si="191"/>
        <v>6.5562977173081165E-3</v>
      </c>
      <c r="AZ166" t="str">
        <f t="shared" si="167"/>
        <v>1+0.222917316434199i</v>
      </c>
      <c r="BA166">
        <f t="shared" si="192"/>
        <v>1.0245448403882695</v>
      </c>
      <c r="BB166">
        <f t="shared" si="193"/>
        <v>0.21933123218704015</v>
      </c>
      <c r="BC166" s="41" t="str">
        <f t="shared" si="194"/>
        <v>-0.558920610765028+2.58705444338766i</v>
      </c>
      <c r="BD166">
        <f t="shared" si="195"/>
        <v>8.4542320123819685</v>
      </c>
      <c r="BE166" s="43">
        <f t="shared" si="196"/>
        <v>102.19110573128832</v>
      </c>
      <c r="BF166" s="41" t="str">
        <f t="shared" si="197"/>
        <v>8.76742770971844+45.683300205272i</v>
      </c>
      <c r="BG166" s="20">
        <f t="shared" si="198"/>
        <v>33.35223480153693</v>
      </c>
      <c r="BH166" s="43">
        <f t="shared" si="199"/>
        <v>79.136030014573095</v>
      </c>
      <c r="BI166" s="41" t="str">
        <f t="shared" si="152"/>
        <v>18.8687781088998+173.281829824019i</v>
      </c>
      <c r="BJ166" s="20">
        <f t="shared" si="200"/>
        <v>44.826252695433375</v>
      </c>
      <c r="BK166" s="43">
        <f t="shared" si="153"/>
        <v>83.78550794082409</v>
      </c>
      <c r="BL166">
        <f t="shared" si="201"/>
        <v>33.35223480153693</v>
      </c>
      <c r="BM166" s="43">
        <f t="shared" si="202"/>
        <v>79.136030014573095</v>
      </c>
    </row>
    <row r="167" spans="14:65" x14ac:dyDescent="0.25">
      <c r="N167" s="9">
        <v>49</v>
      </c>
      <c r="O167" s="34">
        <f t="shared" si="154"/>
        <v>309.02954325135937</v>
      </c>
      <c r="P167" s="33" t="str">
        <f t="shared" si="155"/>
        <v>19.1021967526266</v>
      </c>
      <c r="Q167" s="4" t="str">
        <f t="shared" si="156"/>
        <v>1+0.435813871180248i</v>
      </c>
      <c r="R167" s="4">
        <f t="shared" si="168"/>
        <v>1.0908408363794939</v>
      </c>
      <c r="S167" s="4">
        <f t="shared" si="169"/>
        <v>0.41099432317699447</v>
      </c>
      <c r="T167" s="4" t="str">
        <f t="shared" si="157"/>
        <v>1+0.0073007539700115i</v>
      </c>
      <c r="U167" s="4">
        <f t="shared" si="170"/>
        <v>1.0000266501491502</v>
      </c>
      <c r="V167" s="4">
        <f t="shared" si="171"/>
        <v>7.3006242616430817E-3</v>
      </c>
      <c r="W167" t="str">
        <f t="shared" si="158"/>
        <v>1-0.00404518726175283i</v>
      </c>
      <c r="X167" s="4">
        <f t="shared" si="172"/>
        <v>1.000008181736521</v>
      </c>
      <c r="Y167" s="4">
        <f t="shared" si="173"/>
        <v>-4.045165197441628E-3</v>
      </c>
      <c r="Z167" t="str">
        <f t="shared" si="159"/>
        <v>0.999999904500741+0.00300961932274411i</v>
      </c>
      <c r="AA167" s="4">
        <f t="shared" si="174"/>
        <v>1.0000044333951521</v>
      </c>
      <c r="AB167" s="4">
        <f t="shared" si="175"/>
        <v>3.0096105233555375E-3</v>
      </c>
      <c r="AC167" s="47" t="str">
        <f t="shared" si="176"/>
        <v>16.055367723465-6.99245557087517i</v>
      </c>
      <c r="AD167" s="20">
        <f t="shared" si="177"/>
        <v>24.866702560595826</v>
      </c>
      <c r="AE167" s="43">
        <f t="shared" si="178"/>
        <v>-23.534154038087582</v>
      </c>
      <c r="AF167" t="str">
        <f t="shared" si="160"/>
        <v>69.5520360182888</v>
      </c>
      <c r="AG167" t="str">
        <f t="shared" si="161"/>
        <v>1+0.347654950952929i</v>
      </c>
      <c r="AH167">
        <f t="shared" si="179"/>
        <v>1.0587086307960674</v>
      </c>
      <c r="AI167">
        <f t="shared" si="180"/>
        <v>0.33458416319749551</v>
      </c>
      <c r="AJ167" t="str">
        <f t="shared" si="162"/>
        <v>1+0.0073007539700115i</v>
      </c>
      <c r="AK167">
        <f t="shared" si="181"/>
        <v>1.0000266501491502</v>
      </c>
      <c r="AL167">
        <f t="shared" si="182"/>
        <v>7.3006242616430817E-3</v>
      </c>
      <c r="AM167" t="str">
        <f t="shared" si="163"/>
        <v>1-0.000886256125037834i</v>
      </c>
      <c r="AN167">
        <f t="shared" si="183"/>
        <v>1.0000003927248824</v>
      </c>
      <c r="AO167">
        <f t="shared" si="184"/>
        <v>-8.8625589300134276E-4</v>
      </c>
      <c r="AP167" s="41" t="str">
        <f t="shared" si="185"/>
        <v>62.190945098038-21.1748485826219i</v>
      </c>
      <c r="AQ167">
        <f t="shared" si="186"/>
        <v>36.350902772432782</v>
      </c>
      <c r="AR167" s="43">
        <f t="shared" si="187"/>
        <v>-18.802744207367507</v>
      </c>
      <c r="AS167" t="str">
        <f t="shared" si="164"/>
        <v>-0.0000166666666666667</v>
      </c>
      <c r="AT167" t="str">
        <f t="shared" si="165"/>
        <v>6.60174561118062E-06i</v>
      </c>
      <c r="AU167">
        <f t="shared" si="188"/>
        <v>6.6017456111806198E-6</v>
      </c>
      <c r="AV167">
        <f t="shared" si="189"/>
        <v>1.5707963267948966</v>
      </c>
      <c r="AW167" t="str">
        <f t="shared" si="166"/>
        <v>1+0.00670910964015138i</v>
      </c>
      <c r="AX167">
        <f t="shared" si="190"/>
        <v>1.0000225058228258</v>
      </c>
      <c r="AY167">
        <f t="shared" si="191"/>
        <v>6.7090089790486154E-3</v>
      </c>
      <c r="AZ167" t="str">
        <f t="shared" si="167"/>
        <v>1+0.228109727765147i</v>
      </c>
      <c r="BA167">
        <f t="shared" si="192"/>
        <v>1.0256871101369509</v>
      </c>
      <c r="BB167">
        <f t="shared" si="193"/>
        <v>0.22427234748329664</v>
      </c>
      <c r="BC167" s="41" t="str">
        <f t="shared" si="194"/>
        <v>-0.558919478509588+2.52833465860709i</v>
      </c>
      <c r="BD167">
        <f t="shared" si="195"/>
        <v>8.2639017584121408</v>
      </c>
      <c r="BE167" s="43">
        <f t="shared" si="196"/>
        <v>102.46546107306948</v>
      </c>
      <c r="BF167" s="41" t="str">
        <f t="shared" si="197"/>
        <v>8.70561001333519+44.5015622930932i</v>
      </c>
      <c r="BG167" s="20">
        <f t="shared" si="198"/>
        <v>33.130604319007972</v>
      </c>
      <c r="BH167" s="43">
        <f t="shared" si="199"/>
        <v>78.931307034981913</v>
      </c>
      <c r="BI167" s="41" t="str">
        <f t="shared" si="152"/>
        <v>18.7773729599864+169.074557270219i</v>
      </c>
      <c r="BJ167" s="20">
        <f t="shared" si="200"/>
        <v>44.614804530844943</v>
      </c>
      <c r="BK167" s="43">
        <f t="shared" si="153"/>
        <v>83.662716865701981</v>
      </c>
      <c r="BL167">
        <f t="shared" si="201"/>
        <v>33.130604319007972</v>
      </c>
      <c r="BM167" s="43">
        <f t="shared" si="202"/>
        <v>78.931307034981913</v>
      </c>
    </row>
    <row r="168" spans="14:65" x14ac:dyDescent="0.25">
      <c r="N168" s="9">
        <v>50</v>
      </c>
      <c r="O168" s="34">
        <f t="shared" si="154"/>
        <v>316.22776601683825</v>
      </c>
      <c r="P168" s="33" t="str">
        <f t="shared" si="155"/>
        <v>19.1021967526266</v>
      </c>
      <c r="Q168" s="4" t="str">
        <f t="shared" si="156"/>
        <v>1+0.445965280317494i</v>
      </c>
      <c r="R168" s="4">
        <f t="shared" si="168"/>
        <v>1.0949360854628278</v>
      </c>
      <c r="S168" s="4">
        <f t="shared" si="169"/>
        <v>0.41949358883185073</v>
      </c>
      <c r="T168" s="4" t="str">
        <f t="shared" si="157"/>
        <v>1+0.00747081037587866i</v>
      </c>
      <c r="U168" s="4">
        <f t="shared" si="170"/>
        <v>1.0000279061144606</v>
      </c>
      <c r="V168" s="4">
        <f t="shared" si="171"/>
        <v>7.4706713910673173E-3</v>
      </c>
      <c r="W168" t="str">
        <f t="shared" si="158"/>
        <v>1-0.00413941177741504i</v>
      </c>
      <c r="X168" s="4">
        <f t="shared" si="172"/>
        <v>1.000008567328232</v>
      </c>
      <c r="Y168" s="4">
        <f t="shared" si="173"/>
        <v>-4.1393881350905697E-3</v>
      </c>
      <c r="Z168" t="str">
        <f t="shared" si="159"/>
        <v>0.9999999+0.00307972236239679i</v>
      </c>
      <c r="AA168" s="4">
        <f t="shared" si="174"/>
        <v>1.0000046423341442</v>
      </c>
      <c r="AB168" s="4">
        <f t="shared" si="175"/>
        <v>3.0797129336844228E-3</v>
      </c>
      <c r="AC168" s="47" t="str">
        <f t="shared" si="176"/>
        <v>15.9355958834997-7.10191678650209i</v>
      </c>
      <c r="AD168" s="20">
        <f t="shared" si="177"/>
        <v>24.834167379382784</v>
      </c>
      <c r="AE168" s="43">
        <f t="shared" si="178"/>
        <v>-24.020798255143209</v>
      </c>
      <c r="AF168" t="str">
        <f t="shared" si="160"/>
        <v>69.5520360182888</v>
      </c>
      <c r="AG168" t="str">
        <f t="shared" si="161"/>
        <v>1+0.355752875041841i</v>
      </c>
      <c r="AH168">
        <f t="shared" si="179"/>
        <v>1.0613953589970777</v>
      </c>
      <c r="AI168">
        <f t="shared" si="180"/>
        <v>0.3417906537649541</v>
      </c>
      <c r="AJ168" t="str">
        <f t="shared" si="162"/>
        <v>1+0.00747081037587866i</v>
      </c>
      <c r="AK168">
        <f t="shared" si="181"/>
        <v>1.0000279061144606</v>
      </c>
      <c r="AL168">
        <f t="shared" si="182"/>
        <v>7.4706713910673173E-3</v>
      </c>
      <c r="AM168" t="str">
        <f t="shared" si="163"/>
        <v>1-0.000906899682117111i</v>
      </c>
      <c r="AN168">
        <f t="shared" si="183"/>
        <v>1.0000004112334322</v>
      </c>
      <c r="AO168">
        <f t="shared" si="184"/>
        <v>-9.0689943348553671E-4</v>
      </c>
      <c r="AP168" s="41" t="str">
        <f t="shared" si="185"/>
        <v>61.8830010081953-21.5585221718893i</v>
      </c>
      <c r="AQ168">
        <f t="shared" si="186"/>
        <v>36.328899226521301</v>
      </c>
      <c r="AR168" s="43">
        <f t="shared" si="187"/>
        <v>-19.207085506893321</v>
      </c>
      <c r="AS168" t="str">
        <f t="shared" si="164"/>
        <v>-0.0000166666666666667</v>
      </c>
      <c r="AT168" t="str">
        <f t="shared" si="165"/>
        <v>6.75552002074136E-06i</v>
      </c>
      <c r="AU168">
        <f t="shared" si="188"/>
        <v>6.7555200207413598E-6</v>
      </c>
      <c r="AV168">
        <f t="shared" si="189"/>
        <v>1.5707963267948966</v>
      </c>
      <c r="AW168" t="str">
        <f t="shared" si="166"/>
        <v>1+0.00686538487921015i</v>
      </c>
      <c r="AX168">
        <f t="shared" si="190"/>
        <v>1.0000235664770805</v>
      </c>
      <c r="AY168">
        <f t="shared" si="191"/>
        <v>6.865277019032532E-3</v>
      </c>
      <c r="AZ168" t="str">
        <f t="shared" si="167"/>
        <v>1+0.233423085893145i</v>
      </c>
      <c r="BA168">
        <f t="shared" si="192"/>
        <v>1.0268818515427558</v>
      </c>
      <c r="BB168">
        <f t="shared" si="193"/>
        <v>0.22931704992541857</v>
      </c>
      <c r="BC168" s="41" t="str">
        <f t="shared" si="194"/>
        <v>-0.558918292897509+2.47095542961281i</v>
      </c>
      <c r="BD168">
        <f t="shared" si="195"/>
        <v>8.0740041605264494</v>
      </c>
      <c r="BE168" s="43">
        <f t="shared" si="196"/>
        <v>102.7455477327385</v>
      </c>
      <c r="BF168" s="41" t="str">
        <f t="shared" si="197"/>
        <v>8.64182379675547+43.345538379061i</v>
      </c>
      <c r="BG168" s="20">
        <f t="shared" si="198"/>
        <v>32.908171539909226</v>
      </c>
      <c r="BH168" s="43">
        <f t="shared" si="199"/>
        <v>78.724749477595282</v>
      </c>
      <c r="BI168" s="41" t="str">
        <f t="shared" si="152"/>
        <v>18.6826061321827+164.959589751641i</v>
      </c>
      <c r="BJ168" s="20">
        <f t="shared" si="200"/>
        <v>44.402903387047765</v>
      </c>
      <c r="BK168" s="43">
        <f t="shared" si="153"/>
        <v>83.538462225845194</v>
      </c>
      <c r="BL168">
        <f t="shared" si="201"/>
        <v>32.908171539909226</v>
      </c>
      <c r="BM168" s="43">
        <f t="shared" si="202"/>
        <v>78.724749477595282</v>
      </c>
    </row>
    <row r="169" spans="14:65" x14ac:dyDescent="0.25">
      <c r="N169" s="9">
        <v>51</v>
      </c>
      <c r="O169" s="34">
        <f t="shared" si="154"/>
        <v>323.59365692962825</v>
      </c>
      <c r="P169" s="33" t="str">
        <f t="shared" si="155"/>
        <v>19.1021967526266</v>
      </c>
      <c r="Q169" s="4" t="str">
        <f t="shared" si="156"/>
        <v>1+0.456353146149414i</v>
      </c>
      <c r="R169" s="4">
        <f t="shared" si="168"/>
        <v>1.0992079848693188</v>
      </c>
      <c r="S169" s="4">
        <f t="shared" si="169"/>
        <v>0.42812462785957084</v>
      </c>
      <c r="T169" s="4" t="str">
        <f t="shared" si="157"/>
        <v>1+0.00764482790429497i</v>
      </c>
      <c r="U169" s="4">
        <f t="shared" si="170"/>
        <v>1.0000292212699018</v>
      </c>
      <c r="V169" s="4">
        <f t="shared" si="171"/>
        <v>7.6446789796215083E-3</v>
      </c>
      <c r="W169" t="str">
        <f t="shared" si="158"/>
        <v>1-0.00423583106399323i</v>
      </c>
      <c r="X169" s="4">
        <f t="shared" si="172"/>
        <v>1.0000089710921611</v>
      </c>
      <c r="Y169" s="4">
        <f t="shared" si="173"/>
        <v>-4.2358057307984136E-3</v>
      </c>
      <c r="Z169" t="str">
        <f t="shared" si="159"/>
        <v>0.999999895287145+0.00315145831161096i</v>
      </c>
      <c r="AA169" s="4">
        <f t="shared" si="174"/>
        <v>1.00000486112008</v>
      </c>
      <c r="AB169" s="4">
        <f t="shared" si="175"/>
        <v>3.1514482085662878E-3</v>
      </c>
      <c r="AC169" s="47" t="str">
        <f t="shared" si="176"/>
        <v>15.8120814365032-7.21097556310226i</v>
      </c>
      <c r="AD169" s="20">
        <f t="shared" si="177"/>
        <v>24.800358296637626</v>
      </c>
      <c r="AE169" s="43">
        <f t="shared" si="178"/>
        <v>-24.514984913614711</v>
      </c>
      <c r="AF169" t="str">
        <f t="shared" si="160"/>
        <v>69.5520360182888</v>
      </c>
      <c r="AG169" t="str">
        <f t="shared" si="161"/>
        <v>1+0.364039424014047i</v>
      </c>
      <c r="AH169">
        <f t="shared" si="179"/>
        <v>1.0642014387494874</v>
      </c>
      <c r="AI169">
        <f t="shared" si="180"/>
        <v>0.34912694512506781</v>
      </c>
      <c r="AJ169" t="str">
        <f t="shared" si="162"/>
        <v>1+0.00764482790429497i</v>
      </c>
      <c r="AK169">
        <f t="shared" si="181"/>
        <v>1.0000292212699018</v>
      </c>
      <c r="AL169">
        <f t="shared" si="182"/>
        <v>7.6446789796215083E-3</v>
      </c>
      <c r="AM169" t="str">
        <f t="shared" si="163"/>
        <v>1-0.000928024089412082i</v>
      </c>
      <c r="AN169">
        <f t="shared" si="183"/>
        <v>1.0000004306142625</v>
      </c>
      <c r="AO169">
        <f t="shared" si="184"/>
        <v>-9.2802382299855639E-4</v>
      </c>
      <c r="AP169" s="41" t="str">
        <f t="shared" si="185"/>
        <v>61.5638640531572-21.9445062291299i</v>
      </c>
      <c r="AQ169">
        <f t="shared" si="186"/>
        <v>36.305977669614734</v>
      </c>
      <c r="AR169" s="43">
        <f t="shared" si="187"/>
        <v>-19.618664477042582</v>
      </c>
      <c r="AS169" t="str">
        <f t="shared" si="164"/>
        <v>-0.0000166666666666667</v>
      </c>
      <c r="AT169" t="str">
        <f t="shared" si="165"/>
        <v>6.91287629643696E-06i</v>
      </c>
      <c r="AU169">
        <f t="shared" si="188"/>
        <v>6.9128762964369596E-6</v>
      </c>
      <c r="AV169">
        <f t="shared" si="189"/>
        <v>1.5707963267948966</v>
      </c>
      <c r="AW169" t="str">
        <f t="shared" si="166"/>
        <v>1+0.00702530023620599i</v>
      </c>
      <c r="AX169">
        <f t="shared" si="190"/>
        <v>1.0000246771172243</v>
      </c>
      <c r="AY169">
        <f t="shared" si="191"/>
        <v>7.0251846620974362E-3</v>
      </c>
      <c r="AZ169" t="str">
        <f t="shared" si="167"/>
        <v>1+0.238860208031004i</v>
      </c>
      <c r="BA169">
        <f t="shared" si="192"/>
        <v>1.0281314113383633</v>
      </c>
      <c r="BB169">
        <f t="shared" si="193"/>
        <v>0.23446698676018279</v>
      </c>
      <c r="BC169" s="41" t="str">
        <f t="shared" si="194"/>
        <v>-0.558917051414651+2.41488633312687i</v>
      </c>
      <c r="BD169">
        <f t="shared" si="195"/>
        <v>7.8845575014726945</v>
      </c>
      <c r="BE169" s="43">
        <f t="shared" si="196"/>
        <v>103.03145534507006</v>
      </c>
      <c r="BF169" s="41" t="str">
        <f t="shared" si="197"/>
        <v>8.57604440262878+42.2147165588529i</v>
      </c>
      <c r="BG169" s="20">
        <f t="shared" si="198"/>
        <v>32.684915798110325</v>
      </c>
      <c r="BH169" s="43">
        <f t="shared" si="199"/>
        <v>78.51647043145536</v>
      </c>
      <c r="BI169" s="41" t="str">
        <f t="shared" si="152"/>
        <v>18.5843948096602+160.934892632786i</v>
      </c>
      <c r="BJ169" s="20">
        <f t="shared" si="200"/>
        <v>44.190535171087447</v>
      </c>
      <c r="BK169" s="43">
        <f t="shared" si="153"/>
        <v>83.412790868027514</v>
      </c>
      <c r="BL169">
        <f t="shared" si="201"/>
        <v>32.684915798110325</v>
      </c>
      <c r="BM169" s="43">
        <f t="shared" si="202"/>
        <v>78.51647043145536</v>
      </c>
    </row>
    <row r="170" spans="14:65" x14ac:dyDescent="0.25">
      <c r="N170" s="9">
        <v>52</v>
      </c>
      <c r="O170" s="34">
        <f t="shared" si="154"/>
        <v>331.13112148259137</v>
      </c>
      <c r="P170" s="33" t="str">
        <f t="shared" si="155"/>
        <v>19.1021967526266</v>
      </c>
      <c r="Q170" s="4" t="str">
        <f t="shared" si="156"/>
        <v>1+0.466982976459972i</v>
      </c>
      <c r="R170" s="4">
        <f t="shared" si="168"/>
        <v>1.1036634905184708</v>
      </c>
      <c r="S170" s="4">
        <f t="shared" si="169"/>
        <v>0.43688687177048602</v>
      </c>
      <c r="T170" s="4" t="str">
        <f t="shared" si="157"/>
        <v>1+0.00782289882165743i</v>
      </c>
      <c r="U170" s="4">
        <f t="shared" si="170"/>
        <v>1.0000305984048559</v>
      </c>
      <c r="V170" s="4">
        <f t="shared" si="171"/>
        <v>7.8227392462584932E-3</v>
      </c>
      <c r="W170" t="str">
        <f t="shared" si="158"/>
        <v>1-0.00433449624426942i</v>
      </c>
      <c r="X170" s="4">
        <f t="shared" si="172"/>
        <v>1.0000093938847232</v>
      </c>
      <c r="Y170" s="4">
        <f t="shared" si="173"/>
        <v>-4.3344690992758832E-3</v>
      </c>
      <c r="Z170" t="str">
        <f t="shared" si="159"/>
        <v>0.99999989035218+0.00322486520573644i</v>
      </c>
      <c r="AA170" s="4">
        <f t="shared" si="174"/>
        <v>1.0000050902170283</v>
      </c>
      <c r="AB170" s="4">
        <f t="shared" si="175"/>
        <v>3.2248543801320089E-3</v>
      </c>
      <c r="AC170" s="47" t="str">
        <f t="shared" si="176"/>
        <v>15.6847833267504-7.31949480768623i</v>
      </c>
      <c r="AD170" s="20">
        <f t="shared" si="177"/>
        <v>24.765235906685355</v>
      </c>
      <c r="AE170" s="43">
        <f t="shared" si="178"/>
        <v>-25.016681265424321</v>
      </c>
      <c r="AF170" t="str">
        <f t="shared" si="160"/>
        <v>69.5520360182888</v>
      </c>
      <c r="AG170" t="str">
        <f t="shared" si="161"/>
        <v>1+0.372518991507498i</v>
      </c>
      <c r="AH170">
        <f t="shared" si="179"/>
        <v>1.0671318564421941</v>
      </c>
      <c r="AI170">
        <f t="shared" si="180"/>
        <v>0.35659376733015125</v>
      </c>
      <c r="AJ170" t="str">
        <f t="shared" si="162"/>
        <v>1+0.00782289882165743i</v>
      </c>
      <c r="AK170">
        <f t="shared" si="181"/>
        <v>1.0000305984048559</v>
      </c>
      <c r="AL170">
        <f t="shared" si="182"/>
        <v>7.8227392462584932E-3</v>
      </c>
      <c r="AM170" t="str">
        <f t="shared" si="163"/>
        <v>1-0.000949640547363115i</v>
      </c>
      <c r="AN170">
        <f t="shared" si="183"/>
        <v>1.000000450908483</v>
      </c>
      <c r="AO170">
        <f t="shared" si="184"/>
        <v>-9.4964026189588602E-4</v>
      </c>
      <c r="AP170" s="41" t="str">
        <f t="shared" si="185"/>
        <v>61.2332698028877-22.3325068066215i</v>
      </c>
      <c r="AQ170">
        <f t="shared" si="186"/>
        <v>36.282104945270511</v>
      </c>
      <c r="AR170" s="43">
        <f t="shared" si="187"/>
        <v>-20.037518304708062</v>
      </c>
      <c r="AS170" t="str">
        <f t="shared" si="164"/>
        <v>-0.0000166666666666667</v>
      </c>
      <c r="AT170" t="str">
        <f t="shared" si="165"/>
        <v>7.07389787064768E-06i</v>
      </c>
      <c r="AU170">
        <f t="shared" si="188"/>
        <v>7.0738978706476798E-6</v>
      </c>
      <c r="AV170">
        <f t="shared" si="189"/>
        <v>1.5707963267948966</v>
      </c>
      <c r="AW170" t="str">
        <f t="shared" si="166"/>
        <v>1+0.00718894050037794i</v>
      </c>
      <c r="AX170">
        <f t="shared" si="190"/>
        <v>1.0000258400989037</v>
      </c>
      <c r="AY170">
        <f t="shared" si="191"/>
        <v>7.1888166606622643E-3</v>
      </c>
      <c r="AZ170" t="str">
        <f t="shared" si="167"/>
        <v>1+0.24442397701285i</v>
      </c>
      <c r="BA170">
        <f t="shared" si="192"/>
        <v>1.0294382354171512</v>
      </c>
      <c r="BB170">
        <f t="shared" si="193"/>
        <v>0.23972379538273719</v>
      </c>
      <c r="BC170" s="41" t="str">
        <f t="shared" si="194"/>
        <v>-0.558915751428416+2.36009764051731i</v>
      </c>
      <c r="BD170">
        <f t="shared" si="195"/>
        <v>7.6955807387469433</v>
      </c>
      <c r="BE170" s="43">
        <f t="shared" si="196"/>
        <v>103.32327286993925</v>
      </c>
      <c r="BF170" s="41" t="str">
        <f t="shared" si="197"/>
        <v>8.50824996633638+41.1086010620032i</v>
      </c>
      <c r="BG170" s="20">
        <f t="shared" si="198"/>
        <v>32.460816645432303</v>
      </c>
      <c r="BH170" s="43">
        <f t="shared" si="199"/>
        <v>78.306591604514935</v>
      </c>
      <c r="BI170" s="41" t="str">
        <f t="shared" si="152"/>
        <v>18.4826576168443+156.998485406058i</v>
      </c>
      <c r="BJ170" s="20">
        <f t="shared" si="200"/>
        <v>43.977685684017445</v>
      </c>
      <c r="BK170" s="43">
        <f t="shared" si="153"/>
        <v>83.285754565231173</v>
      </c>
      <c r="BL170">
        <f t="shared" si="201"/>
        <v>32.460816645432303</v>
      </c>
      <c r="BM170" s="43">
        <f t="shared" si="202"/>
        <v>78.306591604514935</v>
      </c>
    </row>
    <row r="171" spans="14:65" x14ac:dyDescent="0.25">
      <c r="N171" s="9">
        <v>53</v>
      </c>
      <c r="O171" s="34">
        <f t="shared" si="154"/>
        <v>338.84415613920277</v>
      </c>
      <c r="P171" s="33" t="str">
        <f t="shared" si="155"/>
        <v>19.1021967526266</v>
      </c>
      <c r="Q171" s="4" t="str">
        <f t="shared" si="156"/>
        <v>1+0.477860407325895i</v>
      </c>
      <c r="R171" s="4">
        <f t="shared" si="168"/>
        <v>1.1083097802012172</v>
      </c>
      <c r="S171" s="4">
        <f t="shared" si="169"/>
        <v>0.44577958349275348</v>
      </c>
      <c r="T171" s="4" t="str">
        <f t="shared" si="157"/>
        <v>1+0.00800511754352339i</v>
      </c>
      <c r="U171" s="4">
        <f t="shared" si="170"/>
        <v>1.0000320404401479</v>
      </c>
      <c r="V171" s="4">
        <f t="shared" si="171"/>
        <v>8.0049465556986665E-3</v>
      </c>
      <c r="W171" t="str">
        <f t="shared" si="158"/>
        <v>1-0.00443545963182812i</v>
      </c>
      <c r="X171" s="4">
        <f t="shared" si="172"/>
        <v>1.0000098366026935</v>
      </c>
      <c r="Y171" s="4">
        <f t="shared" si="173"/>
        <v>-4.4354305454589573E-3</v>
      </c>
      <c r="Z171" t="str">
        <f t="shared" si="159"/>
        <v>0.999999885184638+0.00329998196608012i</v>
      </c>
      <c r="AA171" s="4">
        <f t="shared" si="174"/>
        <v>1.0000053301109277</v>
      </c>
      <c r="AB171" s="4">
        <f t="shared" si="175"/>
        <v>3.2999703662393177E-3</v>
      </c>
      <c r="AC171" s="47" t="str">
        <f t="shared" si="176"/>
        <v>15.5536662118529-7.42733216936625i</v>
      </c>
      <c r="AD171" s="20">
        <f t="shared" si="177"/>
        <v>24.728760404510936</v>
      </c>
      <c r="AE171" s="43">
        <f t="shared" si="178"/>
        <v>-25.525844899447108</v>
      </c>
      <c r="AF171" t="str">
        <f t="shared" si="160"/>
        <v>69.5520360182888</v>
      </c>
      <c r="AG171" t="str">
        <f t="shared" si="161"/>
        <v>1+0.381196073501115i</v>
      </c>
      <c r="AH171">
        <f t="shared" si="179"/>
        <v>1.0701917802210348</v>
      </c>
      <c r="AI171">
        <f t="shared" si="180"/>
        <v>0.36419174799600468</v>
      </c>
      <c r="AJ171" t="str">
        <f t="shared" si="162"/>
        <v>1+0.00800511754352339i</v>
      </c>
      <c r="AK171">
        <f t="shared" si="181"/>
        <v>1.0000320404401479</v>
      </c>
      <c r="AL171">
        <f t="shared" si="182"/>
        <v>8.0049465556986665E-3</v>
      </c>
      <c r="AM171" t="str">
        <f t="shared" si="163"/>
        <v>1-0.000971760517302331i</v>
      </c>
      <c r="AN171">
        <f t="shared" si="183"/>
        <v>1.00000047215914</v>
      </c>
      <c r="AO171">
        <f t="shared" si="184"/>
        <v>-9.7176021141869191E-4</v>
      </c>
      <c r="AP171" s="41" t="str">
        <f t="shared" si="185"/>
        <v>60.8909596680933-22.7222104359747i</v>
      </c>
      <c r="AQ171">
        <f t="shared" si="186"/>
        <v>36.257247131752386</v>
      </c>
      <c r="AR171" s="43">
        <f t="shared" si="187"/>
        <v>-20.463678199606829</v>
      </c>
      <c r="AS171" t="str">
        <f t="shared" si="164"/>
        <v>-0.0000166666666666667</v>
      </c>
      <c r="AT171" t="str">
        <f t="shared" si="165"/>
        <v>7.23867011914352E-06i</v>
      </c>
      <c r="AU171">
        <f t="shared" si="188"/>
        <v>7.23867011914352E-6</v>
      </c>
      <c r="AV171">
        <f t="shared" si="189"/>
        <v>1.5707963267948966</v>
      </c>
      <c r="AW171" t="str">
        <f t="shared" si="166"/>
        <v>1+0.00735639243596002i</v>
      </c>
      <c r="AX171">
        <f t="shared" si="190"/>
        <v>1.0000270578887713</v>
      </c>
      <c r="AY171">
        <f t="shared" si="191"/>
        <v>7.3562597395078304E-3</v>
      </c>
      <c r="AZ171" t="str">
        <f t="shared" si="167"/>
        <v>1+0.250117342822641i</v>
      </c>
      <c r="BA171">
        <f t="shared" si="192"/>
        <v>1.0308048725052956</v>
      </c>
      <c r="BB171">
        <f t="shared" si="193"/>
        <v>0.24508910038089629</v>
      </c>
      <c r="BC171" s="41" t="str">
        <f t="shared" si="194"/>
        <v>-0.5589143901822+2.30656030203525i</v>
      </c>
      <c r="BD171">
        <f t="shared" si="195"/>
        <v>7.5070935206169445</v>
      </c>
      <c r="BE171" s="43">
        <f t="shared" si="196"/>
        <v>103.62108842040777</v>
      </c>
      <c r="BF171" s="41" t="str">
        <f t="shared" si="197"/>
        <v>8.43842166599429+40.0267118654889i</v>
      </c>
      <c r="BG171" s="20">
        <f t="shared" si="198"/>
        <v>32.235853925127891</v>
      </c>
      <c r="BH171" s="43">
        <f t="shared" si="199"/>
        <v>78.095243520960679</v>
      </c>
      <c r="BI171" s="41" t="str">
        <f t="shared" si="152"/>
        <v>18.377314975609+153.148440712668i</v>
      </c>
      <c r="BJ171" s="20">
        <f t="shared" si="200"/>
        <v>43.764340652369341</v>
      </c>
      <c r="BK171" s="43">
        <f t="shared" si="153"/>
        <v>83.157410220800955</v>
      </c>
      <c r="BL171">
        <f t="shared" si="201"/>
        <v>32.235853925127891</v>
      </c>
      <c r="BM171" s="43">
        <f t="shared" si="202"/>
        <v>78.095243520960679</v>
      </c>
    </row>
    <row r="172" spans="14:65" x14ac:dyDescent="0.25">
      <c r="N172" s="9">
        <v>54</v>
      </c>
      <c r="O172" s="34">
        <f t="shared" si="154"/>
        <v>346.73685045253183</v>
      </c>
      <c r="P172" s="33" t="str">
        <f t="shared" si="155"/>
        <v>19.1021967526266</v>
      </c>
      <c r="Q172" s="4" t="str">
        <f t="shared" si="156"/>
        <v>1+0.488991206105016i</v>
      </c>
      <c r="R172" s="4">
        <f t="shared" si="168"/>
        <v>1.1131542568970565</v>
      </c>
      <c r="S172" s="4">
        <f t="shared" si="169"/>
        <v>0.45480185114528054</v>
      </c>
      <c r="T172" s="4" t="str">
        <f t="shared" si="157"/>
        <v>1+0.00819158068467121i</v>
      </c>
      <c r="U172" s="4">
        <f t="shared" si="170"/>
        <v>1.0000335504342408</v>
      </c>
      <c r="V172" s="4">
        <f t="shared" si="171"/>
        <v>8.1913974682480389E-3</v>
      </c>
      <c r="W172" t="str">
        <f t="shared" si="158"/>
        <v>1-0.0045387747587939i</v>
      </c>
      <c r="X172" s="4">
        <f t="shared" si="172"/>
        <v>1.0000103001851086</v>
      </c>
      <c r="Y172" s="4">
        <f t="shared" si="173"/>
        <v>-4.5387435922051604E-3</v>
      </c>
      <c r="Z172" t="str">
        <f t="shared" si="159"/>
        <v>0.999999879773557+0.00337684842054266i</v>
      </c>
      <c r="AA172" s="4">
        <f t="shared" si="174"/>
        <v>1.0000055813106163</v>
      </c>
      <c r="AB172" s="4">
        <f t="shared" si="175"/>
        <v>3.3768359910930482E-3</v>
      </c>
      <c r="AC172" s="47" t="str">
        <f t="shared" si="176"/>
        <v>15.4187009360799-7.5343402382356i</v>
      </c>
      <c r="AD172" s="20">
        <f t="shared" si="177"/>
        <v>24.690891648160573</v>
      </c>
      <c r="AE172" s="43">
        <f t="shared" si="178"/>
        <v>-26.042423384639847</v>
      </c>
      <c r="AF172" t="str">
        <f t="shared" si="160"/>
        <v>69.5520360182888</v>
      </c>
      <c r="AG172" t="str">
        <f t="shared" si="161"/>
        <v>1+0.39007527069863i</v>
      </c>
      <c r="AH172">
        <f t="shared" si="179"/>
        <v>1.0733865644820646</v>
      </c>
      <c r="AI172">
        <f t="shared" si="180"/>
        <v>0.37192140566063764</v>
      </c>
      <c r="AJ172" t="str">
        <f t="shared" si="162"/>
        <v>1+0.00819158068467121i</v>
      </c>
      <c r="AK172">
        <f t="shared" si="181"/>
        <v>1.0000335504342408</v>
      </c>
      <c r="AL172">
        <f t="shared" si="182"/>
        <v>8.1913974682480389E-3</v>
      </c>
      <c r="AM172" t="str">
        <f t="shared" si="163"/>
        <v>1-0.000994395727530596i</v>
      </c>
      <c r="AN172">
        <f t="shared" si="183"/>
        <v>1.0000004944113092</v>
      </c>
      <c r="AO172">
        <f t="shared" si="184"/>
        <v>-9.9439539977038034E-4</v>
      </c>
      <c r="AP172" s="41" t="str">
        <f t="shared" si="185"/>
        <v>60.5366821306438-23.1132838019385i</v>
      </c>
      <c r="AQ172">
        <f t="shared" si="186"/>
        <v>36.231369560982451</v>
      </c>
      <c r="AR172" s="43">
        <f t="shared" si="187"/>
        <v>-20.897169011256878</v>
      </c>
      <c r="AS172" t="str">
        <f t="shared" si="164"/>
        <v>-0.0000166666666666667</v>
      </c>
      <c r="AT172" t="str">
        <f t="shared" si="165"/>
        <v>7.40728040635165E-06i</v>
      </c>
      <c r="AU172">
        <f t="shared" si="188"/>
        <v>7.4072804063516496E-6</v>
      </c>
      <c r="AV172">
        <f t="shared" si="189"/>
        <v>1.5707963267948966</v>
      </c>
      <c r="AW172" t="str">
        <f t="shared" si="166"/>
        <v>1+0.00752774482818504i</v>
      </c>
      <c r="AX172">
        <f t="shared" si="190"/>
        <v>1.0000283330697177</v>
      </c>
      <c r="AY172">
        <f t="shared" si="191"/>
        <v>7.5276026415923552E-3</v>
      </c>
      <c r="AZ172" t="str">
        <f t="shared" si="167"/>
        <v>1+0.255943324158291i</v>
      </c>
      <c r="BA172">
        <f t="shared" si="192"/>
        <v>1.0322339779241894</v>
      </c>
      <c r="BB172">
        <f t="shared" si="193"/>
        <v>0.25056451039180083</v>
      </c>
      <c r="BC172" s="41" t="str">
        <f t="shared" si="194"/>
        <v>-0.558912964789531+2.2542459314122i</v>
      </c>
      <c r="BD172">
        <f t="shared" si="195"/>
        <v>7.3191162016792504</v>
      </c>
      <c r="BE172" s="43">
        <f t="shared" si="196"/>
        <v>103.92498907999729</v>
      </c>
      <c r="BF172" s="41" t="str">
        <f t="shared" si="197"/>
        <v>8.36654397453029+38.9685842931049i</v>
      </c>
      <c r="BG172" s="20">
        <f t="shared" si="198"/>
        <v>32.010007849839816</v>
      </c>
      <c r="BH172" s="43">
        <f t="shared" si="199"/>
        <v>77.882565695357457</v>
      </c>
      <c r="BI172" s="41" t="str">
        <f t="shared" si="152"/>
        <v>18.2682894839358+149.382883369961i</v>
      </c>
      <c r="BJ172" s="20">
        <f t="shared" si="200"/>
        <v>43.550485762661715</v>
      </c>
      <c r="BK172" s="43">
        <f t="shared" si="153"/>
        <v>83.027820068740439</v>
      </c>
      <c r="BL172">
        <f t="shared" si="201"/>
        <v>32.010007849839816</v>
      </c>
      <c r="BM172" s="43">
        <f t="shared" si="202"/>
        <v>77.882565695357457</v>
      </c>
    </row>
    <row r="173" spans="14:65" x14ac:dyDescent="0.25">
      <c r="N173" s="9">
        <v>55</v>
      </c>
      <c r="O173" s="34">
        <f t="shared" si="154"/>
        <v>354.81338923357566</v>
      </c>
      <c r="P173" s="33" t="str">
        <f t="shared" si="155"/>
        <v>19.1021967526266</v>
      </c>
      <c r="Q173" s="4" t="str">
        <f t="shared" si="156"/>
        <v>1+0.500381274494176i</v>
      </c>
      <c r="R173" s="4">
        <f t="shared" si="168"/>
        <v>1.1182045518886139</v>
      </c>
      <c r="S173" s="4">
        <f t="shared" si="169"/>
        <v>0.46395258207530854</v>
      </c>
      <c r="T173" s="4" t="str">
        <f t="shared" si="157"/>
        <v>1+0.00838238711032643i</v>
      </c>
      <c r="U173" s="4">
        <f t="shared" si="170"/>
        <v>1.0000351315897194</v>
      </c>
      <c r="V173" s="4">
        <f t="shared" si="171"/>
        <v>8.3821907907644516E-3</v>
      </c>
      <c r="W173" t="str">
        <f t="shared" si="158"/>
        <v>1-0.00464449640421456i</v>
      </c>
      <c r="X173" s="4">
        <f t="shared" si="172"/>
        <v>1.0000107856152596</v>
      </c>
      <c r="Y173" s="4">
        <f t="shared" si="173"/>
        <v>-4.6444630086325007E-3</v>
      </c>
      <c r="Z173" t="str">
        <f t="shared" si="159"/>
        <v>0.999999874107459+0.00345550532473563i</v>
      </c>
      <c r="AA173" s="4">
        <f t="shared" si="174"/>
        <v>1.0000058443489135</v>
      </c>
      <c r="AB173" s="4">
        <f t="shared" si="175"/>
        <v>3.455492006344622E-3</v>
      </c>
      <c r="AC173" s="47" t="str">
        <f t="shared" si="176"/>
        <v>15.2798650043159-7.64036678566387i</v>
      </c>
      <c r="AD173" s="20">
        <f t="shared" si="177"/>
        <v>24.65158922611149</v>
      </c>
      <c r="AE173" s="43">
        <f t="shared" si="178"/>
        <v>-26.566353928331793</v>
      </c>
      <c r="AF173" t="str">
        <f t="shared" si="160"/>
        <v>69.5520360182888</v>
      </c>
      <c r="AG173" t="str">
        <f t="shared" si="161"/>
        <v>1+0.399161290967926i</v>
      </c>
      <c r="AH173">
        <f t="shared" si="179"/>
        <v>1.0767217543112897</v>
      </c>
      <c r="AI173">
        <f t="shared" si="180"/>
        <v>0.37978314304424571</v>
      </c>
      <c r="AJ173" t="str">
        <f t="shared" si="162"/>
        <v>1+0.00838238711032643i</v>
      </c>
      <c r="AK173">
        <f t="shared" si="181"/>
        <v>1.0000351315897194</v>
      </c>
      <c r="AL173">
        <f t="shared" si="182"/>
        <v>8.3821907907644516E-3</v>
      </c>
      <c r="AM173" t="str">
        <f t="shared" si="163"/>
        <v>1-0.00101755817953598i</v>
      </c>
      <c r="AN173">
        <f t="shared" si="183"/>
        <v>1.0000005177121902</v>
      </c>
      <c r="AO173">
        <f t="shared" si="184"/>
        <v>-1.0175578283345913E-3</v>
      </c>
      <c r="AP173" s="41" t="str">
        <f t="shared" si="185"/>
        <v>60.1701940422077-23.5053734846154i</v>
      </c>
      <c r="AQ173">
        <f t="shared" si="186"/>
        <v>36.20443684120103</v>
      </c>
      <c r="AR173" s="43">
        <f t="shared" si="187"/>
        <v>-21.338008840238381</v>
      </c>
      <c r="AS173" t="str">
        <f t="shared" si="164"/>
        <v>-0.0000166666666666667</v>
      </c>
      <c r="AT173" t="str">
        <f t="shared" si="165"/>
        <v>7.57981813167818E-06i</v>
      </c>
      <c r="AU173">
        <f t="shared" si="188"/>
        <v>7.57981813167818E-6</v>
      </c>
      <c r="AV173">
        <f t="shared" si="189"/>
        <v>1.5707963267948966</v>
      </c>
      <c r="AW173" t="str">
        <f t="shared" si="166"/>
        <v>1+0.00770308853035944i</v>
      </c>
      <c r="AX173">
        <f t="shared" si="190"/>
        <v>1.0000296683463479</v>
      </c>
      <c r="AY173">
        <f t="shared" si="191"/>
        <v>7.7029361749245519E-3</v>
      </c>
      <c r="AZ173" t="str">
        <f t="shared" si="167"/>
        <v>1+0.261905010032221i</v>
      </c>
      <c r="BA173">
        <f t="shared" si="192"/>
        <v>1.033728317441279</v>
      </c>
      <c r="BB173">
        <f t="shared" si="193"/>
        <v>0.2561516147655033</v>
      </c>
      <c r="BC173" s="41" t="str">
        <f t="shared" si="194"/>
        <v>-0.55891147222797+2.20312679080887i</v>
      </c>
      <c r="BD173">
        <f t="shared" si="195"/>
        <v>7.1316698578465418</v>
      </c>
      <c r="BE173" s="43">
        <f t="shared" si="196"/>
        <v>104.23506070884247</v>
      </c>
      <c r="BF173" s="41" t="str">
        <f t="shared" si="197"/>
        <v>8.29260491209549+37.9337685994883i</v>
      </c>
      <c r="BG173" s="20">
        <f t="shared" si="198"/>
        <v>31.783259083958029</v>
      </c>
      <c r="BH173" s="43">
        <f t="shared" si="199"/>
        <v>77.668706780510675</v>
      </c>
      <c r="BI173" s="41" t="str">
        <f t="shared" si="152"/>
        <v>18.1555063155517+145.699989402111i</v>
      </c>
      <c r="BJ173" s="20">
        <f t="shared" si="200"/>
        <v>43.33610669904759</v>
      </c>
      <c r="BK173" s="43">
        <f t="shared" si="153"/>
        <v>82.897051868604123</v>
      </c>
      <c r="BL173">
        <f t="shared" si="201"/>
        <v>31.783259083958029</v>
      </c>
      <c r="BM173" s="43">
        <f t="shared" si="202"/>
        <v>77.668706780510675</v>
      </c>
    </row>
    <row r="174" spans="14:65" x14ac:dyDescent="0.25">
      <c r="N174" s="9">
        <v>56</v>
      </c>
      <c r="O174" s="34">
        <f t="shared" si="154"/>
        <v>363.07805477010152</v>
      </c>
      <c r="P174" s="33" t="str">
        <f t="shared" si="155"/>
        <v>19.1021967526266</v>
      </c>
      <c r="Q174" s="4" t="str">
        <f t="shared" si="156"/>
        <v>1+0.512036651658405i</v>
      </c>
      <c r="R174" s="4">
        <f t="shared" si="168"/>
        <v>1.1234685276595651</v>
      </c>
      <c r="S174" s="4">
        <f t="shared" si="169"/>
        <v>0.47323049721168364</v>
      </c>
      <c r="T174" s="4" t="str">
        <f t="shared" si="157"/>
        <v>1+0.00857763798858159i</v>
      </c>
      <c r="U174" s="4">
        <f t="shared" si="170"/>
        <v>1.0000367872600804</v>
      </c>
      <c r="V174" s="4">
        <f t="shared" si="171"/>
        <v>8.5774276287988692E-3</v>
      </c>
      <c r="W174" t="str">
        <f t="shared" si="158"/>
        <v>1-0.00475268062310594i</v>
      </c>
      <c r="X174" s="4">
        <f t="shared" si="172"/>
        <v>1.0000112939227763</v>
      </c>
      <c r="Y174" s="4">
        <f t="shared" si="173"/>
        <v>-4.7526448391168805E-3</v>
      </c>
      <c r="Z174" t="str">
        <f t="shared" si="159"/>
        <v>0.999999868174326+0.00353599438359082i</v>
      </c>
      <c r="AA174" s="4">
        <f t="shared" si="174"/>
        <v>1.0000061197837491</v>
      </c>
      <c r="AB174" s="4">
        <f t="shared" si="175"/>
        <v>3.5359801126824577E-3</v>
      </c>
      <c r="AC174" s="47" t="str">
        <f t="shared" si="176"/>
        <v>15.1371430530836-7.7452550476011i</v>
      </c>
      <c r="AD174" s="20">
        <f t="shared" si="177"/>
        <v>24.610812529598274</v>
      </c>
      <c r="AE174" s="43">
        <f t="shared" si="178"/>
        <v>-27.097563052602801</v>
      </c>
      <c r="AF174" t="str">
        <f t="shared" si="160"/>
        <v>69.5520360182888</v>
      </c>
      <c r="AG174" t="str">
        <f t="shared" si="161"/>
        <v>1+0.408458951837219i</v>
      </c>
      <c r="AH174">
        <f t="shared" si="179"/>
        <v>1.080203089856699</v>
      </c>
      <c r="AI174">
        <f t="shared" si="180"/>
        <v>0.3877772402349563</v>
      </c>
      <c r="AJ174" t="str">
        <f t="shared" si="162"/>
        <v>1+0.00857763798858159i</v>
      </c>
      <c r="AK174">
        <f t="shared" si="181"/>
        <v>1.0000367872600804</v>
      </c>
      <c r="AL174">
        <f t="shared" si="182"/>
        <v>8.5774276287988692E-3</v>
      </c>
      <c r="AM174" t="str">
        <f t="shared" si="163"/>
        <v>1-0.00104126015435713i</v>
      </c>
      <c r="AN174">
        <f t="shared" si="183"/>
        <v>1.0000005421112075</v>
      </c>
      <c r="AO174">
        <f t="shared" si="184"/>
        <v>-1.0412597780380729E-3</v>
      </c>
      <c r="AP174" s="41" t="str">
        <f t="shared" si="185"/>
        <v>59.7912619888189-23.8981057784041i</v>
      </c>
      <c r="AQ174">
        <f t="shared" si="186"/>
        <v>36.176412883531157</v>
      </c>
      <c r="AR174" s="43">
        <f t="shared" si="187"/>
        <v>-21.786208645142835</v>
      </c>
      <c r="AS174" t="str">
        <f t="shared" si="164"/>
        <v>-0.0000166666666666667</v>
      </c>
      <c r="AT174" t="str">
        <f t="shared" si="165"/>
        <v>7.75637477690888E-06i</v>
      </c>
      <c r="AU174">
        <f t="shared" si="188"/>
        <v>7.7563747769088799E-6</v>
      </c>
      <c r="AV174">
        <f t="shared" si="189"/>
        <v>1.5707963267948966</v>
      </c>
      <c r="AW174" t="str">
        <f t="shared" si="166"/>
        <v>1+0.00788251651203509i</v>
      </c>
      <c r="AX174">
        <f t="shared" si="190"/>
        <v>1.0000310665507159</v>
      </c>
      <c r="AY174">
        <f t="shared" si="191"/>
        <v>7.8823532605192554E-3</v>
      </c>
      <c r="AZ174" t="str">
        <f t="shared" si="167"/>
        <v>1+0.268005561409193i</v>
      </c>
      <c r="BA174">
        <f t="shared" si="192"/>
        <v>1.0352907712069381</v>
      </c>
      <c r="BB174">
        <f t="shared" si="193"/>
        <v>0.26185198003049065</v>
      </c>
      <c r="BC174" s="41" t="str">
        <f t="shared" si="194"/>
        <v>-0.558909909332693+2.15317577610794i</v>
      </c>
      <c r="BD174">
        <f t="shared" si="195"/>
        <v>6.9447763006567653</v>
      </c>
      <c r="BE174" s="43">
        <f t="shared" si="196"/>
        <v>104.55138773843203</v>
      </c>
      <c r="BF174" s="41" t="str">
        <f t="shared" si="197"/>
        <v>8.21659629691748+36.9218295377935i</v>
      </c>
      <c r="BG174" s="20">
        <f t="shared" si="198"/>
        <v>31.55558883025504</v>
      </c>
      <c r="BH174" s="43">
        <f t="shared" si="199"/>
        <v>77.453824685829233</v>
      </c>
      <c r="BI174" s="41" t="str">
        <f t="shared" si="152"/>
        <v>18.0388936398668+142.097985071079i</v>
      </c>
      <c r="BJ174" s="20">
        <f t="shared" si="200"/>
        <v>43.121189184187905</v>
      </c>
      <c r="BK174" s="43">
        <f t="shared" si="153"/>
        <v>82.765179093289206</v>
      </c>
      <c r="BL174">
        <f t="shared" si="201"/>
        <v>31.55558883025504</v>
      </c>
      <c r="BM174" s="43">
        <f t="shared" si="202"/>
        <v>77.453824685829233</v>
      </c>
    </row>
    <row r="175" spans="14:65" x14ac:dyDescent="0.25">
      <c r="N175" s="9">
        <v>57</v>
      </c>
      <c r="O175" s="34">
        <f t="shared" si="154"/>
        <v>371.53522909717265</v>
      </c>
      <c r="P175" s="33" t="str">
        <f t="shared" si="155"/>
        <v>19.1021967526266</v>
      </c>
      <c r="Q175" s="4" t="str">
        <f t="shared" si="156"/>
        <v>1+0.523963517432947i</v>
      </c>
      <c r="R175" s="4">
        <f t="shared" si="168"/>
        <v>1.1289542805626391</v>
      </c>
      <c r="S175" s="4">
        <f t="shared" si="169"/>
        <v>0.48263412578643333</v>
      </c>
      <c r="T175" s="4" t="str">
        <f t="shared" si="157"/>
        <v>1+0.00877743684403672i</v>
      </c>
      <c r="U175" s="4">
        <f t="shared" si="170"/>
        <v>1.0000385209568434</v>
      </c>
      <c r="V175" s="4">
        <f t="shared" si="171"/>
        <v>8.7772114399374164E-3</v>
      </c>
      <c r="W175" t="str">
        <f t="shared" si="158"/>
        <v>1-0.00486338477617283i</v>
      </c>
      <c r="X175" s="4">
        <f t="shared" si="172"/>
        <v>1.0000118261858113</v>
      </c>
      <c r="Y175" s="4">
        <f t="shared" si="173"/>
        <v>-4.8633464329622244E-3</v>
      </c>
      <c r="Z175" t="str">
        <f t="shared" si="159"/>
        <v>0.999999861961574+0.00361835827347259i</v>
      </c>
      <c r="AA175" s="4">
        <f t="shared" si="174"/>
        <v>1.0000064081993485</v>
      </c>
      <c r="AB175" s="4">
        <f t="shared" si="175"/>
        <v>3.6183429819240656E-3</v>
      </c>
      <c r="AC175" s="47" t="str">
        <f t="shared" si="176"/>
        <v>14.9905273147577-7.84884405218843i</v>
      </c>
      <c r="AD175" s="20">
        <f t="shared" si="177"/>
        <v>24.568520829845987</v>
      </c>
      <c r="AE175" s="43">
        <f t="shared" si="178"/>
        <v>-27.635966291760106</v>
      </c>
      <c r="AF175" t="str">
        <f t="shared" si="160"/>
        <v>69.5520360182888</v>
      </c>
      <c r="AG175" t="str">
        <f t="shared" si="161"/>
        <v>1+0.417973183049368i</v>
      </c>
      <c r="AH175">
        <f t="shared" si="179"/>
        <v>1.0838365106179162</v>
      </c>
      <c r="AI175">
        <f t="shared" si="180"/>
        <v>0.39590384782762283</v>
      </c>
      <c r="AJ175" t="str">
        <f t="shared" si="162"/>
        <v>1+0.00877743684403672i</v>
      </c>
      <c r="AK175">
        <f t="shared" si="181"/>
        <v>1.0000385209568434</v>
      </c>
      <c r="AL175">
        <f t="shared" si="182"/>
        <v>8.7772114399374164E-3</v>
      </c>
      <c r="AM175" t="str">
        <f t="shared" si="163"/>
        <v>1-0.00106551421909483i</v>
      </c>
      <c r="AN175">
        <f t="shared" si="183"/>
        <v>1.0000005676601145</v>
      </c>
      <c r="AO175">
        <f t="shared" si="184"/>
        <v>-1.065513815861708E-3</v>
      </c>
      <c r="AP175" s="41" t="str">
        <f t="shared" si="185"/>
        <v>59.3996637182375-24.2910865961936i</v>
      </c>
      <c r="AQ175">
        <f t="shared" si="186"/>
        <v>36.147260932636584</v>
      </c>
      <c r="AR175" s="43">
        <f t="shared" si="187"/>
        <v>-22.241771846771798</v>
      </c>
      <c r="AS175" t="str">
        <f t="shared" si="164"/>
        <v>-0.0000166666666666667</v>
      </c>
      <c r="AT175" t="str">
        <f t="shared" si="165"/>
        <v>7.93704395471405E-06i</v>
      </c>
      <c r="AU175">
        <f t="shared" si="188"/>
        <v>7.93704395471405E-6</v>
      </c>
      <c r="AV175">
        <f t="shared" si="189"/>
        <v>1.5707963267948966</v>
      </c>
      <c r="AW175" t="str">
        <f t="shared" si="166"/>
        <v>1+0.00806612390830284i</v>
      </c>
      <c r="AX175">
        <f t="shared" si="190"/>
        <v>1.0000325306483304</v>
      </c>
      <c r="AY175">
        <f t="shared" si="191"/>
        <v>8.0659489814593407E-3</v>
      </c>
      <c r="AZ175" t="str">
        <f t="shared" si="167"/>
        <v>1+0.274248212882296i</v>
      </c>
      <c r="BA175">
        <f t="shared" si="192"/>
        <v>1.036924337774523</v>
      </c>
      <c r="BB175">
        <f t="shared" si="193"/>
        <v>0.26766714615666337</v>
      </c>
      <c r="BC175" s="41" t="str">
        <f t="shared" si="194"/>
        <v>-0.558908272789798+2.1043664025427i</v>
      </c>
      <c r="BD175">
        <f t="shared" si="195"/>
        <v>6.7584580907851048</v>
      </c>
      <c r="BE175" s="43">
        <f t="shared" si="196"/>
        <v>104.8740529546827</v>
      </c>
      <c r="BF175" s="41" t="str">
        <f t="shared" si="197"/>
        <v>8.13851399252292+35.9323459101798i</v>
      </c>
      <c r="BG175" s="20">
        <f t="shared" si="198"/>
        <v>31.326978920631081</v>
      </c>
      <c r="BH175" s="43">
        <f t="shared" si="199"/>
        <v>77.238086662922569</v>
      </c>
      <c r="BI175" s="41" t="str">
        <f t="shared" si="152"/>
        <v>17.9183830612302+138.57514590466i</v>
      </c>
      <c r="BJ175" s="20">
        <f t="shared" si="200"/>
        <v>42.905719023421717</v>
      </c>
      <c r="BK175" s="43">
        <f t="shared" si="153"/>
        <v>82.632281107910913</v>
      </c>
      <c r="BL175">
        <f t="shared" si="201"/>
        <v>31.326978920631081</v>
      </c>
      <c r="BM175" s="43">
        <f t="shared" si="202"/>
        <v>77.238086662922569</v>
      </c>
    </row>
    <row r="176" spans="14:65" x14ac:dyDescent="0.25">
      <c r="N176" s="9">
        <v>58</v>
      </c>
      <c r="O176" s="34">
        <f t="shared" si="154"/>
        <v>380.18939632056163</v>
      </c>
      <c r="P176" s="33" t="str">
        <f t="shared" si="155"/>
        <v>19.1021967526266</v>
      </c>
      <c r="Q176" s="4" t="str">
        <f t="shared" si="156"/>
        <v>1+0.536168195599909i</v>
      </c>
      <c r="R176" s="4">
        <f t="shared" si="168"/>
        <v>1.1346701432455435</v>
      </c>
      <c r="S176" s="4">
        <f t="shared" si="169"/>
        <v>0.492161800478775</v>
      </c>
      <c r="T176" s="4" t="str">
        <f t="shared" si="157"/>
        <v>1+0.00898188961268967i</v>
      </c>
      <c r="U176" s="4">
        <f t="shared" si="170"/>
        <v>1.0000403363569963</v>
      </c>
      <c r="V176" s="4">
        <f t="shared" si="171"/>
        <v>8.9816480883719279E-3</v>
      </c>
      <c r="W176" t="str">
        <f t="shared" si="158"/>
        <v>1-0.00497666756022256i</v>
      </c>
      <c r="X176" s="4">
        <f t="shared" si="172"/>
        <v>1.0000123835333266</v>
      </c>
      <c r="Y176" s="4">
        <f t="shared" si="173"/>
        <v>-4.9766264747596496E-3</v>
      </c>
      <c r="Z176" t="str">
        <f t="shared" si="159"/>
        <v>0.999999855456023+0.00370264066480558i</v>
      </c>
      <c r="AA176" s="4">
        <f t="shared" si="174"/>
        <v>1.0000067102074663</v>
      </c>
      <c r="AB176" s="4">
        <f t="shared" si="175"/>
        <v>3.7026242796220684E-3</v>
      </c>
      <c r="AC176" s="47" t="str">
        <f t="shared" si="176"/>
        <v>14.8400180708014-7.95096899263442i</v>
      </c>
      <c r="AD176" s="20">
        <f t="shared" si="177"/>
        <v>24.524673360115834</v>
      </c>
      <c r="AE176" s="43">
        <f t="shared" si="178"/>
        <v>-28.18146791401983</v>
      </c>
      <c r="AF176" t="str">
        <f t="shared" si="160"/>
        <v>69.5520360182888</v>
      </c>
      <c r="AG176" t="str">
        <f t="shared" si="161"/>
        <v>1+0.427709029175699i</v>
      </c>
      <c r="AH176">
        <f t="shared" si="179"/>
        <v>1.0876281596384028</v>
      </c>
      <c r="AI176">
        <f t="shared" si="180"/>
        <v>0.40416298004590767</v>
      </c>
      <c r="AJ176" t="str">
        <f t="shared" si="162"/>
        <v>1+0.00898188961268967i</v>
      </c>
      <c r="AK176">
        <f t="shared" si="181"/>
        <v>1.0000403363569963</v>
      </c>
      <c r="AL176">
        <f t="shared" si="182"/>
        <v>8.9816480883719279E-3</v>
      </c>
      <c r="AM176" t="str">
        <f t="shared" si="163"/>
        <v>1-0.00109033323357524i</v>
      </c>
      <c r="AN176">
        <f t="shared" si="183"/>
        <v>1.0000005944131034</v>
      </c>
      <c r="AO176">
        <f t="shared" si="184"/>
        <v>-1.090332801503179E-3</v>
      </c>
      <c r="AP176" s="41" t="str">
        <f t="shared" si="185"/>
        <v>58.9951896260371-24.6839014674681i</v>
      </c>
      <c r="AQ176">
        <f t="shared" si="186"/>
        <v>36.116943601651698</v>
      </c>
      <c r="AR176" s="43">
        <f t="shared" si="187"/>
        <v>-22.704693931315994</v>
      </c>
      <c r="AS176" t="str">
        <f t="shared" si="164"/>
        <v>-0.0000166666666666667</v>
      </c>
      <c r="AT176" t="str">
        <f t="shared" si="165"/>
        <v>8.12192145828322E-06i</v>
      </c>
      <c r="AU176">
        <f t="shared" si="188"/>
        <v>8.1219214582832205E-6</v>
      </c>
      <c r="AV176">
        <f t="shared" si="189"/>
        <v>1.5707963267948966</v>
      </c>
      <c r="AW176" t="str">
        <f t="shared" si="166"/>
        <v>1+0.00825400807023454i</v>
      </c>
      <c r="AX176">
        <f t="shared" si="190"/>
        <v>1.0000340637444425</v>
      </c>
      <c r="AY176">
        <f t="shared" si="191"/>
        <v>8.2538206330895498E-3</v>
      </c>
      <c r="AZ176" t="str">
        <f t="shared" si="167"/>
        <v>1+0.280636274387974i</v>
      </c>
      <c r="BA176">
        <f t="shared" si="192"/>
        <v>1.0386321382002206</v>
      </c>
      <c r="BB176">
        <f t="shared" si="193"/>
        <v>0.27359862261190843</v>
      </c>
      <c r="BC176" s="41" t="str">
        <f t="shared" si="194"/>
        <v>-0.558906559129286+2.05667279065419i</v>
      </c>
      <c r="BD176">
        <f t="shared" si="195"/>
        <v>6.5727385506334759</v>
      </c>
      <c r="BE176" s="43">
        <f t="shared" si="196"/>
        <v>105.20313726912087</v>
      </c>
      <c r="BF176" s="41" t="str">
        <f t="shared" si="197"/>
        <v>8.05835814911833+34.9649101004507i</v>
      </c>
      <c r="BG176" s="20">
        <f t="shared" si="198"/>
        <v>31.097411910749315</v>
      </c>
      <c r="BH176" s="43">
        <f t="shared" si="199"/>
        <v>77.021669355101068</v>
      </c>
      <c r="BI176" s="41" t="str">
        <f t="shared" si="152"/>
        <v>17.7939100762625+135.129795718424i</v>
      </c>
      <c r="BJ176" s="20">
        <f t="shared" si="200"/>
        <v>42.689682152285187</v>
      </c>
      <c r="BK176" s="43">
        <f t="shared" si="153"/>
        <v>82.498443337804915</v>
      </c>
      <c r="BL176">
        <f t="shared" si="201"/>
        <v>31.097411910749315</v>
      </c>
      <c r="BM176" s="43">
        <f t="shared" si="202"/>
        <v>77.021669355101068</v>
      </c>
    </row>
    <row r="177" spans="14:65" x14ac:dyDescent="0.25">
      <c r="N177" s="9">
        <v>59</v>
      </c>
      <c r="O177" s="34">
        <f t="shared" si="154"/>
        <v>389.04514499428063</v>
      </c>
      <c r="P177" s="33" t="str">
        <f t="shared" si="155"/>
        <v>19.1021967526266</v>
      </c>
      <c r="Q177" s="4" t="str">
        <f t="shared" si="156"/>
        <v>1+0.548657157241204i</v>
      </c>
      <c r="R177" s="4">
        <f t="shared" si="168"/>
        <v>1.140624686823847</v>
      </c>
      <c r="S177" s="4">
        <f t="shared" si="169"/>
        <v>0.50181165303649111</v>
      </c>
      <c r="T177" s="4" t="str">
        <f t="shared" si="157"/>
        <v>1+0.00919110469810464i</v>
      </c>
      <c r="U177" s="4">
        <f t="shared" si="170"/>
        <v>1.0000422373107907</v>
      </c>
      <c r="V177" s="4">
        <f t="shared" si="171"/>
        <v>9.1908459007258355E-3</v>
      </c>
      <c r="W177" t="str">
        <f t="shared" si="158"/>
        <v>1-0.00509258903928671i</v>
      </c>
      <c r="X177" s="4">
        <f t="shared" si="172"/>
        <v>1.000012967147488</v>
      </c>
      <c r="Y177" s="4">
        <f t="shared" si="173"/>
        <v>-5.0925450154508684E-3</v>
      </c>
      <c r="Z177" t="str">
        <f t="shared" si="159"/>
        <v>0.999999848643875+0.00378888624522931i</v>
      </c>
      <c r="AA177" s="4">
        <f t="shared" si="174"/>
        <v>1.0000070264486907</v>
      </c>
      <c r="AB177" s="4">
        <f t="shared" si="175"/>
        <v>3.7888686881955196E-3</v>
      </c>
      <c r="AC177" s="47" t="str">
        <f t="shared" si="176"/>
        <v>14.6856240896048-8.05146164592617i</v>
      </c>
      <c r="AD177" s="20">
        <f t="shared" si="177"/>
        <v>24.479229402427322</v>
      </c>
      <c r="AE177" s="43">
        <f t="shared" si="178"/>
        <v>-28.733960670536117</v>
      </c>
      <c r="AF177" t="str">
        <f t="shared" si="160"/>
        <v>69.5520360182888</v>
      </c>
      <c r="AG177" t="str">
        <f t="shared" si="161"/>
        <v>1+0.437671652290698i</v>
      </c>
      <c r="AH177">
        <f t="shared" si="179"/>
        <v>1.0915843875847939</v>
      </c>
      <c r="AI177">
        <f t="shared" si="180"/>
        <v>0.41255450788077164</v>
      </c>
      <c r="AJ177" t="str">
        <f t="shared" si="162"/>
        <v>1+0.00919110469810464i</v>
      </c>
      <c r="AK177">
        <f t="shared" si="181"/>
        <v>1.0000422373107907</v>
      </c>
      <c r="AL177">
        <f t="shared" si="182"/>
        <v>9.1908459007258355E-3</v>
      </c>
      <c r="AM177" t="str">
        <f t="shared" si="163"/>
        <v>1-0.00111573035716836i</v>
      </c>
      <c r="AN177">
        <f t="shared" si="183"/>
        <v>1.0000006224269213</v>
      </c>
      <c r="AO177">
        <f t="shared" si="184"/>
        <v>-1.115729894194821E-3</v>
      </c>
      <c r="AP177" s="41" t="str">
        <f t="shared" si="185"/>
        <v>58.577644295362-25.0761156390259i</v>
      </c>
      <c r="AQ177">
        <f t="shared" si="186"/>
        <v>36.085422911548292</v>
      </c>
      <c r="AR177" s="43">
        <f t="shared" si="187"/>
        <v>-23.174962054412113</v>
      </c>
      <c r="AS177" t="str">
        <f t="shared" si="164"/>
        <v>-0.0000166666666666667</v>
      </c>
      <c r="AT177" t="str">
        <f t="shared" si="165"/>
        <v>8.31110531211589E-06i</v>
      </c>
      <c r="AU177">
        <f t="shared" si="188"/>
        <v>8.3111053121158908E-6</v>
      </c>
      <c r="AV177">
        <f t="shared" si="189"/>
        <v>1.5707963267948966</v>
      </c>
      <c r="AW177" t="str">
        <f t="shared" si="166"/>
        <v>1+0.0084462686164998i</v>
      </c>
      <c r="AX177">
        <f t="shared" si="190"/>
        <v>1.0000356690906291</v>
      </c>
      <c r="AY177">
        <f t="shared" si="191"/>
        <v>8.4460677743673218E-3</v>
      </c>
      <c r="AZ177" t="str">
        <f t="shared" si="167"/>
        <v>1+0.287173132960993i</v>
      </c>
      <c r="BA177">
        <f t="shared" si="192"/>
        <v>1.0404174202187466</v>
      </c>
      <c r="BB177">
        <f t="shared" si="193"/>
        <v>0.27964788420910658</v>
      </c>
      <c r="BC177" s="41" t="str">
        <f t="shared" si="194"/>
        <v>-0.558904764717706+2.01006965256907i</v>
      </c>
      <c r="BD177">
        <f t="shared" si="195"/>
        <v>6.3876417758615043</v>
      </c>
      <c r="BE177" s="43">
        <f t="shared" si="196"/>
        <v>105.53871947799232</v>
      </c>
      <c r="BF177" s="41" t="str">
        <f t="shared" si="197"/>
        <v>7.97613343676676+34.0191275884019i</v>
      </c>
      <c r="BG177" s="20">
        <f t="shared" si="198"/>
        <v>30.866871178288836</v>
      </c>
      <c r="BH177" s="43">
        <f t="shared" si="199"/>
        <v>76.804758807456224</v>
      </c>
      <c r="BI177" s="41" t="str">
        <f t="shared" si="152"/>
        <v>17.6654145477018+131.760305628357i</v>
      </c>
      <c r="BJ177" s="20">
        <f t="shared" si="200"/>
        <v>42.473064687409831</v>
      </c>
      <c r="BK177" s="43">
        <f t="shared" si="153"/>
        <v>82.363757423580253</v>
      </c>
      <c r="BL177">
        <f t="shared" si="201"/>
        <v>30.866871178288836</v>
      </c>
      <c r="BM177" s="43">
        <f t="shared" si="202"/>
        <v>76.804758807456224</v>
      </c>
    </row>
    <row r="178" spans="14:65" x14ac:dyDescent="0.25">
      <c r="N178" s="9">
        <v>60</v>
      </c>
      <c r="O178" s="34">
        <f t="shared" si="154"/>
        <v>398.10717055349761</v>
      </c>
      <c r="P178" s="33" t="str">
        <f t="shared" si="155"/>
        <v>19.1021967526266</v>
      </c>
      <c r="Q178" s="4" t="str">
        <f t="shared" si="156"/>
        <v>1+0.561437024169603i</v>
      </c>
      <c r="R178" s="4">
        <f t="shared" si="168"/>
        <v>1.1468267227913811</v>
      </c>
      <c r="S178" s="4">
        <f t="shared" si="169"/>
        <v>0.5115816104301163</v>
      </c>
      <c r="T178" s="4" t="str">
        <f t="shared" si="157"/>
        <v>1+0.00940519302888917i</v>
      </c>
      <c r="U178" s="4">
        <f t="shared" si="170"/>
        <v>1.000044227849904</v>
      </c>
      <c r="V178" s="4">
        <f t="shared" si="171"/>
        <v>9.4049157231640024E-3</v>
      </c>
      <c r="W178" t="str">
        <f t="shared" si="158"/>
        <v>1-0.00521121067646785i</v>
      </c>
      <c r="X178" s="4">
        <f t="shared" si="172"/>
        <v>1.0000135782661725</v>
      </c>
      <c r="Y178" s="4">
        <f t="shared" si="173"/>
        <v>-5.2111635041124484E-3</v>
      </c>
      <c r="Z178" t="str">
        <f t="shared" si="159"/>
        <v>0.999999841510681+0.00387714074329208i</v>
      </c>
      <c r="AA178" s="4">
        <f t="shared" si="174"/>
        <v>1.000007357593798</v>
      </c>
      <c r="AB178" s="4">
        <f t="shared" si="175"/>
        <v>3.8771219305989047E-3</v>
      </c>
      <c r="AC178" s="47" t="str">
        <f t="shared" si="176"/>
        <v>14.5273630442706-8.15015083750903i</v>
      </c>
      <c r="AD178" s="20">
        <f t="shared" si="177"/>
        <v>24.432148378770322</v>
      </c>
      <c r="AE178" s="43">
        <f t="shared" si="178"/>
        <v>-29.293325574957109</v>
      </c>
      <c r="AF178" t="str">
        <f t="shared" si="160"/>
        <v>69.5520360182888</v>
      </c>
      <c r="AG178" t="str">
        <f t="shared" si="161"/>
        <v>1+0.447866334709009i</v>
      </c>
      <c r="AH178">
        <f t="shared" si="179"/>
        <v>1.0957117566977559</v>
      </c>
      <c r="AI178">
        <f t="shared" si="180"/>
        <v>0.42107815228145845</v>
      </c>
      <c r="AJ178" t="str">
        <f t="shared" si="162"/>
        <v>1+0.00940519302888917i</v>
      </c>
      <c r="AK178">
        <f t="shared" si="181"/>
        <v>1.000044227849904</v>
      </c>
      <c r="AL178">
        <f t="shared" si="182"/>
        <v>9.4049157231640024E-3</v>
      </c>
      <c r="AM178" t="str">
        <f t="shared" si="163"/>
        <v>1-0.00114171905576528i</v>
      </c>
      <c r="AN178">
        <f t="shared" si="183"/>
        <v>1.0000006517609887</v>
      </c>
      <c r="AO178">
        <f t="shared" si="184"/>
        <v>-1.1417185596802127E-3</v>
      </c>
      <c r="AP178" s="41" t="str">
        <f t="shared" si="185"/>
        <v>58.1468480842498-25.4672742869596i</v>
      </c>
      <c r="AQ178">
        <f t="shared" si="186"/>
        <v>36.052660335088241</v>
      </c>
      <c r="AR178" s="43">
        <f t="shared" si="187"/>
        <v>-23.652554648142441</v>
      </c>
      <c r="AS178" t="str">
        <f t="shared" si="164"/>
        <v>-0.0000166666666666667</v>
      </c>
      <c r="AT178" t="str">
        <f t="shared" si="165"/>
        <v>8.50469582399555E-06i</v>
      </c>
      <c r="AU178">
        <f t="shared" si="188"/>
        <v>8.5046958239955499E-6</v>
      </c>
      <c r="AV178">
        <f t="shared" si="189"/>
        <v>1.5707963267948966</v>
      </c>
      <c r="AW178" t="str">
        <f t="shared" si="166"/>
        <v>1+0.00864300748618508i</v>
      </c>
      <c r="AX178">
        <f t="shared" si="190"/>
        <v>1.0000373500916884</v>
      </c>
      <c r="AY178">
        <f t="shared" si="191"/>
        <v>8.642792280396926E-3</v>
      </c>
      <c r="AZ178" t="str">
        <f t="shared" si="167"/>
        <v>1+0.293862254530293i</v>
      </c>
      <c r="BA178">
        <f t="shared" si="192"/>
        <v>1.0422835624903748</v>
      </c>
      <c r="BB178">
        <f t="shared" si="193"/>
        <v>0.28581636674127003</v>
      </c>
      <c r="BC178" s="41" t="str">
        <f t="shared" si="194"/>
        <v>-0.558902885750459+1.96453227859134i</v>
      </c>
      <c r="BD178">
        <f t="shared" si="195"/>
        <v>6.2031926457174622</v>
      </c>
      <c r="BE178" s="43">
        <f t="shared" si="196"/>
        <v>105.88087600916303</v>
      </c>
      <c r="BF178" s="41" t="str">
        <f t="shared" si="197"/>
        <v>7.89184926788732+33.0946164456699i</v>
      </c>
      <c r="BG178" s="20">
        <f t="shared" si="198"/>
        <v>30.63534102448779</v>
      </c>
      <c r="BH178" s="43">
        <f t="shared" si="199"/>
        <v>76.587550434205937</v>
      </c>
      <c r="BI178" s="41" t="str">
        <f t="shared" ref="BI178:BI241" si="203">IMPRODUCT(AP178,BC178)</f>
        <v>17.5328411928906+128.465093051036i</v>
      </c>
      <c r="BJ178" s="20">
        <f t="shared" si="200"/>
        <v>42.255852980805706</v>
      </c>
      <c r="BK178" s="43">
        <f t="shared" ref="BK178:BK241" si="204">(180/PI())*IMARGUMENT(BI178)</f>
        <v>82.228321361020619</v>
      </c>
      <c r="BL178">
        <f t="shared" si="201"/>
        <v>30.63534102448779</v>
      </c>
      <c r="BM178" s="43">
        <f t="shared" si="202"/>
        <v>76.587550434205937</v>
      </c>
    </row>
    <row r="179" spans="14:65" x14ac:dyDescent="0.25">
      <c r="N179" s="9">
        <v>61</v>
      </c>
      <c r="O179" s="34">
        <f t="shared" si="154"/>
        <v>407.38027780411272</v>
      </c>
      <c r="P179" s="33" t="str">
        <f t="shared" si="155"/>
        <v>19.1021967526266</v>
      </c>
      <c r="Q179" s="4" t="str">
        <f t="shared" si="156"/>
        <v>1+0.574514572439715i</v>
      </c>
      <c r="R179" s="4">
        <f t="shared" si="168"/>
        <v>1.1532853046603813</v>
      </c>
      <c r="S179" s="4">
        <f t="shared" si="169"/>
        <v>0.52146939159522765</v>
      </c>
      <c r="T179" s="4" t="str">
        <f t="shared" si="157"/>
        <v>1+0.0096242681175101i</v>
      </c>
      <c r="U179" s="4">
        <f t="shared" si="170"/>
        <v>1.0000463121959891</v>
      </c>
      <c r="V179" s="4">
        <f t="shared" si="171"/>
        <v>9.6239709798153147E-3</v>
      </c>
      <c r="W179" t="str">
        <f t="shared" si="158"/>
        <v>1-0.00533259536652821i</v>
      </c>
      <c r="X179" s="4">
        <f t="shared" si="172"/>
        <v>1.0000142181855931</v>
      </c>
      <c r="Y179" s="4">
        <f t="shared" si="173"/>
        <v>-5.3325448204775382E-3</v>
      </c>
      <c r="Z179" t="str">
        <f t="shared" si="159"/>
        <v>0.999999834041309+0.00396745095269698i</v>
      </c>
      <c r="AA179" s="4">
        <f t="shared" si="174"/>
        <v>1.0000077043451754</v>
      </c>
      <c r="AB179" s="4">
        <f t="shared" si="175"/>
        <v>3.9674307945414483E-3</v>
      </c>
      <c r="AC179" s="47" t="str">
        <f t="shared" si="176"/>
        <v>14.3652619055103-8.24686295158866i</v>
      </c>
      <c r="AD179" s="20">
        <f t="shared" si="177"/>
        <v>24.383389946571835</v>
      </c>
      <c r="AE179" s="43">
        <f t="shared" si="178"/>
        <v>-29.859431716676717</v>
      </c>
      <c r="AF179" t="str">
        <f t="shared" si="160"/>
        <v>69.5520360182888</v>
      </c>
      <c r="AG179" t="str">
        <f t="shared" si="161"/>
        <v>1+0.458298481786196i</v>
      </c>
      <c r="AH179">
        <f t="shared" si="179"/>
        <v>1.1000170445986426</v>
      </c>
      <c r="AI179">
        <f t="shared" si="180"/>
        <v>0.42973347743794515</v>
      </c>
      <c r="AJ179" t="str">
        <f t="shared" si="162"/>
        <v>1+0.0096242681175101i</v>
      </c>
      <c r="AK179">
        <f t="shared" si="181"/>
        <v>1.0000463121959891</v>
      </c>
      <c r="AL179">
        <f t="shared" si="182"/>
        <v>9.6239709798153147E-3</v>
      </c>
      <c r="AM179" t="str">
        <f t="shared" si="163"/>
        <v>1-0.00116831310891801i</v>
      </c>
      <c r="AN179">
        <f t="shared" si="183"/>
        <v>1.0000006824775274</v>
      </c>
      <c r="AO179">
        <f t="shared" si="184"/>
        <v>-1.1683125773533029E-3</v>
      </c>
      <c r="AP179" s="41" t="str">
        <f t="shared" si="185"/>
        <v>57.7026387533106-25.8569028483729i</v>
      </c>
      <c r="AQ179">
        <f t="shared" si="186"/>
        <v>36.018616845490662</v>
      </c>
      <c r="AR179" s="43">
        <f t="shared" si="187"/>
        <v>-24.137441033209207</v>
      </c>
      <c r="AS179" t="str">
        <f t="shared" si="164"/>
        <v>-0.0000166666666666667</v>
      </c>
      <c r="AT179" t="str">
        <f t="shared" si="165"/>
        <v>8.70279563817403E-06i</v>
      </c>
      <c r="AU179">
        <f t="shared" si="188"/>
        <v>8.7027956381740301E-6</v>
      </c>
      <c r="AV179">
        <f t="shared" si="189"/>
        <v>1.5707963267948966</v>
      </c>
      <c r="AW179" t="str">
        <f t="shared" si="166"/>
        <v>1+0.0088443289928433i</v>
      </c>
      <c r="AX179">
        <f t="shared" si="190"/>
        <v>1.0000391103128585</v>
      </c>
      <c r="AY179">
        <f t="shared" si="191"/>
        <v>8.8440983961737638E-3</v>
      </c>
      <c r="AZ179" t="str">
        <f t="shared" si="167"/>
        <v>1+0.300707185756672i</v>
      </c>
      <c r="BA179">
        <f t="shared" si="192"/>
        <v>1.0442340789141569</v>
      </c>
      <c r="BB179">
        <f t="shared" si="193"/>
        <v>0.2921054624034351</v>
      </c>
      <c r="BC179" s="41" t="str">
        <f t="shared" si="194"/>
        <v>-0.558900918243758+1.92003652410035i</v>
      </c>
      <c r="BD179">
        <f t="shared" si="195"/>
        <v>6.0194168320157448</v>
      </c>
      <c r="BE179" s="43">
        <f t="shared" si="196"/>
        <v>106.22968065673498</v>
      </c>
      <c r="BF179" s="41" t="str">
        <f t="shared" si="197"/>
        <v>7.80552000649846+32.1910068131205i</v>
      </c>
      <c r="BG179" s="20">
        <f t="shared" si="198"/>
        <v>30.402806778587582</v>
      </c>
      <c r="BH179" s="43">
        <f t="shared" si="199"/>
        <v>76.370248940058275</v>
      </c>
      <c r="BI179" s="41" t="str">
        <f t="shared" si="203"/>
        <v>17.3961400846772+125.24262068822i</v>
      </c>
      <c r="BJ179" s="20">
        <f t="shared" si="200"/>
        <v>42.038033677506419</v>
      </c>
      <c r="BK179" s="43">
        <f t="shared" si="204"/>
        <v>82.092239623525785</v>
      </c>
      <c r="BL179">
        <f t="shared" si="201"/>
        <v>30.402806778587582</v>
      </c>
      <c r="BM179" s="43">
        <f t="shared" si="202"/>
        <v>76.370248940058275</v>
      </c>
    </row>
    <row r="180" spans="14:65" x14ac:dyDescent="0.25">
      <c r="N180" s="9">
        <v>62</v>
      </c>
      <c r="O180" s="34">
        <f t="shared" si="154"/>
        <v>416.86938347033572</v>
      </c>
      <c r="P180" s="33" t="str">
        <f t="shared" si="155"/>
        <v>19.1021967526266</v>
      </c>
      <c r="Q180" s="4" t="str">
        <f t="shared" si="156"/>
        <v>1+0.587896735940735i</v>
      </c>
      <c r="R180" s="4">
        <f t="shared" si="168"/>
        <v>1.1600097293254787</v>
      </c>
      <c r="S180" s="4">
        <f t="shared" si="169"/>
        <v>0.53147250481738584</v>
      </c>
      <c r="T180" s="4" t="str">
        <f t="shared" si="157"/>
        <v>1+0.00984844612047919i</v>
      </c>
      <c r="U180" s="4">
        <f t="shared" si="170"/>
        <v>1.0000484947696227</v>
      </c>
      <c r="V180" s="4">
        <f t="shared" si="171"/>
        <v>9.8481277325367742E-3</v>
      </c>
      <c r="W180" t="str">
        <f t="shared" si="158"/>
        <v>1-0.00545680746923714i</v>
      </c>
      <c r="X180" s="4">
        <f t="shared" si="172"/>
        <v>1.000014888263048</v>
      </c>
      <c r="Y180" s="4">
        <f t="shared" si="173"/>
        <v>-5.4567533082115916E-3</v>
      </c>
      <c r="Z180" t="str">
        <f t="shared" si="159"/>
        <v>0.999999826219917+0.00405986475711243i</v>
      </c>
      <c r="AA180" s="4">
        <f t="shared" si="174"/>
        <v>1.0000080674383134</v>
      </c>
      <c r="AB180" s="4">
        <f t="shared" si="175"/>
        <v>4.0598431572690281E-3</v>
      </c>
      <c r="AC180" s="47" t="str">
        <f t="shared" si="176"/>
        <v>14.199357304681-8.34142248618718i</v>
      </c>
      <c r="AD180" s="20">
        <f t="shared" si="177"/>
        <v>24.332914098132086</v>
      </c>
      <c r="AE180" s="43">
        <f t="shared" si="178"/>
        <v>-30.4321361109035</v>
      </c>
      <c r="AF180" t="str">
        <f t="shared" si="160"/>
        <v>69.5520360182888</v>
      </c>
      <c r="AG180" t="str">
        <f t="shared" si="161"/>
        <v>1+0.468973624784724i</v>
      </c>
      <c r="AH180">
        <f t="shared" si="179"/>
        <v>1.1045072479362565</v>
      </c>
      <c r="AI180">
        <f t="shared" si="180"/>
        <v>0.43851988419660992</v>
      </c>
      <c r="AJ180" t="str">
        <f t="shared" si="162"/>
        <v>1+0.00984844612047919i</v>
      </c>
      <c r="AK180">
        <f t="shared" si="181"/>
        <v>1.0000484947696227</v>
      </c>
      <c r="AL180">
        <f t="shared" si="182"/>
        <v>9.8481277325367742E-3</v>
      </c>
      <c r="AM180" t="str">
        <f t="shared" si="163"/>
        <v>1-0.00119552661714555i</v>
      </c>
      <c r="AN180">
        <f t="shared" si="183"/>
        <v>1.0000007146416907</v>
      </c>
      <c r="AO180">
        <f t="shared" si="184"/>
        <v>-1.1955260475637263E-3</v>
      </c>
      <c r="AP180" s="41" t="str">
        <f t="shared" si="185"/>
        <v>57.2448731254275-26.2445074810141i</v>
      </c>
      <c r="AQ180">
        <f t="shared" si="186"/>
        <v>35.983252969920827</v>
      </c>
      <c r="AR180" s="43">
        <f t="shared" si="187"/>
        <v>-24.629581038674573</v>
      </c>
      <c r="AS180" t="str">
        <f t="shared" si="164"/>
        <v>-0.0000166666666666667</v>
      </c>
      <c r="AT180" t="str">
        <f t="shared" si="165"/>
        <v>8.90550978979501E-06i</v>
      </c>
      <c r="AU180">
        <f t="shared" si="188"/>
        <v>8.9055097897950102E-6</v>
      </c>
      <c r="AV180">
        <f t="shared" si="189"/>
        <v>1.5707963267948966</v>
      </c>
      <c r="AW180" t="str">
        <f t="shared" si="166"/>
        <v>1+0.00905033987980207i</v>
      </c>
      <c r="AX180">
        <f t="shared" si="190"/>
        <v>1.000040953487376</v>
      </c>
      <c r="AY180">
        <f t="shared" si="191"/>
        <v>9.0500927915654374E-3</v>
      </c>
      <c r="AZ180" t="str">
        <f t="shared" si="167"/>
        <v>1+0.30771155591327i</v>
      </c>
      <c r="BA180">
        <f t="shared" si="192"/>
        <v>1.0462726230015604</v>
      </c>
      <c r="BB180">
        <f t="shared" si="193"/>
        <v>0.2985165150010059</v>
      </c>
      <c r="BC180" s="41" t="str">
        <f t="shared" si="194"/>
        <v>-0.558898858026169+1.87655879674864i</v>
      </c>
      <c r="BD180">
        <f t="shared" si="195"/>
        <v>5.8363408066030198</v>
      </c>
      <c r="BE180" s="43">
        <f t="shared" si="196"/>
        <v>106.5852043033528</v>
      </c>
      <c r="BF180" s="41" t="str">
        <f t="shared" si="197"/>
        <v>7.71716516155971+31.30794036012i</v>
      </c>
      <c r="BG180" s="20">
        <f t="shared" si="198"/>
        <v>30.169254904735109</v>
      </c>
      <c r="BH180" s="43">
        <f t="shared" si="199"/>
        <v>76.153068192449297</v>
      </c>
      <c r="BI180" s="41" t="str">
        <f t="shared" si="203"/>
        <v>17.2552671621781+122.091395492879i</v>
      </c>
      <c r="BJ180" s="20">
        <f t="shared" si="200"/>
        <v>41.81959377652386</v>
      </c>
      <c r="BK180" s="43">
        <f t="shared" si="204"/>
        <v>81.955623264678252</v>
      </c>
      <c r="BL180">
        <f t="shared" si="201"/>
        <v>30.169254904735109</v>
      </c>
      <c r="BM180" s="43">
        <f t="shared" si="202"/>
        <v>76.153068192449297</v>
      </c>
    </row>
    <row r="181" spans="14:65" x14ac:dyDescent="0.25">
      <c r="N181" s="9">
        <v>63</v>
      </c>
      <c r="O181" s="34">
        <f t="shared" si="154"/>
        <v>426.57951880159294</v>
      </c>
      <c r="P181" s="33" t="str">
        <f t="shared" si="155"/>
        <v>19.1021967526266</v>
      </c>
      <c r="Q181" s="4" t="str">
        <f t="shared" si="156"/>
        <v>1+0.601590610072883i</v>
      </c>
      <c r="R181" s="4">
        <f t="shared" si="168"/>
        <v>1.1670095381477665</v>
      </c>
      <c r="S181" s="4">
        <f t="shared" si="169"/>
        <v>0.54158824581292508</v>
      </c>
      <c r="T181" s="4" t="str">
        <f t="shared" si="157"/>
        <v>1+0.0100778458999409i</v>
      </c>
      <c r="U181" s="4">
        <f t="shared" si="170"/>
        <v>1.0000507801996772</v>
      </c>
      <c r="V181" s="4">
        <f t="shared" si="171"/>
        <v>1.0077504742049648E-2</v>
      </c>
      <c r="W181" t="str">
        <f t="shared" si="158"/>
        <v>1-0.00558391284349565i</v>
      </c>
      <c r="X181" s="4">
        <f t="shared" si="172"/>
        <v>1.0000155899197991</v>
      </c>
      <c r="Y181" s="4">
        <f t="shared" si="173"/>
        <v>-5.5838548089600475E-3</v>
      </c>
      <c r="Z181" t="str">
        <f t="shared" si="159"/>
        <v>0.999999818029914+0.00415443115556076i</v>
      </c>
      <c r="AA181" s="4">
        <f t="shared" si="174"/>
        <v>1.0000084476433622</v>
      </c>
      <c r="AB181" s="4">
        <f t="shared" si="175"/>
        <v>4.1544080109221235E-3</v>
      </c>
      <c r="AC181" s="47" t="str">
        <f t="shared" si="176"/>
        <v>14.029695861909-8.43365265152817i</v>
      </c>
      <c r="AD181" s="20">
        <f t="shared" si="177"/>
        <v>24.280681263689416</v>
      </c>
      <c r="AE181" s="43">
        <f t="shared" si="178"/>
        <v>-31.011283588600346</v>
      </c>
      <c r="AF181" t="str">
        <f t="shared" si="160"/>
        <v>69.5520360182888</v>
      </c>
      <c r="AG181" t="str">
        <f t="shared" si="161"/>
        <v>1+0.479897423806712i</v>
      </c>
      <c r="AH181">
        <f t="shared" si="179"/>
        <v>1.1091895858582153</v>
      </c>
      <c r="AI181">
        <f t="shared" si="180"/>
        <v>0.44743660365361215</v>
      </c>
      <c r="AJ181" t="str">
        <f t="shared" si="162"/>
        <v>1+0.0100778458999409i</v>
      </c>
      <c r="AK181">
        <f t="shared" si="181"/>
        <v>1.0000507801996772</v>
      </c>
      <c r="AL181">
        <f t="shared" si="182"/>
        <v>1.0077504742049648E-2</v>
      </c>
      <c r="AM181" t="str">
        <f t="shared" si="163"/>
        <v>1-0.00122337400941015i</v>
      </c>
      <c r="AN181">
        <f t="shared" si="183"/>
        <v>1.0000007483217035</v>
      </c>
      <c r="AO181">
        <f t="shared" si="184"/>
        <v>-1.2233733990922545E-3</v>
      </c>
      <c r="AP181" s="41" t="str">
        <f t="shared" si="185"/>
        <v>56.7734287679707-26.6295756585699i</v>
      </c>
      <c r="AQ181">
        <f t="shared" si="186"/>
        <v>35.946528847880394</v>
      </c>
      <c r="AR181" s="43">
        <f t="shared" si="187"/>
        <v>-25.12892463181382</v>
      </c>
      <c r="AS181" t="str">
        <f t="shared" si="164"/>
        <v>-0.0000166666666666667</v>
      </c>
      <c r="AT181" t="str">
        <f t="shared" si="165"/>
        <v>9.11294576058488E-06i</v>
      </c>
      <c r="AU181">
        <f t="shared" si="188"/>
        <v>9.1129457605848801E-6</v>
      </c>
      <c r="AV181">
        <f t="shared" si="189"/>
        <v>1.5707963267948966</v>
      </c>
      <c r="AW181" t="str">
        <f t="shared" si="166"/>
        <v>1+0.00926114937676049i</v>
      </c>
      <c r="AX181">
        <f t="shared" si="190"/>
        <v>1.0000428835243911</v>
      </c>
      <c r="AY181">
        <f t="shared" si="191"/>
        <v>9.2608846175580191E-3</v>
      </c>
      <c r="AZ181" t="str">
        <f t="shared" si="167"/>
        <v>1+0.314879078809857i</v>
      </c>
      <c r="BA181">
        <f t="shared" si="192"/>
        <v>1.0484029923040776</v>
      </c>
      <c r="BB181">
        <f t="shared" si="193"/>
        <v>0.30505081494546249</v>
      </c>
      <c r="BC181" s="41" t="str">
        <f t="shared" si="194"/>
        <v>-0.558896700729798+1.83407604395234i</v>
      </c>
      <c r="BD181">
        <f t="shared" si="195"/>
        <v>5.6539918471433017</v>
      </c>
      <c r="BE181" s="43">
        <f t="shared" si="196"/>
        <v>106.94751463025761</v>
      </c>
      <c r="BF181" s="41" t="str">
        <f t="shared" si="197"/>
        <v>7.62680956171951+30.4450697263048i</v>
      </c>
      <c r="BG181" s="20">
        <f t="shared" si="198"/>
        <v>29.934673110832723</v>
      </c>
      <c r="BH181" s="43">
        <f t="shared" si="199"/>
        <v>75.936231041657294</v>
      </c>
      <c r="BI181" s="41" t="str">
        <f t="shared" si="203"/>
        <v>17.1101847484624+119.009967613779i</v>
      </c>
      <c r="BJ181" s="20">
        <f t="shared" si="200"/>
        <v>41.600520695023697</v>
      </c>
      <c r="BK181" s="43">
        <f t="shared" si="204"/>
        <v>81.818589998443798</v>
      </c>
      <c r="BL181">
        <f t="shared" si="201"/>
        <v>29.934673110832723</v>
      </c>
      <c r="BM181" s="43">
        <f t="shared" si="202"/>
        <v>75.936231041657294</v>
      </c>
    </row>
    <row r="182" spans="14:65" x14ac:dyDescent="0.25">
      <c r="N182" s="9">
        <v>64</v>
      </c>
      <c r="O182" s="34">
        <f t="shared" si="154"/>
        <v>436.51583224016622</v>
      </c>
      <c r="P182" s="33" t="str">
        <f t="shared" si="155"/>
        <v>19.1021967526266</v>
      </c>
      <c r="Q182" s="4" t="str">
        <f t="shared" si="156"/>
        <v>1+0.615603455509484i</v>
      </c>
      <c r="R182" s="4">
        <f t="shared" si="168"/>
        <v>1.1742945177574564</v>
      </c>
      <c r="S182" s="4">
        <f t="shared" si="169"/>
        <v>0.55181369655670354</v>
      </c>
      <c r="T182" s="4" t="str">
        <f t="shared" si="157"/>
        <v>1+0.0103125890866949i</v>
      </c>
      <c r="U182" s="4">
        <f t="shared" si="170"/>
        <v>1.0000531733331339</v>
      </c>
      <c r="V182" s="4">
        <f t="shared" si="171"/>
        <v>1.0312223530478046E-2</v>
      </c>
      <c r="W182" t="str">
        <f t="shared" si="158"/>
        <v>1-0.00571397888225558i</v>
      </c>
      <c r="X182" s="4">
        <f t="shared" si="172"/>
        <v>1.0000163246440863</v>
      </c>
      <c r="Y182" s="4">
        <f t="shared" si="173"/>
        <v>-5.7139166971851372E-3</v>
      </c>
      <c r="Z182" t="str">
        <f t="shared" si="159"/>
        <v>0.999999809453928+0.00425120028839815i</v>
      </c>
      <c r="AA182" s="4">
        <f t="shared" si="174"/>
        <v>1.0000088457667684</v>
      </c>
      <c r="AB182" s="4">
        <f t="shared" si="175"/>
        <v>4.2511754884828855E-3</v>
      </c>
      <c r="AC182" s="47" t="str">
        <f t="shared" si="176"/>
        <v>13.8563344742378-8.52337600973632i</v>
      </c>
      <c r="AD182" s="20">
        <f t="shared" si="177"/>
        <v>24.226652417722974</v>
      </c>
      <c r="AE182" s="43">
        <f t="shared" si="178"/>
        <v>-31.596706729217441</v>
      </c>
      <c r="AF182" t="str">
        <f t="shared" si="160"/>
        <v>69.5520360182888</v>
      </c>
      <c r="AG182" t="str">
        <f t="shared" si="161"/>
        <v>1+0.491075670794994i</v>
      </c>
      <c r="AH182">
        <f t="shared" si="179"/>
        <v>1.1140715032917561</v>
      </c>
      <c r="AI182">
        <f t="shared" si="180"/>
        <v>0.45648269097295335</v>
      </c>
      <c r="AJ182" t="str">
        <f t="shared" si="162"/>
        <v>1+0.0103125890866949i</v>
      </c>
      <c r="AK182">
        <f t="shared" si="181"/>
        <v>1.0000531733331339</v>
      </c>
      <c r="AL182">
        <f t="shared" si="182"/>
        <v>1.0312223530478046E-2</v>
      </c>
      <c r="AM182" t="str">
        <f t="shared" si="163"/>
        <v>1-0.00125187005076782i</v>
      </c>
      <c r="AN182">
        <f t="shared" si="183"/>
        <v>1.000000783589005</v>
      </c>
      <c r="AO182">
        <f t="shared" si="184"/>
        <v>-1.2518693968004405E-3</v>
      </c>
      <c r="AP182" s="41" t="str">
        <f t="shared" si="185"/>
        <v>56.2882056868541-27.0115769087801i</v>
      </c>
      <c r="AQ182">
        <f t="shared" si="186"/>
        <v>35.90840429455033</v>
      </c>
      <c r="AR182" s="43">
        <f t="shared" si="187"/>
        <v>-25.63541156077121</v>
      </c>
      <c r="AS182" t="str">
        <f t="shared" si="164"/>
        <v>-0.0000166666666666667</v>
      </c>
      <c r="AT182" t="str">
        <f t="shared" si="165"/>
        <v>9.32521353584112E-06i</v>
      </c>
      <c r="AU182">
        <f t="shared" si="188"/>
        <v>9.3252135358411204E-6</v>
      </c>
      <c r="AV182">
        <f t="shared" si="189"/>
        <v>1.5707963267948966</v>
      </c>
      <c r="AW182" t="str">
        <f t="shared" si="166"/>
        <v>1+0.00947686925770427i</v>
      </c>
      <c r="AX182">
        <f t="shared" si="190"/>
        <v>1.0000449045172559</v>
      </c>
      <c r="AY182">
        <f t="shared" si="191"/>
        <v>9.4765855637955754E-3</v>
      </c>
      <c r="AZ182" t="str">
        <f t="shared" si="167"/>
        <v>1+0.322213554761945i</v>
      </c>
      <c r="BA182">
        <f t="shared" si="192"/>
        <v>1.0506291328876851</v>
      </c>
      <c r="BB182">
        <f t="shared" si="193"/>
        <v>0.3117095940396839</v>
      </c>
      <c r="BC182" s="41" t="str">
        <f t="shared" si="194"/>
        <v>-0.558894441781026+1.79256574066792i</v>
      </c>
      <c r="BD182">
        <f t="shared" si="195"/>
        <v>5.4723980410480557</v>
      </c>
      <c r="BE182" s="43">
        <f t="shared" si="196"/>
        <v>107.31667581521006</v>
      </c>
      <c r="BF182" s="41" t="str">
        <f t="shared" si="197"/>
        <v>7.53448350877385+29.6020579468059i</v>
      </c>
      <c r="BG182" s="20">
        <f t="shared" si="198"/>
        <v>29.699050458771037</v>
      </c>
      <c r="BH182" s="43">
        <f t="shared" si="199"/>
        <v>75.719969085992616</v>
      </c>
      <c r="BI182" s="41" t="str">
        <f t="shared" si="203"/>
        <v>16.960862071886+115.996929315982i</v>
      </c>
      <c r="BJ182" s="20">
        <f t="shared" si="200"/>
        <v>41.380802335598403</v>
      </c>
      <c r="BK182" s="43">
        <f t="shared" si="204"/>
        <v>81.681264254438872</v>
      </c>
      <c r="BL182">
        <f t="shared" si="201"/>
        <v>29.699050458771037</v>
      </c>
      <c r="BM182" s="43">
        <f t="shared" si="202"/>
        <v>75.719969085992616</v>
      </c>
    </row>
    <row r="183" spans="14:65" x14ac:dyDescent="0.25">
      <c r="N183" s="9">
        <v>65</v>
      </c>
      <c r="O183" s="34">
        <f t="shared" si="154"/>
        <v>446.68359215096331</v>
      </c>
      <c r="P183" s="33" t="str">
        <f t="shared" si="155"/>
        <v>19.1021967526266</v>
      </c>
      <c r="Q183" s="4" t="str">
        <f t="shared" si="156"/>
        <v>1+0.629942702046672i</v>
      </c>
      <c r="R183" s="4">
        <f t="shared" si="168"/>
        <v>1.181874700576107</v>
      </c>
      <c r="S183" s="4">
        <f t="shared" si="169"/>
        <v>0.56214572490512071</v>
      </c>
      <c r="T183" s="4" t="str">
        <f t="shared" si="157"/>
        <v>1+0.0105528001446858i</v>
      </c>
      <c r="U183" s="4">
        <f t="shared" si="170"/>
        <v>1.0000556792453577</v>
      </c>
      <c r="V183" s="4">
        <f t="shared" si="171"/>
        <v>1.0552408445320125E-2</v>
      </c>
      <c r="W183" t="str">
        <f t="shared" si="158"/>
        <v>1-0.00584707454825235i</v>
      </c>
      <c r="X183" s="4">
        <f t="shared" si="172"/>
        <v>1.0000170939942841</v>
      </c>
      <c r="Y183" s="4">
        <f t="shared" si="173"/>
        <v>-5.847007915810388E-3</v>
      </c>
      <c r="Z183" t="str">
        <f t="shared" si="159"/>
        <v>0.999999800473768+0.00435022346389975i</v>
      </c>
      <c r="AA183" s="4">
        <f t="shared" si="174"/>
        <v>1.0000092626529824</v>
      </c>
      <c r="AB183" s="4">
        <f t="shared" si="175"/>
        <v>4.3501968903250686E-3</v>
      </c>
      <c r="AC183" s="47" t="str">
        <f t="shared" si="176"/>
        <v>13.6793405587896-8.61041515322771i</v>
      </c>
      <c r="AD183" s="20">
        <f t="shared" si="177"/>
        <v>24.170789188047266</v>
      </c>
      <c r="AE183" s="43">
        <f t="shared" si="178"/>
        <v>-32.188225838992665</v>
      </c>
      <c r="AF183" t="str">
        <f t="shared" si="160"/>
        <v>69.5520360182888</v>
      </c>
      <c r="AG183" t="str">
        <f t="shared" si="161"/>
        <v>1+0.502514292604088i</v>
      </c>
      <c r="AH183">
        <f t="shared" si="179"/>
        <v>1.1191606740193236</v>
      </c>
      <c r="AI183">
        <f t="shared" si="180"/>
        <v>0.46565701947850513</v>
      </c>
      <c r="AJ183" t="str">
        <f t="shared" si="162"/>
        <v>1+0.0105528001446858i</v>
      </c>
      <c r="AK183">
        <f t="shared" si="181"/>
        <v>1.0000556792453577</v>
      </c>
      <c r="AL183">
        <f t="shared" si="182"/>
        <v>1.0552408445320125E-2</v>
      </c>
      <c r="AM183" t="str">
        <f t="shared" si="163"/>
        <v>1-0.00128102985019686i</v>
      </c>
      <c r="AN183">
        <f t="shared" si="183"/>
        <v>1.0000008205184019</v>
      </c>
      <c r="AO183">
        <f t="shared" si="184"/>
        <v>-1.2810291494582187E-3</v>
      </c>
      <c r="AP183" s="41" t="str">
        <f t="shared" si="185"/>
        <v>55.7891280205934-27.3899637007918i</v>
      </c>
      <c r="AQ183">
        <f t="shared" si="186"/>
        <v>35.868838869103989</v>
      </c>
      <c r="AR183" s="43">
        <f t="shared" si="187"/>
        <v>-26.148971012841649</v>
      </c>
      <c r="AS183" t="str">
        <f t="shared" si="164"/>
        <v>-0.0000166666666666667</v>
      </c>
      <c r="AT183" t="str">
        <f t="shared" si="165"/>
        <v>9.54242566274785E-06i</v>
      </c>
      <c r="AU183">
        <f t="shared" si="188"/>
        <v>9.5424256627478501E-6</v>
      </c>
      <c r="AV183">
        <f t="shared" si="189"/>
        <v>1.5707963267948966</v>
      </c>
      <c r="AW183" t="str">
        <f t="shared" si="166"/>
        <v>1+0.00969761390016969i</v>
      </c>
      <c r="AX183">
        <f t="shared" si="190"/>
        <v>1.0000470207522028</v>
      </c>
      <c r="AY183">
        <f t="shared" si="191"/>
        <v>9.6973099174416811E-3</v>
      </c>
      <c r="AZ183" t="str">
        <f t="shared" si="167"/>
        <v>1+0.329718872605769i</v>
      </c>
      <c r="BA183">
        <f t="shared" si="192"/>
        <v>1.0529551438463176</v>
      </c>
      <c r="BB183">
        <f t="shared" si="193"/>
        <v>0.31849402005662247</v>
      </c>
      <c r="BC183" s="41" t="str">
        <f t="shared" si="194"/>
        <v>-0.558892076390853+1.75200587744845i</v>
      </c>
      <c r="BD183">
        <f t="shared" si="195"/>
        <v>5.2915882873672517</v>
      </c>
      <c r="BE183" s="43">
        <f t="shared" si="196"/>
        <v>107.69274821849964</v>
      </c>
      <c r="BF183" s="41" t="str">
        <f t="shared" si="197"/>
        <v>7.44022290716661+28.778577862193i</v>
      </c>
      <c r="BG183" s="20">
        <f t="shared" si="198"/>
        <v>29.462377475414506</v>
      </c>
      <c r="BH183" s="43">
        <f t="shared" si="199"/>
        <v>75.50452237950698</v>
      </c>
      <c r="BI183" s="41" t="str">
        <f t="shared" si="203"/>
        <v>16.8072757874224+113.050913874809i</v>
      </c>
      <c r="BJ183" s="20">
        <f t="shared" si="200"/>
        <v>41.160427156471222</v>
      </c>
      <c r="BK183" s="43">
        <f t="shared" si="204"/>
        <v>81.543777205657975</v>
      </c>
      <c r="BL183">
        <f t="shared" si="201"/>
        <v>29.462377475414506</v>
      </c>
      <c r="BM183" s="43">
        <f t="shared" si="202"/>
        <v>75.50452237950698</v>
      </c>
    </row>
    <row r="184" spans="14:65" x14ac:dyDescent="0.25">
      <c r="N184" s="9">
        <v>66</v>
      </c>
      <c r="O184" s="34">
        <f t="shared" ref="O184:O218" si="205">10^(2+(N184/100))</f>
        <v>457.0881896148756</v>
      </c>
      <c r="P184" s="33" t="str">
        <f t="shared" si="155"/>
        <v>19.1021967526266</v>
      </c>
      <c r="Q184" s="4" t="str">
        <f t="shared" si="156"/>
        <v>1+0.644615952542763i</v>
      </c>
      <c r="R184" s="4">
        <f t="shared" si="168"/>
        <v>1.1897603650620632</v>
      </c>
      <c r="S184" s="4">
        <f t="shared" si="169"/>
        <v>0.57258098505918242</v>
      </c>
      <c r="T184" s="4" t="str">
        <f t="shared" si="157"/>
        <v>1+0.0107986064369963i</v>
      </c>
      <c r="U184" s="4">
        <f t="shared" si="170"/>
        <v>1.0000583032508561</v>
      </c>
      <c r="V184" s="4">
        <f t="shared" si="171"/>
        <v>1.0798186724885677E-2</v>
      </c>
      <c r="W184" t="str">
        <f t="shared" si="158"/>
        <v>1-0.00598327041056979i</v>
      </c>
      <c r="X184" s="4">
        <f t="shared" si="172"/>
        <v>1.0000178996022051</v>
      </c>
      <c r="Y184" s="4">
        <f t="shared" si="173"/>
        <v>-5.983199012690895E-3</v>
      </c>
      <c r="Z184" t="str">
        <f t="shared" si="159"/>
        <v>0.999999791070387+0.00445155318546392i</v>
      </c>
      <c r="AA184" s="4">
        <f t="shared" si="174"/>
        <v>1.0000096991862533</v>
      </c>
      <c r="AB184" s="4">
        <f t="shared" si="175"/>
        <v>4.4515247113805527E-3</v>
      </c>
      <c r="AC184" s="47" t="str">
        <f t="shared" si="176"/>
        <v>13.4987922460682-8.69459341854126i</v>
      </c>
      <c r="AD184" s="20">
        <f t="shared" si="177"/>
        <v>24.113053967202841</v>
      </c>
      <c r="AE184" s="43">
        <f t="shared" si="178"/>
        <v>-32.7856489773785</v>
      </c>
      <c r="AF184" t="str">
        <f t="shared" si="160"/>
        <v>69.5520360182888</v>
      </c>
      <c r="AG184" t="str">
        <f t="shared" si="161"/>
        <v>1+0.514219354142684i</v>
      </c>
      <c r="AH184">
        <f t="shared" si="179"/>
        <v>1.1244650035349786</v>
      </c>
      <c r="AI184">
        <f t="shared" si="180"/>
        <v>0.47495827507128607</v>
      </c>
      <c r="AJ184" t="str">
        <f t="shared" si="162"/>
        <v>1+0.0107986064369963i</v>
      </c>
      <c r="AK184">
        <f t="shared" si="181"/>
        <v>1.0000583032508561</v>
      </c>
      <c r="AL184">
        <f t="shared" si="182"/>
        <v>1.0798186724885677E-2</v>
      </c>
      <c r="AM184" t="str">
        <f t="shared" si="163"/>
        <v>1-0.00131086886860891i</v>
      </c>
      <c r="AN184">
        <f t="shared" si="183"/>
        <v>1.0000008591882263</v>
      </c>
      <c r="AO184">
        <f t="shared" si="184"/>
        <v>-1.310868117753963E-3</v>
      </c>
      <c r="AP184" s="41" t="str">
        <f t="shared" si="185"/>
        <v>55.2761457213929-27.764172487263i</v>
      </c>
      <c r="AQ184">
        <f t="shared" si="186"/>
        <v>35.82779194797201</v>
      </c>
      <c r="AR184" s="43">
        <f t="shared" si="187"/>
        <v>-26.669521291313735</v>
      </c>
      <c r="AS184" t="str">
        <f t="shared" si="164"/>
        <v>-0.0000166666666666667</v>
      </c>
      <c r="AT184" t="str">
        <f t="shared" si="165"/>
        <v>9.76469731004991E-06i</v>
      </c>
      <c r="AU184">
        <f t="shared" si="188"/>
        <v>9.7646973100499102E-6</v>
      </c>
      <c r="AV184">
        <f t="shared" si="189"/>
        <v>1.5707963267948966</v>
      </c>
      <c r="AW184" t="str">
        <f t="shared" si="166"/>
        <v>1+0.00992350034588808i</v>
      </c>
      <c r="AX184">
        <f t="shared" si="190"/>
        <v>1.0000492367174303</v>
      </c>
      <c r="AY184">
        <f t="shared" si="191"/>
        <v>9.9231746233926828E-3</v>
      </c>
      <c r="AZ184" t="str">
        <f t="shared" si="167"/>
        <v>1+0.337399011760195i</v>
      </c>
      <c r="BA184">
        <f t="shared" si="192"/>
        <v>1.0553852818458083</v>
      </c>
      <c r="BB184">
        <f t="shared" si="193"/>
        <v>0.32540519111669092</v>
      </c>
      <c r="BC184" s="41" t="str">
        <f t="shared" si="194"/>
        <v>-0.558889599544736+1.71237494877324i</v>
      </c>
      <c r="BD184">
        <f t="shared" si="195"/>
        <v>5.1115922964527556</v>
      </c>
      <c r="BE184" s="43">
        <f t="shared" si="196"/>
        <v>108.07578805734259</v>
      </c>
      <c r="BF184" s="41" t="str">
        <f t="shared" si="197"/>
        <v>7.3440693669361+27.9743115147545i</v>
      </c>
      <c r="BG184" s="20">
        <f t="shared" si="198"/>
        <v>29.224646263655604</v>
      </c>
      <c r="BH184" s="43">
        <f t="shared" si="199"/>
        <v>75.290139079964092</v>
      </c>
      <c r="BI184" s="41" t="str">
        <f t="shared" si="203"/>
        <v>16.6494104940026+110.17059444115i</v>
      </c>
      <c r="BJ184" s="20">
        <f t="shared" si="200"/>
        <v>40.93938424442478</v>
      </c>
      <c r="BK184" s="43">
        <f t="shared" si="204"/>
        <v>81.406266766028907</v>
      </c>
      <c r="BL184">
        <f t="shared" si="201"/>
        <v>29.224646263655604</v>
      </c>
      <c r="BM184" s="43">
        <f t="shared" si="202"/>
        <v>75.290139079964092</v>
      </c>
    </row>
    <row r="185" spans="14:65" x14ac:dyDescent="0.25">
      <c r="N185" s="9">
        <v>67</v>
      </c>
      <c r="O185" s="34">
        <f t="shared" si="205"/>
        <v>467.7351412871983</v>
      </c>
      <c r="P185" s="33" t="str">
        <f t="shared" si="155"/>
        <v>19.1021967526266</v>
      </c>
      <c r="Q185" s="4" t="str">
        <f t="shared" si="156"/>
        <v>1+0.659630986949392i</v>
      </c>
      <c r="R185" s="4">
        <f t="shared" si="168"/>
        <v>1.1979620356855341</v>
      </c>
      <c r="S185" s="4">
        <f t="shared" si="169"/>
        <v>0.58311591890809045</v>
      </c>
      <c r="T185" s="4" t="str">
        <f t="shared" si="157"/>
        <v>1+0.0110501382933762i</v>
      </c>
      <c r="U185" s="4">
        <f t="shared" si="170"/>
        <v>1.0000610509145442</v>
      </c>
      <c r="V185" s="4">
        <f t="shared" si="171"/>
        <v>1.1049688565229811E-2</v>
      </c>
      <c r="W185" t="str">
        <f t="shared" si="158"/>
        <v>1-0.00612263868205685i</v>
      </c>
      <c r="X185" s="4">
        <f t="shared" si="172"/>
        <v>1.0000187431765621</v>
      </c>
      <c r="Y185" s="4">
        <f t="shared" si="173"/>
        <v>-6.1225621779287046E-3</v>
      </c>
      <c r="Z185" t="str">
        <f t="shared" si="159"/>
        <v>0.999999781223838+0.0045552431794503i</v>
      </c>
      <c r="AA185" s="4">
        <f t="shared" si="174"/>
        <v>1.0000101562924988</v>
      </c>
      <c r="AB185" s="4">
        <f t="shared" si="175"/>
        <v>4.5552126689370042E-3</v>
      </c>
      <c r="AC185" s="47" t="str">
        <f t="shared" si="176"/>
        <v>13.3147785187396-8.77573563173362i</v>
      </c>
      <c r="AD185" s="20">
        <f t="shared" si="177"/>
        <v>24.053410025595024</v>
      </c>
      <c r="AE185" s="43">
        <f t="shared" si="178"/>
        <v>-33.388772033921001</v>
      </c>
      <c r="AF185" t="str">
        <f t="shared" si="160"/>
        <v>69.5520360182888</v>
      </c>
      <c r="AG185" t="str">
        <f t="shared" si="161"/>
        <v>1+0.526197061589344i</v>
      </c>
      <c r="AH185">
        <f t="shared" si="179"/>
        <v>1.1299926316685698</v>
      </c>
      <c r="AI185">
        <f t="shared" si="180"/>
        <v>0.4843849510249863</v>
      </c>
      <c r="AJ185" t="str">
        <f t="shared" si="162"/>
        <v>1+0.0110501382933762i</v>
      </c>
      <c r="AK185">
        <f t="shared" si="181"/>
        <v>1.0000610509145442</v>
      </c>
      <c r="AL185">
        <f t="shared" si="182"/>
        <v>1.1049688565229811E-2</v>
      </c>
      <c r="AM185" t="str">
        <f t="shared" si="163"/>
        <v>1-0.0013414029270465i</v>
      </c>
      <c r="AN185">
        <f t="shared" si="183"/>
        <v>1.0000008996805017</v>
      </c>
      <c r="AO185">
        <f t="shared" si="184"/>
        <v>-1.3414021224909677E-3</v>
      </c>
      <c r="AP185" s="41" t="str">
        <f t="shared" si="185"/>
        <v>54.7492362091983-28.13362490565i</v>
      </c>
      <c r="AQ185">
        <f t="shared" si="186"/>
        <v>35.785222803000707</v>
      </c>
      <c r="AR185" s="43">
        <f t="shared" si="187"/>
        <v>-27.196969513909732</v>
      </c>
      <c r="AS185" t="str">
        <f t="shared" si="164"/>
        <v>-0.0000166666666666667</v>
      </c>
      <c r="AT185" t="str">
        <f t="shared" si="165"/>
        <v>9.99214632911679E-06i</v>
      </c>
      <c r="AU185">
        <f t="shared" si="188"/>
        <v>9.9921463291167892E-6</v>
      </c>
      <c r="AV185">
        <f t="shared" si="189"/>
        <v>1.5707963267948966</v>
      </c>
      <c r="AW185" t="str">
        <f t="shared" si="166"/>
        <v>1+0.0101546483628429i</v>
      </c>
      <c r="AX185">
        <f t="shared" si="190"/>
        <v>1.0000515571126185</v>
      </c>
      <c r="AY185">
        <f t="shared" si="191"/>
        <v>1.015429934587273E-2</v>
      </c>
      <c r="AZ185" t="str">
        <f t="shared" si="167"/>
        <v>1+0.345258044336659i</v>
      </c>
      <c r="BA185">
        <f t="shared" si="192"/>
        <v>1.057923965689016</v>
      </c>
      <c r="BB185">
        <f t="shared" si="193"/>
        <v>0.33244412987102295</v>
      </c>
      <c r="BC185" s="41" t="str">
        <f t="shared" si="194"/>
        <v>-0.558887005991986+1.67365194164472i</v>
      </c>
      <c r="BD185">
        <f t="shared" si="195"/>
        <v>4.9324405871993529</v>
      </c>
      <c r="BE185" s="43">
        <f t="shared" si="196"/>
        <v>108.46584706907761</v>
      </c>
      <c r="BF185" s="41" t="str">
        <f t="shared" si="197"/>
        <v>7.24607027762694+27.1889495330547i</v>
      </c>
      <c r="BG185" s="20">
        <f t="shared" si="198"/>
        <v>28.985850612794366</v>
      </c>
      <c r="BH185" s="43">
        <f t="shared" si="199"/>
        <v>75.077075035156597</v>
      </c>
      <c r="BI185" s="41" t="str">
        <f t="shared" si="203"/>
        <v>16.4872592435385+107.35468287631i</v>
      </c>
      <c r="BJ185" s="20">
        <f t="shared" si="200"/>
        <v>40.717663390200023</v>
      </c>
      <c r="BK185" s="43">
        <f t="shared" si="204"/>
        <v>81.268877555167862</v>
      </c>
      <c r="BL185">
        <f t="shared" si="201"/>
        <v>28.985850612794366</v>
      </c>
      <c r="BM185" s="43">
        <f t="shared" si="202"/>
        <v>75.077075035156597</v>
      </c>
    </row>
    <row r="186" spans="14:65" x14ac:dyDescent="0.25">
      <c r="N186" s="9">
        <v>68</v>
      </c>
      <c r="O186" s="34">
        <f t="shared" si="205"/>
        <v>478.63009232263886</v>
      </c>
      <c r="P186" s="33" t="str">
        <f t="shared" si="155"/>
        <v>19.1021967526266</v>
      </c>
      <c r="Q186" s="4" t="str">
        <f t="shared" si="156"/>
        <v>1+0.674995766436551i</v>
      </c>
      <c r="R186" s="4">
        <f t="shared" si="168"/>
        <v>1.2064904826426386</v>
      </c>
      <c r="S186" s="4">
        <f t="shared" si="169"/>
        <v>0.59374675828878043</v>
      </c>
      <c r="T186" s="4" t="str">
        <f t="shared" si="157"/>
        <v>1+0.0113075290793451i</v>
      </c>
      <c r="U186" s="4">
        <f t="shared" si="170"/>
        <v>1.0000639280635415</v>
      </c>
      <c r="V186" s="4">
        <f t="shared" si="171"/>
        <v>1.1307047188617837E-2</v>
      </c>
      <c r="W186" t="str">
        <f t="shared" si="158"/>
        <v>1-0.00626525325761585i</v>
      </c>
      <c r="X186" s="4">
        <f t="shared" si="172"/>
        <v>1.000019626506591</v>
      </c>
      <c r="Y186" s="4">
        <f t="shared" si="173"/>
        <v>-6.2651712820525046E-3</v>
      </c>
      <c r="Z186" t="str">
        <f t="shared" si="159"/>
        <v>0.999999770913235+0.00466134842366619i</v>
      </c>
      <c r="AA186" s="4">
        <f t="shared" si="174"/>
        <v>1.0000106349412736</v>
      </c>
      <c r="AB186" s="4">
        <f t="shared" si="175"/>
        <v>4.661315731080958E-3</v>
      </c>
      <c r="AC186" s="47" t="str">
        <f t="shared" si="176"/>
        <v>13.1273992915322-8.85366888083825i</v>
      </c>
      <c r="AD186" s="20">
        <f t="shared" si="177"/>
        <v>23.991821625787743</v>
      </c>
      <c r="AE186" s="43">
        <f t="shared" si="178"/>
        <v>-33.997378857615253</v>
      </c>
      <c r="AF186" t="str">
        <f t="shared" si="160"/>
        <v>69.5520360182888</v>
      </c>
      <c r="AG186" t="str">
        <f t="shared" si="161"/>
        <v>1+0.5384537656831i</v>
      </c>
      <c r="AH186">
        <f t="shared" si="179"/>
        <v>1.1357519349656908</v>
      </c>
      <c r="AI186">
        <f t="shared" si="180"/>
        <v>0.49393534321399313</v>
      </c>
      <c r="AJ186" t="str">
        <f t="shared" si="162"/>
        <v>1+0.0113075290793451i</v>
      </c>
      <c r="AK186">
        <f t="shared" si="181"/>
        <v>1.0000639280635415</v>
      </c>
      <c r="AL186">
        <f t="shared" si="182"/>
        <v>1.1307047188617837E-2</v>
      </c>
      <c r="AM186" t="str">
        <f t="shared" si="163"/>
        <v>1-0.00137264821507157i</v>
      </c>
      <c r="AN186">
        <f t="shared" si="183"/>
        <v>1.0000009420811173</v>
      </c>
      <c r="AO186">
        <f t="shared" si="184"/>
        <v>-1.3726473529748289E-3</v>
      </c>
      <c r="AP186" s="41" t="str">
        <f t="shared" si="185"/>
        <v>54.2084059836436-28.4977291418618i</v>
      </c>
      <c r="AQ186">
        <f t="shared" si="186"/>
        <v>35.74109068440336</v>
      </c>
      <c r="AR186" s="43">
        <f t="shared" si="187"/>
        <v>-27.731211335929768</v>
      </c>
      <c r="AS186" t="str">
        <f t="shared" si="164"/>
        <v>-0.0000166666666666667</v>
      </c>
      <c r="AT186" t="str">
        <f t="shared" si="165"/>
        <v>0.0000102248933164291i</v>
      </c>
      <c r="AU186">
        <f t="shared" si="188"/>
        <v>1.02248933164291E-5</v>
      </c>
      <c r="AV186">
        <f t="shared" si="189"/>
        <v>1.5707963267948966</v>
      </c>
      <c r="AW186" t="str">
        <f t="shared" si="166"/>
        <v>1+0.0103911805087724i</v>
      </c>
      <c r="AX186">
        <f t="shared" si="190"/>
        <v>1.0000539868588925</v>
      </c>
      <c r="AY186">
        <f t="shared" si="191"/>
        <v>1.0390806531441374E-2</v>
      </c>
      <c r="AZ186" t="str">
        <f t="shared" si="167"/>
        <v>1+0.353300137298261i</v>
      </c>
      <c r="BA186">
        <f t="shared" si="192"/>
        <v>1.0605757808921388</v>
      </c>
      <c r="BB186">
        <f t="shared" si="193"/>
        <v>0.3396117774996994</v>
      </c>
      <c r="BC186" s="41" t="str">
        <f t="shared" si="194"/>
        <v>-0.558884290234658+1.63581632444625i</v>
      </c>
      <c r="BD186">
        <f t="shared" si="195"/>
        <v>4.7541644816621602</v>
      </c>
      <c r="BE186" s="43">
        <f t="shared" si="196"/>
        <v>108.86297216368011</v>
      </c>
      <c r="BF186" s="41" t="str">
        <f t="shared" si="197"/>
        <v>7.14627885084204+26.4221905070525i</v>
      </c>
      <c r="BG186" s="20">
        <f t="shared" si="198"/>
        <v>28.745986107449912</v>
      </c>
      <c r="BH186" s="43">
        <f t="shared" si="199"/>
        <v>74.865593306064895</v>
      </c>
      <c r="BI186" s="41" t="str">
        <f t="shared" si="203"/>
        <v>16.3208240369843+104.601928555003i</v>
      </c>
      <c r="BJ186" s="20">
        <f t="shared" si="200"/>
        <v>40.495255166065519</v>
      </c>
      <c r="BK186" s="43">
        <f t="shared" si="204"/>
        <v>81.131760827750384</v>
      </c>
      <c r="BL186">
        <f t="shared" si="201"/>
        <v>28.745986107449912</v>
      </c>
      <c r="BM186" s="43">
        <f t="shared" si="202"/>
        <v>74.865593306064895</v>
      </c>
    </row>
    <row r="187" spans="14:65" x14ac:dyDescent="0.25">
      <c r="N187" s="9">
        <v>69</v>
      </c>
      <c r="O187" s="34">
        <f t="shared" si="205"/>
        <v>489.77881936844625</v>
      </c>
      <c r="P187" s="33" t="str">
        <f t="shared" si="155"/>
        <v>19.1021967526266</v>
      </c>
      <c r="Q187" s="4" t="str">
        <f t="shared" si="156"/>
        <v>1+0.6907184376137i</v>
      </c>
      <c r="R187" s="4">
        <f t="shared" si="168"/>
        <v>1.2153567213207448</v>
      </c>
      <c r="S187" s="4">
        <f t="shared" si="169"/>
        <v>0.60446952819102528</v>
      </c>
      <c r="T187" s="4" t="str">
        <f t="shared" si="157"/>
        <v>1+0.0115709152669047i</v>
      </c>
      <c r="U187" s="4">
        <f t="shared" si="170"/>
        <v>1.0000669407995215</v>
      </c>
      <c r="V187" s="4">
        <f t="shared" si="171"/>
        <v>1.157039891355411E-2</v>
      </c>
      <c r="W187" t="str">
        <f t="shared" si="158"/>
        <v>1-0.00641118975338248i</v>
      </c>
      <c r="X187" s="4">
        <f t="shared" si="172"/>
        <v>1.0000205514658456</v>
      </c>
      <c r="Y187" s="4">
        <f t="shared" si="173"/>
        <v>-6.4111019150812926E-3</v>
      </c>
      <c r="Z187" t="str">
        <f t="shared" si="159"/>
        <v>0.999999760116708+0.00476992517651656i</v>
      </c>
      <c r="AA187" s="4">
        <f t="shared" si="174"/>
        <v>1.0000111361478248</v>
      </c>
      <c r="AB187" s="4">
        <f t="shared" si="175"/>
        <v>4.7698901458014141E-3</v>
      </c>
      <c r="AC187" s="47" t="str">
        <f t="shared" si="176"/>
        <v>12.9367654282792-8.92822331028653i</v>
      </c>
      <c r="AD187" s="20">
        <f t="shared" si="177"/>
        <v>23.92825413731353</v>
      </c>
      <c r="AE187" s="43">
        <f t="shared" si="178"/>
        <v>-34.611241440438434</v>
      </c>
      <c r="AF187" t="str">
        <f t="shared" si="160"/>
        <v>69.5520360182888</v>
      </c>
      <c r="AG187" t="str">
        <f t="shared" si="161"/>
        <v>1+0.5509959650907i</v>
      </c>
      <c r="AH187">
        <f t="shared" si="179"/>
        <v>1.1417515288127413</v>
      </c>
      <c r="AI187">
        <f t="shared" si="180"/>
        <v>0.50360754582902501</v>
      </c>
      <c r="AJ187" t="str">
        <f t="shared" si="162"/>
        <v>1+0.0115709152669047i</v>
      </c>
      <c r="AK187">
        <f t="shared" si="181"/>
        <v>1.0000669407995215</v>
      </c>
      <c r="AL187">
        <f t="shared" si="182"/>
        <v>1.157039891355411E-2</v>
      </c>
      <c r="AM187" t="str">
        <f t="shared" si="163"/>
        <v>1-0.00140462129934943i</v>
      </c>
      <c r="AN187">
        <f t="shared" si="183"/>
        <v>1.0000009864800108</v>
      </c>
      <c r="AO187">
        <f t="shared" si="184"/>
        <v>-1.4046203755961782E-3</v>
      </c>
      <c r="AP187" s="41" t="str">
        <f t="shared" si="185"/>
        <v>53.6536921779068-28.8558814580412i</v>
      </c>
      <c r="AQ187">
        <f t="shared" si="186"/>
        <v>35.695354908357764</v>
      </c>
      <c r="AR187" s="43">
        <f t="shared" si="187"/>
        <v>-28.272130701254671</v>
      </c>
      <c r="AS187" t="str">
        <f t="shared" si="164"/>
        <v>-0.0000166666666666667</v>
      </c>
      <c r="AT187" t="str">
        <f t="shared" si="165"/>
        <v>0.0000104630616775202i</v>
      </c>
      <c r="AU187">
        <f t="shared" si="188"/>
        <v>1.0463061677520201E-5</v>
      </c>
      <c r="AV187">
        <f t="shared" si="189"/>
        <v>1.5707963267948966</v>
      </c>
      <c r="AW187" t="str">
        <f t="shared" si="166"/>
        <v>1+0.0106332221961512i</v>
      </c>
      <c r="AX187">
        <f t="shared" si="190"/>
        <v>1.0000565311092533</v>
      </c>
      <c r="AY187">
        <f t="shared" si="191"/>
        <v>1.0632821473444689E-2</v>
      </c>
      <c r="AZ187" t="str">
        <f t="shared" si="167"/>
        <v>1+0.361529554669139i</v>
      </c>
      <c r="BA187">
        <f t="shared" si="192"/>
        <v>1.0633454842614727</v>
      </c>
      <c r="BB187">
        <f t="shared" si="193"/>
        <v>0.34690898753608979</v>
      </c>
      <c r="BC187" s="41" t="str">
        <f t="shared" si="194"/>
        <v>-0.558881446515921+1.59884803605526i</v>
      </c>
      <c r="BD187">
        <f t="shared" si="195"/>
        <v>4.5767960968482013</v>
      </c>
      <c r="BE187" s="43">
        <f t="shared" si="196"/>
        <v>109.26720506622995</v>
      </c>
      <c r="BF187" s="41" t="str">
        <f t="shared" si="197"/>
        <v>7.04475412932057+25.6737403563819i</v>
      </c>
      <c r="BG187" s="20">
        <f t="shared" si="198"/>
        <v>28.505050234161736</v>
      </c>
      <c r="BH187" s="43">
        <f t="shared" si="199"/>
        <v>74.655963625791529</v>
      </c>
      <c r="BI187" s="41" t="str">
        <f t="shared" si="203"/>
        <v>16.1501163025241+101.911117135522i</v>
      </c>
      <c r="BJ187" s="20">
        <f t="shared" si="200"/>
        <v>40.272151005205991</v>
      </c>
      <c r="BK187" s="43">
        <f t="shared" si="204"/>
        <v>80.995074364975295</v>
      </c>
      <c r="BL187">
        <f t="shared" si="201"/>
        <v>28.505050234161736</v>
      </c>
      <c r="BM187" s="43">
        <f t="shared" si="202"/>
        <v>74.655963625791529</v>
      </c>
    </row>
    <row r="188" spans="14:65" x14ac:dyDescent="0.25">
      <c r="N188" s="9">
        <v>70</v>
      </c>
      <c r="O188" s="34">
        <f t="shared" si="205"/>
        <v>501.18723362727269</v>
      </c>
      <c r="P188" s="33" t="str">
        <f t="shared" si="155"/>
        <v>19.1021967526266</v>
      </c>
      <c r="Q188" s="4" t="str">
        <f t="shared" si="156"/>
        <v>1+0.706807336849209i</v>
      </c>
      <c r="R188" s="4">
        <f t="shared" si="168"/>
        <v>1.2245720115305068</v>
      </c>
      <c r="S188" s="4">
        <f t="shared" si="169"/>
        <v>0.61528005093124483</v>
      </c>
      <c r="T188" s="4" t="str">
        <f t="shared" si="157"/>
        <v>1+0.0118404365068979i</v>
      </c>
      <c r="U188" s="4">
        <f t="shared" si="170"/>
        <v>1.0000700955116466</v>
      </c>
      <c r="V188" s="4">
        <f t="shared" si="171"/>
        <v>1.1839883226408856E-2</v>
      </c>
      <c r="W188" t="str">
        <f t="shared" si="158"/>
        <v>1-0.00656052554681846i</v>
      </c>
      <c r="X188" s="4">
        <f t="shared" si="172"/>
        <v>1.0000215200161697</v>
      </c>
      <c r="Y188" s="4">
        <f t="shared" si="173"/>
        <v>-6.5604314264923885E-3</v>
      </c>
      <c r="Z188" t="str">
        <f t="shared" si="159"/>
        <v>0.999999748811357+0.00488103100683293i</v>
      </c>
      <c r="AA188" s="4">
        <f t="shared" si="174"/>
        <v>1.0000116609752441</v>
      </c>
      <c r="AB188" s="4">
        <f t="shared" si="175"/>
        <v>4.8809934707690107E-3</v>
      </c>
      <c r="AC188" s="47" t="str">
        <f t="shared" si="176"/>
        <v>12.7429986926027-8.99923293161894i</v>
      </c>
      <c r="AD188" s="20">
        <f t="shared" si="177"/>
        <v>23.862674151323692</v>
      </c>
      <c r="AE188" s="43">
        <f t="shared" si="178"/>
        <v>-35.230120156382561</v>
      </c>
      <c r="AF188" t="str">
        <f t="shared" si="160"/>
        <v>69.5520360182888</v>
      </c>
      <c r="AG188" t="str">
        <f t="shared" si="161"/>
        <v>1+0.563830309852284i</v>
      </c>
      <c r="AH188">
        <f t="shared" si="179"/>
        <v>1.1480002692979312</v>
      </c>
      <c r="AI188">
        <f t="shared" si="180"/>
        <v>0.51339944763580958</v>
      </c>
      <c r="AJ188" t="str">
        <f t="shared" si="162"/>
        <v>1+0.0118404365068979i</v>
      </c>
      <c r="AK188">
        <f t="shared" si="181"/>
        <v>1.0000700955116466</v>
      </c>
      <c r="AL188">
        <f t="shared" si="182"/>
        <v>1.1839883226408856E-2</v>
      </c>
      <c r="AM188" t="str">
        <f t="shared" si="163"/>
        <v>1-0.00143733913243256i</v>
      </c>
      <c r="AN188">
        <f t="shared" si="183"/>
        <v>1.0000010329713573</v>
      </c>
      <c r="AO188">
        <f t="shared" si="184"/>
        <v>-1.4373381426131728E-3</v>
      </c>
      <c r="AP188" s="41" t="str">
        <f t="shared" si="185"/>
        <v>53.0851640377041-29.2074678846474i</v>
      </c>
      <c r="AQ188">
        <f t="shared" si="186"/>
        <v>35.6479749490559</v>
      </c>
      <c r="AR188" s="43">
        <f t="shared" si="187"/>
        <v>-28.819599624383507</v>
      </c>
      <c r="AS188" t="str">
        <f t="shared" si="164"/>
        <v>-0.0000166666666666667</v>
      </c>
      <c r="AT188" t="str">
        <f t="shared" si="165"/>
        <v>0.0000107067776924077i</v>
      </c>
      <c r="AU188">
        <f t="shared" si="188"/>
        <v>1.07067776924077E-5</v>
      </c>
      <c r="AV188">
        <f t="shared" si="189"/>
        <v>1.5707963267948966</v>
      </c>
      <c r="AW188" t="str">
        <f t="shared" si="166"/>
        <v>1+0.0108809017586856i</v>
      </c>
      <c r="AX188">
        <f t="shared" si="190"/>
        <v>1.0000591952595017</v>
      </c>
      <c r="AY188">
        <f t="shared" si="191"/>
        <v>1.0880472377942199E-2</v>
      </c>
      <c r="AZ188" t="str">
        <f t="shared" si="167"/>
        <v>1+0.369950659795311i</v>
      </c>
      <c r="BA188">
        <f t="shared" si="192"/>
        <v>1.0662380084591743</v>
      </c>
      <c r="BB188">
        <f t="shared" si="193"/>
        <v>0.35433651953072465</v>
      </c>
      <c r="BC188" s="41" t="str">
        <f t="shared" si="194"/>
        <v>-0.558878468807866+1.56272747520569i</v>
      </c>
      <c r="BD188">
        <f t="shared" si="195"/>
        <v>4.4003683334746988</v>
      </c>
      <c r="BE188" s="43">
        <f t="shared" si="196"/>
        <v>109.67858195010068</v>
      </c>
      <c r="BF188" s="41" t="str">
        <f t="shared" si="197"/>
        <v>6.94156096067433+24.9433116947089i</v>
      </c>
      <c r="BG188" s="20">
        <f t="shared" si="198"/>
        <v>28.263042484798376</v>
      </c>
      <c r="BH188" s="43">
        <f t="shared" si="199"/>
        <v>74.44846179371811</v>
      </c>
      <c r="BI188" s="41" t="str">
        <f t="shared" si="203"/>
        <v>15.9751573507199+99.2810692966479i</v>
      </c>
      <c r="BJ188" s="20">
        <f t="shared" si="200"/>
        <v>40.048343282530602</v>
      </c>
      <c r="BK188" s="43">
        <f t="shared" si="204"/>
        <v>80.858982325717164</v>
      </c>
      <c r="BL188">
        <f t="shared" si="201"/>
        <v>28.263042484798376</v>
      </c>
      <c r="BM188" s="43">
        <f t="shared" si="202"/>
        <v>74.44846179371811</v>
      </c>
    </row>
    <row r="189" spans="14:65" x14ac:dyDescent="0.25">
      <c r="N189" s="9">
        <v>71</v>
      </c>
      <c r="O189" s="34">
        <f t="shared" si="205"/>
        <v>512.86138399136519</v>
      </c>
      <c r="P189" s="33" t="str">
        <f t="shared" si="155"/>
        <v>19.1021967526266</v>
      </c>
      <c r="Q189" s="4" t="str">
        <f t="shared" si="156"/>
        <v>1+0.723270994690418i</v>
      </c>
      <c r="R189" s="4">
        <f t="shared" si="168"/>
        <v>1.2341478565230612</v>
      </c>
      <c r="S189" s="4">
        <f t="shared" si="169"/>
        <v>0.62617395131097964</v>
      </c>
      <c r="T189" s="4" t="str">
        <f t="shared" si="157"/>
        <v>1+0.0121162357030539i</v>
      </c>
      <c r="U189" s="4">
        <f t="shared" si="170"/>
        <v>1.0000733988901074</v>
      </c>
      <c r="V189" s="4">
        <f t="shared" si="171"/>
        <v>1.2115642854678654E-2</v>
      </c>
      <c r="W189" t="str">
        <f t="shared" si="158"/>
        <v>1-0.00671333981773819i</v>
      </c>
      <c r="X189" s="4">
        <f t="shared" si="172"/>
        <v>1.0000225342118587</v>
      </c>
      <c r="Y189" s="4">
        <f t="shared" si="173"/>
        <v>-6.7132389661145285E-3</v>
      </c>
      <c r="Z189" t="str">
        <f t="shared" si="159"/>
        <v>0.999999736973201+0.00499472482439721i</v>
      </c>
      <c r="AA189" s="4">
        <f t="shared" si="174"/>
        <v>1.0000122105367226</v>
      </c>
      <c r="AB189" s="4">
        <f t="shared" si="175"/>
        <v>4.9946846038065986E-3</v>
      </c>
      <c r="AC189" s="47" t="str">
        <f t="shared" si="176"/>
        <v>12.5462316292904-9.06653644428755i</v>
      </c>
      <c r="AD189" s="20">
        <f t="shared" si="177"/>
        <v>23.795049594366112</v>
      </c>
      <c r="AE189" s="43">
        <f t="shared" si="178"/>
        <v>-35.853764056906734</v>
      </c>
      <c r="AF189" t="str">
        <f t="shared" si="160"/>
        <v>69.5520360182888</v>
      </c>
      <c r="AG189" t="str">
        <f t="shared" si="161"/>
        <v>1+0.576963604907328i</v>
      </c>
      <c r="AH189">
        <f t="shared" si="179"/>
        <v>1.1545072548007913</v>
      </c>
      <c r="AI189">
        <f t="shared" si="180"/>
        <v>0.52330872883201951</v>
      </c>
      <c r="AJ189" t="str">
        <f t="shared" si="162"/>
        <v>1+0.0121162357030539i</v>
      </c>
      <c r="AK189">
        <f t="shared" si="181"/>
        <v>1.0000733988901074</v>
      </c>
      <c r="AL189">
        <f t="shared" si="182"/>
        <v>1.2115642854678654E-2</v>
      </c>
      <c r="AM189" t="str">
        <f t="shared" si="163"/>
        <v>1-0.00147081906174913i</v>
      </c>
      <c r="AN189">
        <f t="shared" si="183"/>
        <v>1.0000010816537712</v>
      </c>
      <c r="AO189">
        <f t="shared" si="184"/>
        <v>-1.4708180011386099E-3</v>
      </c>
      <c r="AP189" s="41" t="str">
        <f t="shared" si="185"/>
        <v>52.5029243080219-29.5518660752672i</v>
      </c>
      <c r="AQ189">
        <f t="shared" si="186"/>
        <v>35.598910534961334</v>
      </c>
      <c r="AR189" s="43">
        <f t="shared" si="187"/>
        <v>-29.373478006666982</v>
      </c>
      <c r="AS189" t="str">
        <f t="shared" si="164"/>
        <v>-0.0000166666666666667</v>
      </c>
      <c r="AT189" t="str">
        <f t="shared" si="165"/>
        <v>0.0000109561705825487i</v>
      </c>
      <c r="AU189">
        <f t="shared" si="188"/>
        <v>1.09561705825487E-5</v>
      </c>
      <c r="AV189">
        <f t="shared" si="189"/>
        <v>1.5707963267948966</v>
      </c>
      <c r="AW189" t="str">
        <f t="shared" si="166"/>
        <v>1+0.0111343505193583i</v>
      </c>
      <c r="AX189">
        <f t="shared" si="190"/>
        <v>1.0000619849596764</v>
      </c>
      <c r="AY189">
        <f t="shared" si="191"/>
        <v>1.11338904311426E-2</v>
      </c>
      <c r="AZ189" t="str">
        <f t="shared" si="167"/>
        <v>1+0.378567917658183i</v>
      </c>
      <c r="BA189">
        <f t="shared" si="192"/>
        <v>1.0692584665458829</v>
      </c>
      <c r="BB189">
        <f t="shared" si="193"/>
        <v>0.36189503257046668</v>
      </c>
      <c r="BC189" s="41" t="str">
        <f t="shared" si="194"/>
        <v>-0.558875350798761+1.52743549009425i</v>
      </c>
      <c r="BD189">
        <f t="shared" si="195"/>
        <v>4.224914861487866</v>
      </c>
      <c r="BE189" s="43">
        <f t="shared" si="196"/>
        <v>110.09713306177163</v>
      </c>
      <c r="BF189" s="41" t="str">
        <f t="shared" si="197"/>
        <v>6.83676993421555+24.2306231933521i</v>
      </c>
      <c r="BG189" s="20">
        <f t="shared" si="198"/>
        <v>28.019964455853973</v>
      </c>
      <c r="BH189" s="43">
        <f t="shared" si="199"/>
        <v>74.243369004864903</v>
      </c>
      <c r="BI189" s="41" t="str">
        <f t="shared" si="203"/>
        <v>15.7959788012689+96.7106394413777i</v>
      </c>
      <c r="BJ189" s="20">
        <f t="shared" si="200"/>
        <v>39.823825396449195</v>
      </c>
      <c r="BK189" s="43">
        <f t="shared" si="204"/>
        <v>80.723655055104629</v>
      </c>
      <c r="BL189">
        <f t="shared" si="201"/>
        <v>28.019964455853973</v>
      </c>
      <c r="BM189" s="43">
        <f t="shared" si="202"/>
        <v>74.243369004864903</v>
      </c>
    </row>
    <row r="190" spans="14:65" x14ac:dyDescent="0.25">
      <c r="N190" s="9">
        <v>72</v>
      </c>
      <c r="O190" s="34">
        <f t="shared" si="205"/>
        <v>524.80746024977248</v>
      </c>
      <c r="P190" s="33" t="str">
        <f t="shared" si="155"/>
        <v>19.1021967526266</v>
      </c>
      <c r="Q190" s="4" t="str">
        <f t="shared" si="156"/>
        <v>1+0.740118140386636i</v>
      </c>
      <c r="R190" s="4">
        <f t="shared" si="168"/>
        <v>1.2440960018139164</v>
      </c>
      <c r="S190" s="4">
        <f t="shared" si="169"/>
        <v>0.63714666276821141</v>
      </c>
      <c r="T190" s="4" t="str">
        <f t="shared" si="157"/>
        <v>1+0.0123984590877569i</v>
      </c>
      <c r="U190" s="4">
        <f t="shared" si="170"/>
        <v>1.0000768579403039</v>
      </c>
      <c r="V190" s="4">
        <f t="shared" si="171"/>
        <v>1.2397823841914438E-2</v>
      </c>
      <c r="W190" t="str">
        <f t="shared" si="158"/>
        <v>1-0.00686971359029085i</v>
      </c>
      <c r="X190" s="4">
        <f t="shared" si="172"/>
        <v>1.0000235962040158</v>
      </c>
      <c r="Y190" s="4">
        <f t="shared" si="173"/>
        <v>-6.8696055259668456E-3</v>
      </c>
      <c r="Z190" t="str">
        <f t="shared" si="159"/>
        <v>0.99999972457713+0.00511106691117639i</v>
      </c>
      <c r="AA190" s="4">
        <f t="shared" si="174"/>
        <v>1.0000127859979124</v>
      </c>
      <c r="AB190" s="4">
        <f t="shared" si="175"/>
        <v>5.1110238140668375E-3</v>
      </c>
      <c r="AC190" s="47" t="str">
        <f t="shared" si="176"/>
        <v>12.3466073740605-9.12997805988373i</v>
      </c>
      <c r="AD190" s="20">
        <f t="shared" si="177"/>
        <v>23.725349840553896</v>
      </c>
      <c r="AE190" s="43">
        <f t="shared" si="178"/>
        <v>-36.481911223269897</v>
      </c>
      <c r="AF190" t="str">
        <f t="shared" si="160"/>
        <v>69.5520360182888</v>
      </c>
      <c r="AG190" t="str">
        <f t="shared" si="161"/>
        <v>1+0.590402813702712i</v>
      </c>
      <c r="AH190">
        <f t="shared" si="179"/>
        <v>1.1612818273046726</v>
      </c>
      <c r="AI190">
        <f t="shared" si="180"/>
        <v>0.53333285855681134</v>
      </c>
      <c r="AJ190" t="str">
        <f t="shared" si="162"/>
        <v>1+0.0123984590877569i</v>
      </c>
      <c r="AK190">
        <f t="shared" si="181"/>
        <v>1.0000768579403039</v>
      </c>
      <c r="AL190">
        <f t="shared" si="182"/>
        <v>1.2397823841914438E-2</v>
      </c>
      <c r="AM190" t="str">
        <f t="shared" si="163"/>
        <v>1-0.00150507883880084i</v>
      </c>
      <c r="AN190">
        <f t="shared" si="183"/>
        <v>1.000001132630514</v>
      </c>
      <c r="AO190">
        <f t="shared" si="184"/>
        <v>-1.5050777023362617E-3</v>
      </c>
      <c r="AP190" s="41" t="str">
        <f t="shared" si="185"/>
        <v>51.9071105097346-29.8884473206886i</v>
      </c>
      <c r="AQ190">
        <f t="shared" si="186"/>
        <v>35.548121748977749</v>
      </c>
      <c r="AR190" s="43">
        <f t="shared" si="187"/>
        <v>-29.933613489847723</v>
      </c>
      <c r="AS190" t="str">
        <f t="shared" si="164"/>
        <v>-0.0000166666666666667</v>
      </c>
      <c r="AT190" t="str">
        <f t="shared" si="165"/>
        <v>0.0000112113725793547i</v>
      </c>
      <c r="AU190">
        <f t="shared" si="188"/>
        <v>1.1211372579354701E-5</v>
      </c>
      <c r="AV190">
        <f t="shared" si="189"/>
        <v>1.5707963267948966</v>
      </c>
      <c r="AW190" t="str">
        <f t="shared" si="166"/>
        <v>1+0.011393702860057i</v>
      </c>
      <c r="AX190">
        <f t="shared" si="190"/>
        <v>1.0000649061260292</v>
      </c>
      <c r="AY190">
        <f t="shared" si="191"/>
        <v>1.1393209868379828E-2</v>
      </c>
      <c r="AZ190" t="str">
        <f t="shared" si="167"/>
        <v>1+0.387385897241937i</v>
      </c>
      <c r="BA190">
        <f t="shared" si="192"/>
        <v>1.072412156487393</v>
      </c>
      <c r="BB190">
        <f t="shared" si="193"/>
        <v>0.36958507867124535</v>
      </c>
      <c r="BC190" s="41" t="str">
        <f t="shared" si="194"/>
        <v>-0.558872085879701+1.49295336822487i</v>
      </c>
      <c r="BD190">
        <f t="shared" si="195"/>
        <v>4.0504701021352414</v>
      </c>
      <c r="BE190" s="43">
        <f t="shared" si="196"/>
        <v>110.52288233830795</v>
      </c>
      <c r="BF190" s="41" t="str">
        <f t="shared" si="197"/>
        <v>6.73045727964369+23.5353989476168i</v>
      </c>
      <c r="BG190" s="20">
        <f t="shared" si="198"/>
        <v>27.775819942689154</v>
      </c>
      <c r="BH190" s="43">
        <f t="shared" si="199"/>
        <v>74.040971115038076</v>
      </c>
      <c r="BI190" s="41" t="str">
        <f t="shared" si="203"/>
        <v>15.6126229758701+94.1987143681476i</v>
      </c>
      <c r="BJ190" s="20">
        <f t="shared" si="200"/>
        <v>39.598591851112992</v>
      </c>
      <c r="BK190" s="43">
        <f t="shared" si="204"/>
        <v>80.58926884846025</v>
      </c>
      <c r="BL190">
        <f t="shared" si="201"/>
        <v>27.775819942689154</v>
      </c>
      <c r="BM190" s="43">
        <f t="shared" si="202"/>
        <v>74.040971115038076</v>
      </c>
    </row>
    <row r="191" spans="14:65" x14ac:dyDescent="0.25">
      <c r="N191" s="9">
        <v>73</v>
      </c>
      <c r="O191" s="34">
        <f t="shared" si="205"/>
        <v>537.03179637025301</v>
      </c>
      <c r="P191" s="33" t="str">
        <f t="shared" si="155"/>
        <v>19.1021967526266</v>
      </c>
      <c r="Q191" s="4" t="str">
        <f t="shared" si="156"/>
        <v>1+0.757357706517507i</v>
      </c>
      <c r="R191" s="4">
        <f t="shared" si="168"/>
        <v>1.25442843383808</v>
      </c>
      <c r="S191" s="4">
        <f t="shared" si="169"/>
        <v>0.64819343452145528</v>
      </c>
      <c r="T191" s="4" t="str">
        <f t="shared" si="157"/>
        <v>1+0.0126872562995813i</v>
      </c>
      <c r="U191" s="4">
        <f t="shared" si="170"/>
        <v>1.0000804799976906</v>
      </c>
      <c r="V191" s="4">
        <f t="shared" si="171"/>
        <v>1.2686575624355918E-2</v>
      </c>
      <c r="W191" t="str">
        <f t="shared" si="158"/>
        <v>1-0.00702972977592048i</v>
      </c>
      <c r="X191" s="4">
        <f t="shared" si="172"/>
        <v>1.0000247082451126</v>
      </c>
      <c r="Y191" s="4">
        <f t="shared" si="173"/>
        <v>-7.029613983065619E-3</v>
      </c>
      <c r="Z191" t="str">
        <f t="shared" si="159"/>
        <v>0.99999971159685+0.00523011895328483i</v>
      </c>
      <c r="AA191" s="4">
        <f t="shared" si="174"/>
        <v>1.0000133885793974</v>
      </c>
      <c r="AB191" s="4">
        <f t="shared" si="175"/>
        <v>5.2300727739333338E-3</v>
      </c>
      <c r="AC191" s="47" t="str">
        <f t="shared" si="176"/>
        <v>12.144279390115-9.18940832272936i</v>
      </c>
      <c r="AD191" s="20">
        <f t="shared" si="177"/>
        <v>23.653545821364727</v>
      </c>
      <c r="AE191" s="43">
        <f t="shared" si="178"/>
        <v>-37.114289175748304</v>
      </c>
      <c r="AF191" t="str">
        <f t="shared" si="160"/>
        <v>69.5520360182888</v>
      </c>
      <c r="AG191" t="str">
        <f t="shared" si="161"/>
        <v>1+0.604155061884823i</v>
      </c>
      <c r="AH191">
        <f t="shared" si="179"/>
        <v>1.168333573428862</v>
      </c>
      <c r="AI191">
        <f t="shared" si="180"/>
        <v>0.54346909310582536</v>
      </c>
      <c r="AJ191" t="str">
        <f t="shared" si="162"/>
        <v>1+0.0126872562995813i</v>
      </c>
      <c r="AK191">
        <f t="shared" si="181"/>
        <v>1.0000804799976906</v>
      </c>
      <c r="AL191">
        <f t="shared" si="182"/>
        <v>1.2686575624355918E-2</v>
      </c>
      <c r="AM191" t="str">
        <f t="shared" si="163"/>
        <v>1-0.00154013662857496i</v>
      </c>
      <c r="AN191">
        <f t="shared" si="183"/>
        <v>1.000001186009714</v>
      </c>
      <c r="AO191">
        <f t="shared" si="184"/>
        <v>-1.5401354108313028E-3</v>
      </c>
      <c r="AP191" s="41" t="str">
        <f t="shared" si="185"/>
        <v>51.2978960880214-30.2165787167618i</v>
      </c>
      <c r="AQ191">
        <f t="shared" si="186"/>
        <v>35.495569132180698</v>
      </c>
      <c r="AR191" s="43">
        <f t="shared" si="187"/>
        <v>-30.499841349936329</v>
      </c>
      <c r="AS191" t="str">
        <f t="shared" si="164"/>
        <v>-0.0000166666666666667</v>
      </c>
      <c r="AT191" t="str">
        <f t="shared" si="165"/>
        <v>0.0000114725189943022i</v>
      </c>
      <c r="AU191">
        <f t="shared" si="188"/>
        <v>1.14725189943022E-5</v>
      </c>
      <c r="AV191">
        <f t="shared" si="189"/>
        <v>1.5707963267948966</v>
      </c>
      <c r="AW191" t="str">
        <f t="shared" si="166"/>
        <v>1+0.0116590962928255i</v>
      </c>
      <c r="AX191">
        <f t="shared" si="190"/>
        <v>1.0000679649535653</v>
      </c>
      <c r="AY191">
        <f t="shared" si="191"/>
        <v>1.1658568044664992E-2</v>
      </c>
      <c r="AZ191" t="str">
        <f t="shared" si="167"/>
        <v>1+0.396409273956066i</v>
      </c>
      <c r="BA191">
        <f t="shared" si="192"/>
        <v>1.0757045656119413</v>
      </c>
      <c r="BB191">
        <f t="shared" si="193"/>
        <v>0.37740709606526307</v>
      </c>
      <c r="BC191" s="41" t="str">
        <f t="shared" si="194"/>
        <v>-0.558868667130636+1.45926282648615i</v>
      </c>
      <c r="BD191">
        <f t="shared" si="195"/>
        <v>3.8770692063889216</v>
      </c>
      <c r="BE191" s="43">
        <f t="shared" si="196"/>
        <v>110.9558470187026</v>
      </c>
      <c r="BF191" s="41" t="str">
        <f t="shared" si="197"/>
        <v>6.62270472674577+22.8573678494996i</v>
      </c>
      <c r="BG191" s="20">
        <f t="shared" si="198"/>
        <v>27.530615027753633</v>
      </c>
      <c r="BH191" s="43">
        <f t="shared" si="199"/>
        <v>73.841557842954288</v>
      </c>
      <c r="BI191" s="41" t="str">
        <f t="shared" si="203"/>
        <v>15.4251432516447+91.7442119108835i</v>
      </c>
      <c r="BJ191" s="20">
        <f t="shared" si="200"/>
        <v>39.372638338569615</v>
      </c>
      <c r="BK191" s="43">
        <f t="shared" si="204"/>
        <v>80.456005668766267</v>
      </c>
      <c r="BL191">
        <f t="shared" si="201"/>
        <v>27.530615027753633</v>
      </c>
      <c r="BM191" s="43">
        <f t="shared" si="202"/>
        <v>73.841557842954288</v>
      </c>
    </row>
    <row r="192" spans="14:65" x14ac:dyDescent="0.25">
      <c r="N192" s="9">
        <v>74</v>
      </c>
      <c r="O192" s="34">
        <f t="shared" si="205"/>
        <v>549.54087385762534</v>
      </c>
      <c r="P192" s="33" t="str">
        <f t="shared" si="155"/>
        <v>19.1021967526266</v>
      </c>
      <c r="Q192" s="4" t="str">
        <f t="shared" si="156"/>
        <v>1+0.77499883372919i</v>
      </c>
      <c r="R192" s="4">
        <f t="shared" si="168"/>
        <v>1.2651573784638828</v>
      </c>
      <c r="S192" s="4">
        <f t="shared" si="169"/>
        <v>0.65930933969781302</v>
      </c>
      <c r="T192" s="4" t="str">
        <f t="shared" si="157"/>
        <v>1+0.0129827804626314i</v>
      </c>
      <c r="U192" s="4">
        <f t="shared" si="170"/>
        <v>1.0000842727433228</v>
      </c>
      <c r="V192" s="4">
        <f t="shared" si="171"/>
        <v>1.2982051109306135E-2</v>
      </c>
      <c r="W192" t="str">
        <f t="shared" si="158"/>
        <v>1-0.00719347321732679i</v>
      </c>
      <c r="X192" s="4">
        <f t="shared" si="172"/>
        <v>1.0000258726937661</v>
      </c>
      <c r="Y192" s="4">
        <f t="shared" si="173"/>
        <v>-7.1933491432207694E-3</v>
      </c>
      <c r="Z192" t="str">
        <f t="shared" si="159"/>
        <v>0.999999698004828+0.00535194407369113i</v>
      </c>
      <c r="AA192" s="4">
        <f t="shared" si="174"/>
        <v>1.0000140195592835</v>
      </c>
      <c r="AB192" s="4">
        <f t="shared" si="175"/>
        <v>5.351894591661961E-3</v>
      </c>
      <c r="AC192" s="47" t="str">
        <f t="shared" si="176"/>
        <v>11.9394111306625-9.24468491945346i</v>
      </c>
      <c r="AD192" s="20">
        <f t="shared" si="177"/>
        <v>23.579610132298889</v>
      </c>
      <c r="AE192" s="43">
        <f t="shared" si="178"/>
        <v>-37.75061533922706</v>
      </c>
      <c r="AF192" t="str">
        <f t="shared" si="160"/>
        <v>69.5520360182888</v>
      </c>
      <c r="AG192" t="str">
        <f t="shared" si="161"/>
        <v>1+0.618227641077686i</v>
      </c>
      <c r="AH192">
        <f t="shared" si="179"/>
        <v>1.1756723251792909</v>
      </c>
      <c r="AI192">
        <f t="shared" si="180"/>
        <v>0.55371447490231795</v>
      </c>
      <c r="AJ192" t="str">
        <f t="shared" si="162"/>
        <v>1+0.0129827804626314i</v>
      </c>
      <c r="AK192">
        <f t="shared" si="181"/>
        <v>1.0000842727433228</v>
      </c>
      <c r="AL192">
        <f t="shared" si="182"/>
        <v>1.2982051109306135E-2</v>
      </c>
      <c r="AM192" t="str">
        <f t="shared" si="163"/>
        <v>1-0.00157601101917566i</v>
      </c>
      <c r="AN192">
        <f t="shared" si="183"/>
        <v>1.0000012419045952</v>
      </c>
      <c r="AO192">
        <f t="shared" si="184"/>
        <v>-1.5760097143399099E-3</v>
      </c>
      <c r="AP192" s="41" t="str">
        <f t="shared" si="185"/>
        <v>50.6754914144806-30.5356254784433i</v>
      </c>
      <c r="AQ192">
        <f t="shared" si="186"/>
        <v>35.441213790709568</v>
      </c>
      <c r="AR192" s="43">
        <f t="shared" si="187"/>
        <v>-31.071984434322275</v>
      </c>
      <c r="AS192" t="str">
        <f t="shared" si="164"/>
        <v>-0.0000166666666666667</v>
      </c>
      <c r="AT192" t="str">
        <f t="shared" si="165"/>
        <v>0.0000117397482906773i</v>
      </c>
      <c r="AU192">
        <f t="shared" si="188"/>
        <v>1.1739748290677299E-5</v>
      </c>
      <c r="AV192">
        <f t="shared" si="189"/>
        <v>1.5707963267948966</v>
      </c>
      <c r="AW192" t="str">
        <f t="shared" si="166"/>
        <v>1+0.0119306715327748i</v>
      </c>
      <c r="AX192">
        <f t="shared" si="190"/>
        <v>1.0000711679291745</v>
      </c>
      <c r="AY192">
        <f t="shared" si="191"/>
        <v>1.1930105506848324E-2</v>
      </c>
      <c r="AZ192" t="str">
        <f t="shared" si="167"/>
        <v>1+0.405642832114345i</v>
      </c>
      <c r="BA192">
        <f t="shared" si="192"/>
        <v>1.0791413750041032</v>
      </c>
      <c r="BB192">
        <f t="shared" si="193"/>
        <v>0.38536140240631017</v>
      </c>
      <c r="BC192" s="41" t="str">
        <f t="shared" si="194"/>
        <v>-0.558865087305719+1.42634600145614i</v>
      </c>
      <c r="BD192">
        <f t="shared" si="195"/>
        <v>3.7047480295187722</v>
      </c>
      <c r="BE192" s="43">
        <f t="shared" si="196"/>
        <v>111.39603725043597</v>
      </c>
      <c r="BF192" s="41" t="str">
        <f t="shared" si="197"/>
        <v>6.51359932566775+22.1962629705856i</v>
      </c>
      <c r="BG192" s="20">
        <f t="shared" si="198"/>
        <v>27.284358161817657</v>
      </c>
      <c r="BH192" s="43">
        <f t="shared" si="199"/>
        <v>73.645421911208913</v>
      </c>
      <c r="BI192" s="41" t="str">
        <f t="shared" si="203"/>
        <v>15.2336043695259+89.3460795498143i</v>
      </c>
      <c r="BJ192" s="20">
        <f t="shared" si="200"/>
        <v>39.145961820228344</v>
      </c>
      <c r="BK192" s="43">
        <f t="shared" si="204"/>
        <v>80.324052816113706</v>
      </c>
      <c r="BL192">
        <f t="shared" si="201"/>
        <v>27.284358161817657</v>
      </c>
      <c r="BM192" s="43">
        <f t="shared" si="202"/>
        <v>73.645421911208913</v>
      </c>
    </row>
    <row r="193" spans="14:65" x14ac:dyDescent="0.25">
      <c r="N193" s="9">
        <v>75</v>
      </c>
      <c r="O193" s="34">
        <f t="shared" si="205"/>
        <v>562.34132519034927</v>
      </c>
      <c r="P193" s="33" t="str">
        <f t="shared" si="155"/>
        <v>19.1021967526266</v>
      </c>
      <c r="Q193" s="4" t="str">
        <f t="shared" si="156"/>
        <v>1+0.793050875580837i</v>
      </c>
      <c r="R193" s="4">
        <f t="shared" si="168"/>
        <v>1.2762952993956893</v>
      </c>
      <c r="S193" s="4">
        <f t="shared" si="169"/>
        <v>0.67048928442711508</v>
      </c>
      <c r="T193" s="4" t="str">
        <f t="shared" si="157"/>
        <v>1+0.0132851882677302i</v>
      </c>
      <c r="U193" s="4">
        <f t="shared" si="170"/>
        <v>1.0000882442201333</v>
      </c>
      <c r="V193" s="4">
        <f t="shared" si="171"/>
        <v>1.3284406755286148E-2</v>
      </c>
      <c r="W193" t="str">
        <f t="shared" si="158"/>
        <v>1-0.00736103073344979i</v>
      </c>
      <c r="X193" s="4">
        <f t="shared" si="172"/>
        <v>1.0000270920197407</v>
      </c>
      <c r="Y193" s="4">
        <f t="shared" si="173"/>
        <v>-7.3608977858444329E-3</v>
      </c>
      <c r="Z193" t="str">
        <f t="shared" si="159"/>
        <v>0.999999683772234+0.00547660686568664i</v>
      </c>
      <c r="AA193" s="4">
        <f t="shared" si="174"/>
        <v>1.0000146802759096</v>
      </c>
      <c r="AB193" s="4">
        <f t="shared" si="175"/>
        <v>5.4765538447791558E-3</v>
      </c>
      <c r="AC193" s="47" t="str">
        <f t="shared" si="176"/>
        <v>11.7321756274256-9.29567346996066i</v>
      </c>
      <c r="AD193" s="20">
        <f t="shared" si="177"/>
        <v>23.503517135621284</v>
      </c>
      <c r="AE193" s="43">
        <f t="shared" si="178"/>
        <v>-38.390597564145452</v>
      </c>
      <c r="AF193" t="str">
        <f t="shared" si="160"/>
        <v>69.5520360182888</v>
      </c>
      <c r="AG193" t="str">
        <f t="shared" si="161"/>
        <v>1+0.632628012749057i</v>
      </c>
      <c r="AH193">
        <f t="shared" si="179"/>
        <v>1.1833081604192635</v>
      </c>
      <c r="AI193">
        <f t="shared" si="180"/>
        <v>0.56406583227209861</v>
      </c>
      <c r="AJ193" t="str">
        <f t="shared" si="162"/>
        <v>1+0.0132851882677302i</v>
      </c>
      <c r="AK193">
        <f t="shared" si="181"/>
        <v>1.0000882442201333</v>
      </c>
      <c r="AL193">
        <f t="shared" si="182"/>
        <v>1.3284406755286148E-2</v>
      </c>
      <c r="AM193" t="str">
        <f t="shared" si="163"/>
        <v>1-0.0016127210316797i</v>
      </c>
      <c r="AN193">
        <f t="shared" si="183"/>
        <v>1.0000013004337174</v>
      </c>
      <c r="AO193">
        <f t="shared" si="184"/>
        <v>-1.6127196335231017E-3</v>
      </c>
      <c r="AP193" s="41" t="str">
        <f t="shared" si="185"/>
        <v>50.0401446251033-30.8449533902304i</v>
      </c>
      <c r="AQ193">
        <f t="shared" si="186"/>
        <v>35.385017505366363</v>
      </c>
      <c r="AR193" s="43">
        <f t="shared" si="187"/>
        <v>-31.6498531448512</v>
      </c>
      <c r="AS193" t="str">
        <f t="shared" si="164"/>
        <v>-0.0000166666666666667</v>
      </c>
      <c r="AT193" t="str">
        <f t="shared" si="165"/>
        <v>0.0000120132021569901i</v>
      </c>
      <c r="AU193">
        <f t="shared" si="188"/>
        <v>1.20132021569901E-5</v>
      </c>
      <c r="AV193">
        <f t="shared" si="189"/>
        <v>1.5707963267948966</v>
      </c>
      <c r="AW193" t="str">
        <f t="shared" si="166"/>
        <v>1+0.012208572572692i</v>
      </c>
      <c r="AX193">
        <f t="shared" si="190"/>
        <v>1.0000745218453786</v>
      </c>
      <c r="AY193">
        <f t="shared" si="191"/>
        <v>1.2207966067425406E-2</v>
      </c>
      <c r="AZ193" t="str">
        <f t="shared" si="167"/>
        <v>1+0.415091467471527i</v>
      </c>
      <c r="BA193">
        <f t="shared" si="192"/>
        <v>1.0827284638207615</v>
      </c>
      <c r="BB193">
        <f t="shared" si="193"/>
        <v>0.39344818791961716</v>
      </c>
      <c r="BC193" s="41" t="str">
        <f t="shared" si="194"/>
        <v>-0.558861338818001+1.39418543992986i</v>
      </c>
      <c r="BD193">
        <f t="shared" si="195"/>
        <v>3.5335431016268664</v>
      </c>
      <c r="BE193" s="43">
        <f t="shared" si="196"/>
        <v>111.84345569276179</v>
      </c>
      <c r="BF193" s="41" t="str">
        <f t="shared" si="197"/>
        <v>6.40323322777044+21.5518209590939i</v>
      </c>
      <c r="BG193" s="20">
        <f t="shared" si="198"/>
        <v>27.037060237248141</v>
      </c>
      <c r="BH193" s="43">
        <f t="shared" si="199"/>
        <v>73.452858128616327</v>
      </c>
      <c r="BI193" s="41" t="str">
        <f t="shared" si="203"/>
        <v>15.0380826921428+87.0032929957465i</v>
      </c>
      <c r="BJ193" s="20">
        <f t="shared" si="200"/>
        <v>38.918560606993232</v>
      </c>
      <c r="BK193" s="43">
        <f t="shared" si="204"/>
        <v>80.193602547910587</v>
      </c>
      <c r="BL193">
        <f t="shared" si="201"/>
        <v>27.037060237248141</v>
      </c>
      <c r="BM193" s="43">
        <f t="shared" si="202"/>
        <v>73.452858128616327</v>
      </c>
    </row>
    <row r="194" spans="14:65" x14ac:dyDescent="0.25">
      <c r="N194" s="9">
        <v>76</v>
      </c>
      <c r="O194" s="34">
        <f t="shared" si="205"/>
        <v>575.43993733715706</v>
      </c>
      <c r="P194" s="33" t="str">
        <f t="shared" si="155"/>
        <v>19.1021967526266</v>
      </c>
      <c r="Q194" s="4" t="str">
        <f t="shared" si="156"/>
        <v>1+0.811523403503988i</v>
      </c>
      <c r="R194" s="4">
        <f t="shared" si="168"/>
        <v>1.2878548964983192</v>
      </c>
      <c r="S194" s="4">
        <f t="shared" si="169"/>
        <v>0.68172801787509363</v>
      </c>
      <c r="T194" s="4" t="str">
        <f t="shared" si="157"/>
        <v>1+0.0135946400554988i</v>
      </c>
      <c r="U194" s="4">
        <f t="shared" si="170"/>
        <v>1.000092402849976</v>
      </c>
      <c r="V194" s="4">
        <f t="shared" si="171"/>
        <v>1.3593802654006408E-2</v>
      </c>
      <c r="W194" t="str">
        <f t="shared" si="158"/>
        <v>1-0.00753249116550244i</v>
      </c>
      <c r="X194" s="4">
        <f t="shared" si="172"/>
        <v>1.0000283688091847</v>
      </c>
      <c r="Y194" s="4">
        <f t="shared" si="173"/>
        <v>-7.5323487097949749E-3</v>
      </c>
      <c r="Z194" t="str">
        <f t="shared" si="159"/>
        <v>0.999999668868878+0.00560417342713381i</v>
      </c>
      <c r="AA194" s="4">
        <f t="shared" si="174"/>
        <v>1.0000153721306824</v>
      </c>
      <c r="AB194" s="4">
        <f t="shared" si="175"/>
        <v>5.6041166142550246E-3</v>
      </c>
      <c r="AC194" s="47" t="str">
        <f t="shared" si="176"/>
        <v>11.5227550060201-9.34224829207885i</v>
      </c>
      <c r="AD194" s="20">
        <f t="shared" si="177"/>
        <v>23.425243058414573</v>
      </c>
      <c r="AE194" s="43">
        <f t="shared" si="178"/>
        <v>-39.033934701241641</v>
      </c>
      <c r="AF194" t="str">
        <f t="shared" si="160"/>
        <v>69.5520360182888</v>
      </c>
      <c r="AG194" t="str">
        <f t="shared" si="161"/>
        <v>1+0.64736381216661i</v>
      </c>
      <c r="AH194">
        <f t="shared" si="179"/>
        <v>1.1912514030643935</v>
      </c>
      <c r="AI194">
        <f t="shared" si="180"/>
        <v>0.57451978006636628</v>
      </c>
      <c r="AJ194" t="str">
        <f t="shared" si="162"/>
        <v>1+0.0135946400554988i</v>
      </c>
      <c r="AK194">
        <f t="shared" si="181"/>
        <v>1.000092402849976</v>
      </c>
      <c r="AL194">
        <f t="shared" si="182"/>
        <v>1.3593802654006408E-2</v>
      </c>
      <c r="AM194" t="str">
        <f t="shared" si="163"/>
        <v>1-0.00165028613022163i</v>
      </c>
      <c r="AN194">
        <f t="shared" si="183"/>
        <v>1.0000013617212287</v>
      </c>
      <c r="AO194">
        <f t="shared" si="184"/>
        <v>-1.6502846320699536E-3</v>
      </c>
      <c r="AP194" s="41" t="str">
        <f t="shared" si="185"/>
        <v>49.3921422767849-31.143931380949i</v>
      </c>
      <c r="AQ194">
        <f t="shared" si="186"/>
        <v>35.326942843414095</v>
      </c>
      <c r="AR194" s="43">
        <f t="shared" si="187"/>
        <v>-32.233245469391683</v>
      </c>
      <c r="AS194" t="str">
        <f t="shared" si="164"/>
        <v>-0.0000166666666666667</v>
      </c>
      <c r="AT194" t="str">
        <f t="shared" si="165"/>
        <v>0.0000122930255821i</v>
      </c>
      <c r="AU194">
        <f t="shared" si="188"/>
        <v>1.22930255821E-5</v>
      </c>
      <c r="AV194">
        <f t="shared" si="189"/>
        <v>1.5707963267948966</v>
      </c>
      <c r="AW194" t="str">
        <f t="shared" si="166"/>
        <v>1+0.0124929467593867i</v>
      </c>
      <c r="AX194">
        <f t="shared" si="190"/>
        <v>1.0000780338147284</v>
      </c>
      <c r="AY194">
        <f t="shared" si="191"/>
        <v>1.2492296880023512E-2</v>
      </c>
      <c r="AZ194" t="str">
        <f t="shared" si="167"/>
        <v>1+0.424760189819148i</v>
      </c>
      <c r="BA194">
        <f t="shared" si="192"/>
        <v>1.086471913514196</v>
      </c>
      <c r="BB194">
        <f t="shared" si="193"/>
        <v>0.40166750852561489</v>
      </c>
      <c r="BC194" s="41" t="str">
        <f t="shared" si="194"/>
        <v>-0.558857413723399+1.36276408966404i</v>
      </c>
      <c r="BD194">
        <f t="shared" si="195"/>
        <v>3.3634915939586247</v>
      </c>
      <c r="BE194" s="43">
        <f t="shared" si="196"/>
        <v>112.29809711840302</v>
      </c>
      <c r="BF194" s="41" t="str">
        <f t="shared" si="197"/>
        <v>6.29170342753752+20.9237814550738i</v>
      </c>
      <c r="BG194" s="20">
        <f t="shared" si="198"/>
        <v>26.788734652373204</v>
      </c>
      <c r="BH194" s="43">
        <f t="shared" si="199"/>
        <v>73.26416241716143</v>
      </c>
      <c r="BI194" s="41" t="str">
        <f t="shared" si="203"/>
        <v>14.8386664058561+84.7148547511157i</v>
      </c>
      <c r="BJ194" s="20">
        <f t="shared" si="200"/>
        <v>38.690434437372716</v>
      </c>
      <c r="BK194" s="43">
        <f t="shared" si="204"/>
        <v>80.064851649011374</v>
      </c>
      <c r="BL194">
        <f t="shared" si="201"/>
        <v>26.788734652373204</v>
      </c>
      <c r="BM194" s="43">
        <f t="shared" si="202"/>
        <v>73.26416241716143</v>
      </c>
    </row>
    <row r="195" spans="14:65" x14ac:dyDescent="0.25">
      <c r="N195" s="9">
        <v>77</v>
      </c>
      <c r="O195" s="34">
        <f t="shared" si="205"/>
        <v>588.84365535558959</v>
      </c>
      <c r="P195" s="33" t="str">
        <f t="shared" si="155"/>
        <v>19.1021967526266</v>
      </c>
      <c r="Q195" s="4" t="str">
        <f t="shared" si="156"/>
        <v>1+0.830426211877457i</v>
      </c>
      <c r="R195" s="4">
        <f t="shared" si="168"/>
        <v>1.2998491040782938</v>
      </c>
      <c r="S195" s="4">
        <f t="shared" si="169"/>
        <v>0.69302014317914418</v>
      </c>
      <c r="T195" s="4" t="str">
        <f t="shared" si="157"/>
        <v>1+0.0139112999013711i</v>
      </c>
      <c r="U195" s="4">
        <f t="shared" si="170"/>
        <v>1.0000967574514708</v>
      </c>
      <c r="V195" s="4">
        <f t="shared" si="171"/>
        <v>1.3910402614194283E-2</v>
      </c>
      <c r="W195" t="str">
        <f t="shared" si="158"/>
        <v>1-0.00770794542407533i</v>
      </c>
      <c r="X195" s="4">
        <f t="shared" si="172"/>
        <v>1.000029705770114</v>
      </c>
      <c r="Y195" s="4">
        <f t="shared" si="173"/>
        <v>-7.7077927802795291E-3</v>
      </c>
      <c r="Z195" t="str">
        <f t="shared" si="159"/>
        <v>0.99999965326315+0.00573471139551205i</v>
      </c>
      <c r="AA195" s="4">
        <f t="shared" si="174"/>
        <v>1.0000160965910549</v>
      </c>
      <c r="AB195" s="4">
        <f t="shared" si="175"/>
        <v>5.7346505194685558E-3</v>
      </c>
      <c r="AC195" s="47" t="str">
        <f t="shared" si="176"/>
        <v>11.3113399300001-9.38429313217496i</v>
      </c>
      <c r="AD195" s="20">
        <f t="shared" si="177"/>
        <v>23.344766085187523</v>
      </c>
      <c r="AE195" s="43">
        <f t="shared" si="178"/>
        <v>-39.680317228015333</v>
      </c>
      <c r="AF195" t="str">
        <f t="shared" si="160"/>
        <v>69.5520360182888</v>
      </c>
      <c r="AG195" t="str">
        <f t="shared" si="161"/>
        <v>1+0.662442852446246i</v>
      </c>
      <c r="AH195">
        <f t="shared" si="179"/>
        <v>1.1995126230086612</v>
      </c>
      <c r="AI195">
        <f t="shared" si="180"/>
        <v>0.58507272117199505</v>
      </c>
      <c r="AJ195" t="str">
        <f t="shared" si="162"/>
        <v>1+0.0139112999013711i</v>
      </c>
      <c r="AK195">
        <f t="shared" si="181"/>
        <v>1.0000967574514708</v>
      </c>
      <c r="AL195">
        <f t="shared" si="182"/>
        <v>1.3910402614194283E-2</v>
      </c>
      <c r="AM195" t="str">
        <f t="shared" si="163"/>
        <v>1-0.00168872623231392i</v>
      </c>
      <c r="AN195">
        <f t="shared" si="183"/>
        <v>1.0000014258971273</v>
      </c>
      <c r="AO195">
        <f t="shared" si="184"/>
        <v>-1.6887246270156E-3</v>
      </c>
      <c r="AP195" s="41" t="str">
        <f t="shared" si="185"/>
        <v>48.731809805888-31.4319342086139i</v>
      </c>
      <c r="AQ195">
        <f t="shared" si="186"/>
        <v>35.266953272019975</v>
      </c>
      <c r="AR195" s="43">
        <f t="shared" si="187"/>
        <v>-32.821947064156411</v>
      </c>
      <c r="AS195" t="str">
        <f t="shared" si="164"/>
        <v>-0.0000166666666666667</v>
      </c>
      <c r="AT195" t="str">
        <f t="shared" si="165"/>
        <v>0.0000125793669320909i</v>
      </c>
      <c r="AU195">
        <f t="shared" si="188"/>
        <v>1.25793669320909E-5</v>
      </c>
      <c r="AV195">
        <f t="shared" si="189"/>
        <v>1.5707963267948966</v>
      </c>
      <c r="AW195" t="str">
        <f t="shared" si="166"/>
        <v>1+0.012783944871817i</v>
      </c>
      <c r="AX195">
        <f t="shared" si="190"/>
        <v>1.0000817112848757</v>
      </c>
      <c r="AY195">
        <f t="shared" si="191"/>
        <v>1.2783248516606106E-2</v>
      </c>
      <c r="AZ195" t="str">
        <f t="shared" si="167"/>
        <v>1+0.434654125641778i</v>
      </c>
      <c r="BA195">
        <f t="shared" si="192"/>
        <v>1.0903780119469664</v>
      </c>
      <c r="BB195">
        <f t="shared" si="193"/>
        <v>0.41001927896983209</v>
      </c>
      <c r="BC195" s="41" t="str">
        <f t="shared" si="194"/>
        <v>-0.558853303703884+1.33206529033443i</v>
      </c>
      <c r="BD195">
        <f t="shared" si="195"/>
        <v>3.1946312808224766</v>
      </c>
      <c r="BE195" s="43">
        <f t="shared" si="196"/>
        <v>112.75994801550006</v>
      </c>
      <c r="BF195" s="41" t="str">
        <f t="shared" si="197"/>
        <v>6.17911146649582+20.3118865277687i</v>
      </c>
      <c r="BG195" s="20">
        <f t="shared" si="198"/>
        <v>26.539397366010014</v>
      </c>
      <c r="BH195" s="43">
        <f t="shared" si="199"/>
        <v>73.07963078748476</v>
      </c>
      <c r="BI195" s="41" t="str">
        <f t="shared" si="203"/>
        <v>14.6354556618801+82.4797926518894i</v>
      </c>
      <c r="BJ195" s="20">
        <f t="shared" si="200"/>
        <v>38.461584552842446</v>
      </c>
      <c r="BK195" s="43">
        <f t="shared" si="204"/>
        <v>79.938000951343668</v>
      </c>
      <c r="BL195">
        <f t="shared" si="201"/>
        <v>26.539397366010014</v>
      </c>
      <c r="BM195" s="43">
        <f t="shared" si="202"/>
        <v>73.07963078748476</v>
      </c>
    </row>
    <row r="196" spans="14:65" x14ac:dyDescent="0.25">
      <c r="N196" s="9">
        <v>78</v>
      </c>
      <c r="O196" s="34">
        <f t="shared" si="205"/>
        <v>602.55958607435832</v>
      </c>
      <c r="P196" s="33" t="str">
        <f t="shared" si="155"/>
        <v>19.1021967526266</v>
      </c>
      <c r="Q196" s="4" t="str">
        <f t="shared" si="156"/>
        <v>1+0.849769323220454i</v>
      </c>
      <c r="R196" s="4">
        <f t="shared" si="168"/>
        <v>1.3122910891591653</v>
      </c>
      <c r="S196" s="4">
        <f t="shared" si="169"/>
        <v>0.7043601292410524</v>
      </c>
      <c r="T196" s="4" t="str">
        <f t="shared" si="157"/>
        <v>1+0.014235335702589i</v>
      </c>
      <c r="U196" s="4">
        <f t="shared" si="170"/>
        <v>1.0001013172586892</v>
      </c>
      <c r="V196" s="4">
        <f t="shared" si="171"/>
        <v>1.423437424731723E-2</v>
      </c>
      <c r="W196" t="str">
        <f t="shared" si="158"/>
        <v>1-0.00788748653733879i</v>
      </c>
      <c r="X196" s="4">
        <f t="shared" si="172"/>
        <v>1.0000311057381548</v>
      </c>
      <c r="Y196" s="4">
        <f t="shared" si="173"/>
        <v>-7.887322976839535E-3</v>
      </c>
      <c r="Z196" t="str">
        <f t="shared" si="159"/>
        <v>0.999999636921945+0.00586828998378006i</v>
      </c>
      <c r="AA196" s="4">
        <f t="shared" si="174"/>
        <v>1.0000168551936288</v>
      </c>
      <c r="AB196" s="4">
        <f t="shared" si="175"/>
        <v>5.8682247539836056E-3</v>
      </c>
      <c r="AC196" s="47" t="str">
        <f t="shared" si="176"/>
        <v>11.098128976278-9.42170185413828i</v>
      </c>
      <c r="AD196" s="20">
        <f t="shared" si="177"/>
        <v>23.262066444303876</v>
      </c>
      <c r="AE196" s="43">
        <f t="shared" si="178"/>
        <v>-40.329427924287479</v>
      </c>
      <c r="AF196" t="str">
        <f t="shared" si="160"/>
        <v>69.5520360182888</v>
      </c>
      <c r="AG196" t="str">
        <f t="shared" si="161"/>
        <v>1+0.677873128694717i</v>
      </c>
      <c r="AH196">
        <f t="shared" si="179"/>
        <v>1.2081026357914979</v>
      </c>
      <c r="AI196">
        <f t="shared" si="180"/>
        <v>0.59572084894370847</v>
      </c>
      <c r="AJ196" t="str">
        <f t="shared" si="162"/>
        <v>1+0.014235335702589i</v>
      </c>
      <c r="AK196">
        <f t="shared" si="181"/>
        <v>1.0001013172586892</v>
      </c>
      <c r="AL196">
        <f t="shared" si="182"/>
        <v>1.423437424731723E-2</v>
      </c>
      <c r="AM196" t="str">
        <f t="shared" si="163"/>
        <v>1-0.00172806171940751i</v>
      </c>
      <c r="AN196">
        <f t="shared" si="183"/>
        <v>1.0000014930975383</v>
      </c>
      <c r="AO196">
        <f t="shared" si="184"/>
        <v>-1.7280599992995083E-3</v>
      </c>
      <c r="AP196" s="41" t="str">
        <f t="shared" si="185"/>
        <v>48.0595117734876-31.7083452388658i</v>
      </c>
      <c r="AQ196">
        <f t="shared" si="186"/>
        <v>35.205013272740302</v>
      </c>
      <c r="AR196" s="43">
        <f t="shared" si="187"/>
        <v>-33.415731388749208</v>
      </c>
      <c r="AS196" t="str">
        <f t="shared" si="164"/>
        <v>-0.0000166666666666667</v>
      </c>
      <c r="AT196" t="str">
        <f t="shared" si="165"/>
        <v>0.0000128723780289369i</v>
      </c>
      <c r="AU196">
        <f t="shared" si="188"/>
        <v>1.2872378028936901E-5</v>
      </c>
      <c r="AV196">
        <f t="shared" si="189"/>
        <v>1.5707963267948966</v>
      </c>
      <c r="AW196" t="str">
        <f t="shared" si="166"/>
        <v>1+0.0130817212010338i</v>
      </c>
      <c r="AX196">
        <f t="shared" si="190"/>
        <v>1.0000855620543583</v>
      </c>
      <c r="AY196">
        <f t="shared" si="191"/>
        <v>1.3080975046429764E-2</v>
      </c>
      <c r="AZ196" t="str">
        <f t="shared" si="167"/>
        <v>1+0.444778520835149i</v>
      </c>
      <c r="BA196">
        <f t="shared" si="192"/>
        <v>1.0944532573830199</v>
      </c>
      <c r="BB196">
        <f t="shared" si="193"/>
        <v>0.41850326599414367</v>
      </c>
      <c r="BC196" s="41" t="str">
        <f t="shared" si="194"/>
        <v>-0.558849000049903+1.30207276470076i</v>
      </c>
      <c r="BD196">
        <f t="shared" si="195"/>
        <v>3.0270004969634283</v>
      </c>
      <c r="BE196" s="43">
        <f t="shared" si="196"/>
        <v>113.22898619182888</v>
      </c>
      <c r="BF196" s="41" t="str">
        <f t="shared" si="197"/>
        <v>6.06556310058629+19.7158801391014i</v>
      </c>
      <c r="BG196" s="20">
        <f t="shared" si="198"/>
        <v>26.289066941267304</v>
      </c>
      <c r="BH196" s="43">
        <f t="shared" si="199"/>
        <v>72.899558267541423</v>
      </c>
      <c r="BI196" s="41" t="str">
        <f t="shared" si="203"/>
        <v>14.4285626517561+80.297158395051i</v>
      </c>
      <c r="BJ196" s="20">
        <f t="shared" si="200"/>
        <v>38.232013769703734</v>
      </c>
      <c r="BK196" s="43">
        <f t="shared" si="204"/>
        <v>79.813254803079673</v>
      </c>
      <c r="BL196">
        <f t="shared" si="201"/>
        <v>26.289066941267304</v>
      </c>
      <c r="BM196" s="43">
        <f t="shared" si="202"/>
        <v>72.899558267541423</v>
      </c>
    </row>
    <row r="197" spans="14:65" x14ac:dyDescent="0.25">
      <c r="N197" s="9">
        <v>79</v>
      </c>
      <c r="O197" s="34">
        <f t="shared" si="205"/>
        <v>616.59500186148273</v>
      </c>
      <c r="P197" s="33" t="str">
        <f t="shared" si="155"/>
        <v>19.1021967526266</v>
      </c>
      <c r="Q197" s="4" t="str">
        <f t="shared" si="156"/>
        <v>1+0.869562993506651i</v>
      </c>
      <c r="R197" s="4">
        <f t="shared" si="168"/>
        <v>1.3251942497899121</v>
      </c>
      <c r="S197" s="4">
        <f t="shared" si="169"/>
        <v>0.71574232332197263</v>
      </c>
      <c r="T197" s="4" t="str">
        <f t="shared" si="157"/>
        <v>1+0.0145669192672234i</v>
      </c>
      <c r="U197" s="4">
        <f t="shared" si="170"/>
        <v>1.000106091940719</v>
      </c>
      <c r="V197" s="4">
        <f t="shared" si="171"/>
        <v>1.4565889055240915E-2</v>
      </c>
      <c r="W197" t="str">
        <f t="shared" si="158"/>
        <v>1-0.00807120970036758i</v>
      </c>
      <c r="X197" s="4">
        <f t="shared" si="172"/>
        <v>1.0000325716825564</v>
      </c>
      <c r="Y197" s="4">
        <f t="shared" si="173"/>
        <v>-8.0710344424433488E-3</v>
      </c>
      <c r="Z197" t="str">
        <f t="shared" si="159"/>
        <v>0.999999619810604+0.00600498001707348i</v>
      </c>
      <c r="AA197" s="4">
        <f t="shared" si="174"/>
        <v>1.0000176495474258</v>
      </c>
      <c r="AB197" s="4">
        <f t="shared" si="175"/>
        <v>6.0049101221539159E-3</v>
      </c>
      <c r="AC197" s="47" t="str">
        <f t="shared" si="176"/>
        <v>10.8833279455417-9.45437907937115i</v>
      </c>
      <c r="AD197" s="20">
        <f t="shared" si="177"/>
        <v>23.177126487532075</v>
      </c>
      <c r="AE197" s="43">
        <f t="shared" si="178"/>
        <v>-40.980942593727491</v>
      </c>
      <c r="AF197" t="str">
        <f t="shared" si="160"/>
        <v>69.5520360182888</v>
      </c>
      <c r="AG197" t="str">
        <f t="shared" si="161"/>
        <v>1+0.693662822248734i</v>
      </c>
      <c r="AH197">
        <f t="shared" si="179"/>
        <v>1.2170325020187747</v>
      </c>
      <c r="AI197">
        <f t="shared" si="180"/>
        <v>0.60646015058660285</v>
      </c>
      <c r="AJ197" t="str">
        <f t="shared" si="162"/>
        <v>1+0.0145669192672234i</v>
      </c>
      <c r="AK197">
        <f t="shared" si="181"/>
        <v>1.000106091940719</v>
      </c>
      <c r="AL197">
        <f t="shared" si="182"/>
        <v>1.4565889055240915E-2</v>
      </c>
      <c r="AM197" t="str">
        <f t="shared" si="163"/>
        <v>1-0.00176831344769834i</v>
      </c>
      <c r="AN197">
        <f t="shared" si="183"/>
        <v>1.0000015634650026</v>
      </c>
      <c r="AO197">
        <f t="shared" si="184"/>
        <v>-1.7683116045695646E-3</v>
      </c>
      <c r="AP197" s="41" t="str">
        <f t="shared" si="185"/>
        <v>47.375651883375-31.972559298352i</v>
      </c>
      <c r="AQ197">
        <f t="shared" si="186"/>
        <v>35.141088456402116</v>
      </c>
      <c r="AR197" s="43">
        <f t="shared" si="187"/>
        <v>-34.01435989556547</v>
      </c>
      <c r="AS197" t="str">
        <f t="shared" si="164"/>
        <v>-0.0000166666666666667</v>
      </c>
      <c r="AT197" t="str">
        <f t="shared" si="165"/>
        <v>0.0000131722142309999i</v>
      </c>
      <c r="AU197">
        <f t="shared" si="188"/>
        <v>1.31722142309999E-5</v>
      </c>
      <c r="AV197">
        <f t="shared" si="189"/>
        <v>1.5707963267948966</v>
      </c>
      <c r="AW197" t="str">
        <f t="shared" si="166"/>
        <v>1+0.0133864336319885i</v>
      </c>
      <c r="AX197">
        <f t="shared" si="190"/>
        <v>1.0000895942891235</v>
      </c>
      <c r="AY197">
        <f t="shared" si="191"/>
        <v>1.3385634116793969E-2</v>
      </c>
      <c r="AZ197" t="str">
        <f t="shared" si="167"/>
        <v>1+0.455138743487608i</v>
      </c>
      <c r="BA197">
        <f t="shared" si="192"/>
        <v>1.0987043623393322</v>
      </c>
      <c r="BB197">
        <f t="shared" si="193"/>
        <v>0.42711908158747852</v>
      </c>
      <c r="BC197" s="41" t="str">
        <f t="shared" si="194"/>
        <v>-0.558844493642003+1.27277060997485i</v>
      </c>
      <c r="BD197">
        <f t="shared" si="195"/>
        <v>2.8606380902561042</v>
      </c>
      <c r="BE197" s="43">
        <f t="shared" si="196"/>
        <v>113.70518038346771</v>
      </c>
      <c r="BF197" s="41" t="str">
        <f t="shared" si="197"/>
        <v>5.95116793291857+19.1355076371142i</v>
      </c>
      <c r="BG197" s="20">
        <f t="shared" si="198"/>
        <v>26.037764577788195</v>
      </c>
      <c r="BH197" s="43">
        <f t="shared" si="199"/>
        <v>72.724237789740258</v>
      </c>
      <c r="BI197" s="41" t="str">
        <f t="shared" si="203"/>
        <v>14.218111612896+78.1660260570858i</v>
      </c>
      <c r="BJ197" s="20">
        <f t="shared" si="200"/>
        <v>38.001726546658226</v>
      </c>
      <c r="BK197" s="43">
        <f t="shared" si="204"/>
        <v>79.690820487902272</v>
      </c>
      <c r="BL197">
        <f t="shared" si="201"/>
        <v>26.037764577788195</v>
      </c>
      <c r="BM197" s="43">
        <f t="shared" si="202"/>
        <v>72.724237789740258</v>
      </c>
    </row>
    <row r="198" spans="14:65" x14ac:dyDescent="0.25">
      <c r="N198" s="9">
        <v>80</v>
      </c>
      <c r="O198" s="34">
        <f t="shared" si="205"/>
        <v>630.95734448019323</v>
      </c>
      <c r="P198" s="33" t="str">
        <f t="shared" si="155"/>
        <v>19.1021967526266</v>
      </c>
      <c r="Q198" s="4" t="str">
        <f t="shared" si="156"/>
        <v>1+0.88981771760203i</v>
      </c>
      <c r="R198" s="4">
        <f t="shared" si="168"/>
        <v>1.3385722134268612</v>
      </c>
      <c r="S198" s="4">
        <f t="shared" si="169"/>
        <v>0.72716096437630084</v>
      </c>
      <c r="T198" s="4" t="str">
        <f t="shared" si="157"/>
        <v>1+0.0149062264052692i</v>
      </c>
      <c r="U198" s="4">
        <f t="shared" si="170"/>
        <v>1.0001110916221483</v>
      </c>
      <c r="V198" s="4">
        <f t="shared" si="171"/>
        <v>1.4905122519863916E-2</v>
      </c>
      <c r="W198" t="str">
        <f t="shared" si="158"/>
        <v>1-0.00825921232561458i</v>
      </c>
      <c r="X198" s="4">
        <f t="shared" si="172"/>
        <v>1.0000341067124858</v>
      </c>
      <c r="Y198" s="4">
        <f t="shared" si="173"/>
        <v>-8.2590245337112837E-3</v>
      </c>
      <c r="Z198" t="str">
        <f t="shared" si="159"/>
        <v>0.999999601892829+0.00614485397025725i</v>
      </c>
      <c r="AA198" s="4">
        <f t="shared" si="174"/>
        <v>1.0000184813372863</v>
      </c>
      <c r="AB198" s="4">
        <f t="shared" si="175"/>
        <v>6.1447790765763498E-3</v>
      </c>
      <c r="AC198" s="47" t="str">
        <f t="shared" si="176"/>
        <v>10.6671491121804-9.48224077078265i</v>
      </c>
      <c r="AD198" s="20">
        <f t="shared" si="177"/>
        <v>23.089930762057648</v>
      </c>
      <c r="AE198" s="43">
        <f t="shared" si="178"/>
        <v>-41.634530827716063</v>
      </c>
      <c r="AF198" t="str">
        <f t="shared" si="160"/>
        <v>69.5520360182888</v>
      </c>
      <c r="AG198" t="str">
        <f t="shared" si="161"/>
        <v>1+0.709820305012819i</v>
      </c>
      <c r="AH198">
        <f t="shared" si="179"/>
        <v>1.2263135265536671</v>
      </c>
      <c r="AI198">
        <f t="shared" si="180"/>
        <v>0.61728641151087982</v>
      </c>
      <c r="AJ198" t="str">
        <f t="shared" si="162"/>
        <v>1+0.0149062264052692i</v>
      </c>
      <c r="AK198">
        <f t="shared" si="181"/>
        <v>1.0001110916221483</v>
      </c>
      <c r="AL198">
        <f t="shared" si="182"/>
        <v>1.4905122519863916E-2</v>
      </c>
      <c r="AM198" t="str">
        <f t="shared" si="163"/>
        <v>1-0.00180950275918553i</v>
      </c>
      <c r="AN198">
        <f t="shared" si="183"/>
        <v>1.0000016371487777</v>
      </c>
      <c r="AO198">
        <f t="shared" si="184"/>
        <v>-1.8095007842376396E-3</v>
      </c>
      <c r="AP198" s="41" t="str">
        <f t="shared" si="185"/>
        <v>46.6806727606359-32.2239855824042i</v>
      </c>
      <c r="AQ198">
        <f t="shared" si="186"/>
        <v>35.075145677697499</v>
      </c>
      <c r="AR198" s="43">
        <f t="shared" si="187"/>
        <v>-34.617582274798011</v>
      </c>
      <c r="AS198" t="str">
        <f t="shared" si="164"/>
        <v>-0.0000166666666666667</v>
      </c>
      <c r="AT198" t="str">
        <f t="shared" si="165"/>
        <v>0.000013479034515403i</v>
      </c>
      <c r="AU198">
        <f t="shared" si="188"/>
        <v>1.3479034515403E-5</v>
      </c>
      <c r="AV198">
        <f t="shared" si="189"/>
        <v>1.5707963267948966</v>
      </c>
      <c r="AW198" t="str">
        <f t="shared" si="166"/>
        <v>1+0.0136982437272452i</v>
      </c>
      <c r="AX198">
        <f t="shared" si="190"/>
        <v>1.0000938165398339</v>
      </c>
      <c r="AY198">
        <f t="shared" si="191"/>
        <v>1.369738703561978E-2</v>
      </c>
      <c r="AZ198" t="str">
        <f t="shared" si="167"/>
        <v>1+0.465740286726336i</v>
      </c>
      <c r="BA198">
        <f t="shared" si="192"/>
        <v>1.1031382572823452</v>
      </c>
      <c r="BB198">
        <f t="shared" si="193"/>
        <v>0.43586617635690023</v>
      </c>
      <c r="BC198" s="41" t="str">
        <f t="shared" si="194"/>
        <v>-0.558839774931538+1.24414328938699i</v>
      </c>
      <c r="BD198">
        <f t="shared" si="195"/>
        <v>2.6955833696015912</v>
      </c>
      <c r="BE198" s="43">
        <f t="shared" si="196"/>
        <v>114.18848987025697</v>
      </c>
      <c r="BF198" s="41" t="str">
        <f t="shared" si="197"/>
        <v>5.8360390143089+18.5705152830005i</v>
      </c>
      <c r="BG198" s="20">
        <f t="shared" si="198"/>
        <v>25.785514131659259</v>
      </c>
      <c r="BH198" s="43">
        <f t="shared" si="199"/>
        <v>72.553959042540953</v>
      </c>
      <c r="BI198" s="41" t="str">
        <f t="shared" si="203"/>
        <v>14.0042387604448+76.0854906094831i</v>
      </c>
      <c r="BJ198" s="20">
        <f t="shared" si="200"/>
        <v>37.770729047299092</v>
      </c>
      <c r="BK198" s="43">
        <f t="shared" si="204"/>
        <v>79.570907595458934</v>
      </c>
      <c r="BL198">
        <f t="shared" si="201"/>
        <v>25.785514131659259</v>
      </c>
      <c r="BM198" s="43">
        <f t="shared" si="202"/>
        <v>72.553959042540953</v>
      </c>
    </row>
    <row r="199" spans="14:65" x14ac:dyDescent="0.25">
      <c r="N199" s="9">
        <v>81</v>
      </c>
      <c r="O199" s="34">
        <f t="shared" si="205"/>
        <v>645.65422903465594</v>
      </c>
      <c r="P199" s="33" t="str">
        <f t="shared" si="155"/>
        <v>19.1021967526266</v>
      </c>
      <c r="Q199" s="4" t="str">
        <f t="shared" si="156"/>
        <v>1+0.910544234829412i</v>
      </c>
      <c r="R199" s="4">
        <f t="shared" si="168"/>
        <v>1.3524388354306747</v>
      </c>
      <c r="S199" s="4">
        <f t="shared" si="169"/>
        <v>0.7386101970529162</v>
      </c>
      <c r="T199" s="4" t="str">
        <f t="shared" si="157"/>
        <v>1+0.0152534370218623i</v>
      </c>
      <c r="U199" s="4">
        <f t="shared" si="170"/>
        <v>1.0001163269045155</v>
      </c>
      <c r="V199" s="4">
        <f t="shared" si="171"/>
        <v>1.5252254194770156E-2</v>
      </c>
      <c r="W199" t="str">
        <f t="shared" si="158"/>
        <v>1-0.00845159409456023i</v>
      </c>
      <c r="X199" s="4">
        <f t="shared" si="172"/>
        <v>1.0000357140836218</v>
      </c>
      <c r="Y199" s="4">
        <f t="shared" si="173"/>
        <v>-8.4513928722985982E-3</v>
      </c>
      <c r="Z199" t="str">
        <f t="shared" si="159"/>
        <v>0.999999583130617+0.00628798600635281i</v>
      </c>
      <c r="AA199" s="4">
        <f t="shared" si="174"/>
        <v>1.0000193523274556</v>
      </c>
      <c r="AB199" s="4">
        <f t="shared" si="175"/>
        <v>6.2879057564117456E-3</v>
      </c>
      <c r="AC199" s="47" t="str">
        <f t="shared" si="176"/>
        <v>10.4498104190804-9.50521475425978i</v>
      </c>
      <c r="AD199" s="20">
        <f t="shared" si="177"/>
        <v>23.000466074352019</v>
      </c>
      <c r="AE199" s="43">
        <f t="shared" si="178"/>
        <v>-42.289856807445275</v>
      </c>
      <c r="AF199" t="str">
        <f t="shared" si="160"/>
        <v>69.5520360182888</v>
      </c>
      <c r="AG199" t="str">
        <f t="shared" si="161"/>
        <v>1+0.726354143898205i</v>
      </c>
      <c r="AH199">
        <f t="shared" si="179"/>
        <v>1.235957257496429</v>
      </c>
      <c r="AI199">
        <f t="shared" si="180"/>
        <v>0.62819522067335865</v>
      </c>
      <c r="AJ199" t="str">
        <f t="shared" si="162"/>
        <v>1+0.0152534370218623i</v>
      </c>
      <c r="AK199">
        <f t="shared" si="181"/>
        <v>1.0001163269045155</v>
      </c>
      <c r="AL199">
        <f t="shared" si="182"/>
        <v>1.5252254194770156E-2</v>
      </c>
      <c r="AM199" t="str">
        <f t="shared" si="163"/>
        <v>1-0.00185165149298724i</v>
      </c>
      <c r="AN199">
        <f t="shared" si="183"/>
        <v>1.0000017143051563</v>
      </c>
      <c r="AO199">
        <f t="shared" si="184"/>
        <v>-1.8516493767926447E-3</v>
      </c>
      <c r="AP199" s="41" t="str">
        <f t="shared" si="185"/>
        <v>45.9750554806693-32.4620505945204i</v>
      </c>
      <c r="AQ199">
        <f t="shared" si="186"/>
        <v>35.007153148774329</v>
      </c>
      <c r="AR199" s="43">
        <f t="shared" si="187"/>
        <v>-35.225136755880129</v>
      </c>
      <c r="AS199" t="str">
        <f t="shared" si="164"/>
        <v>-0.0000166666666666667</v>
      </c>
      <c r="AT199" t="str">
        <f t="shared" si="165"/>
        <v>0.0000137930015623223i</v>
      </c>
      <c r="AU199">
        <f t="shared" si="188"/>
        <v>1.37930015623223E-5</v>
      </c>
      <c r="AV199">
        <f t="shared" si="189"/>
        <v>1.5707963267948966</v>
      </c>
      <c r="AW199" t="str">
        <f t="shared" si="166"/>
        <v>1+0.0140173168126438i</v>
      </c>
      <c r="AX199">
        <f t="shared" si="190"/>
        <v>1.0000982377599843</v>
      </c>
      <c r="AY199">
        <f t="shared" si="191"/>
        <v>1.4016398855898419E-2</v>
      </c>
      <c r="AZ199" t="str">
        <f t="shared" si="167"/>
        <v>1+0.476588771629889i</v>
      </c>
      <c r="BA199">
        <f t="shared" si="192"/>
        <v>1.1077620941536528</v>
      </c>
      <c r="BB199">
        <f t="shared" si="193"/>
        <v>0.44474383306277521</v>
      </c>
      <c r="BC199" s="41" t="str">
        <f t="shared" si="194"/>
        <v>-0.558834833920506+1.21617562394633i</v>
      </c>
      <c r="BD199">
        <f t="shared" si="195"/>
        <v>2.5318760479408438</v>
      </c>
      <c r="BE199" s="43">
        <f t="shared" si="196"/>
        <v>114.67886410055283</v>
      </c>
      <c r="BF199" s="41" t="str">
        <f t="shared" si="197"/>
        <v>5.72029241445818+18.0206498151215i</v>
      </c>
      <c r="BG199" s="20">
        <f t="shared" si="198"/>
        <v>25.532342122292874</v>
      </c>
      <c r="BH199" s="43">
        <f t="shared" si="199"/>
        <v>72.389007293107596</v>
      </c>
      <c r="BI199" s="41" t="str">
        <f t="shared" si="203"/>
        <v>13.7870921423423+74.054666437878i</v>
      </c>
      <c r="BJ199" s="20">
        <f t="shared" si="200"/>
        <v>37.539029196715177</v>
      </c>
      <c r="BK199" s="43">
        <f t="shared" si="204"/>
        <v>79.453727344672728</v>
      </c>
      <c r="BL199">
        <f t="shared" si="201"/>
        <v>25.532342122292874</v>
      </c>
      <c r="BM199" s="43">
        <f t="shared" si="202"/>
        <v>72.389007293107596</v>
      </c>
    </row>
    <row r="200" spans="14:65" x14ac:dyDescent="0.25">
      <c r="N200" s="9">
        <v>82</v>
      </c>
      <c r="O200" s="34">
        <f t="shared" si="205"/>
        <v>660.69344800759643</v>
      </c>
      <c r="P200" s="33" t="str">
        <f t="shared" si="155"/>
        <v>19.1021967526266</v>
      </c>
      <c r="Q200" s="4" t="str">
        <f t="shared" si="156"/>
        <v>1+0.931753534662579i</v>
      </c>
      <c r="R200" s="4">
        <f t="shared" si="168"/>
        <v>1.3668081977205908</v>
      </c>
      <c r="S200" s="4">
        <f t="shared" si="169"/>
        <v>0.75008408628470324</v>
      </c>
      <c r="T200" s="4" t="str">
        <f t="shared" si="157"/>
        <v>1+0.0156087352126675i</v>
      </c>
      <c r="U200" s="4">
        <f t="shared" si="170"/>
        <v>1.0001218088887669</v>
      </c>
      <c r="V200" s="4">
        <f t="shared" si="171"/>
        <v>1.5607467798940415E-2</v>
      </c>
      <c r="W200" t="str">
        <f t="shared" si="158"/>
        <v>1-0.00864845701056489i</v>
      </c>
      <c r="X200" s="4">
        <f t="shared" si="172"/>
        <v>1.0000373972050562</v>
      </c>
      <c r="Y200" s="4">
        <f t="shared" si="173"/>
        <v>-8.6482413974623817E-3</v>
      </c>
      <c r="Z200" t="str">
        <f t="shared" si="159"/>
        <v>0.999999563484168+0.00643445201586028i</v>
      </c>
      <c r="AA200" s="4">
        <f t="shared" si="174"/>
        <v>1.0000202643653133</v>
      </c>
      <c r="AB200" s="4">
        <f t="shared" si="175"/>
        <v>6.4343660265932853E-3</v>
      </c>
      <c r="AC200" s="47" t="str">
        <f t="shared" si="176"/>
        <v>10.2315346234458-9.52324117168459i</v>
      </c>
      <c r="AD200" s="20">
        <f t="shared" si="177"/>
        <v>22.908721545352929</v>
      </c>
      <c r="AE200" s="43">
        <f t="shared" si="178"/>
        <v>-42.946580139725661</v>
      </c>
      <c r="AF200" t="str">
        <f t="shared" si="160"/>
        <v>69.5520360182888</v>
      </c>
      <c r="AG200" t="str">
        <f t="shared" si="161"/>
        <v>1+0.743273105365121i</v>
      </c>
      <c r="AH200">
        <f t="shared" si="179"/>
        <v>1.2459754849751701</v>
      </c>
      <c r="AI200">
        <f t="shared" si="180"/>
        <v>0.63918197691246204</v>
      </c>
      <c r="AJ200" t="str">
        <f t="shared" si="162"/>
        <v>1+0.0156087352126675i</v>
      </c>
      <c r="AK200">
        <f t="shared" si="181"/>
        <v>1.0001218088887669</v>
      </c>
      <c r="AL200">
        <f t="shared" si="182"/>
        <v>1.5607467798940415E-2</v>
      </c>
      <c r="AM200" t="str">
        <f t="shared" si="163"/>
        <v>1-0.00189478199692004i</v>
      </c>
      <c r="AN200">
        <f t="shared" si="183"/>
        <v>1.0000017950977966</v>
      </c>
      <c r="AO200">
        <f t="shared" si="184"/>
        <v>-1.8947797293768973E-3</v>
      </c>
      <c r="AP200" s="41" t="str">
        <f t="shared" si="185"/>
        <v>45.2593188408436-32.6862010935292i</v>
      </c>
      <c r="AQ200">
        <f t="shared" si="186"/>
        <v>34.93708055108079</v>
      </c>
      <c r="AR200" s="43">
        <f t="shared" si="187"/>
        <v>-35.836750465747151</v>
      </c>
      <c r="AS200" t="str">
        <f t="shared" si="164"/>
        <v>-0.0000166666666666667</v>
      </c>
      <c r="AT200" t="str">
        <f t="shared" si="165"/>
        <v>0.0000141142818412419i</v>
      </c>
      <c r="AU200">
        <f t="shared" si="188"/>
        <v>1.4114281841241899E-5</v>
      </c>
      <c r="AV200">
        <f t="shared" si="189"/>
        <v>1.5707963267948966</v>
      </c>
      <c r="AW200" t="str">
        <f t="shared" si="166"/>
        <v>1+0.0143438220649576i</v>
      </c>
      <c r="AX200">
        <f t="shared" si="190"/>
        <v>1.0001028673248724</v>
      </c>
      <c r="AY200">
        <f t="shared" si="191"/>
        <v>1.434283846204759E-2</v>
      </c>
      <c r="AZ200" t="str">
        <f t="shared" si="167"/>
        <v>1+0.487689950208559i</v>
      </c>
      <c r="BA200">
        <f t="shared" si="192"/>
        <v>1.1125832497096237</v>
      </c>
      <c r="BB200">
        <f t="shared" si="193"/>
        <v>0.45375116036423724</v>
      </c>
      <c r="BC200" s="41" t="str">
        <f t="shared" si="194"/>
        <v>-0.558829660140446+1.18885278439087i</v>
      </c>
      <c r="BD200">
        <f t="shared" si="195"/>
        <v>2.3695561803241989</v>
      </c>
      <c r="BE200" s="43">
        <f t="shared" si="196"/>
        <v>115.1762423279213</v>
      </c>
      <c r="BF200" s="41" t="str">
        <f t="shared" si="197"/>
        <v>5.60404676704758+17.4856580530831i</v>
      </c>
      <c r="BG200" s="20">
        <f t="shared" si="198"/>
        <v>25.278277725677111</v>
      </c>
      <c r="BH200" s="43">
        <f t="shared" si="199"/>
        <v>72.22966218819559</v>
      </c>
      <c r="BI200" s="41" t="str">
        <f t="shared" si="203"/>
        <v>13.5668314151854+72.0726858719503i</v>
      </c>
      <c r="BJ200" s="20">
        <f t="shared" si="200"/>
        <v>37.306636731404993</v>
      </c>
      <c r="BK200" s="43">
        <f t="shared" si="204"/>
        <v>79.339491862174143</v>
      </c>
      <c r="BL200">
        <f t="shared" si="201"/>
        <v>25.278277725677111</v>
      </c>
      <c r="BM200" s="43">
        <f t="shared" si="202"/>
        <v>72.22966218819559</v>
      </c>
    </row>
    <row r="201" spans="14:65" x14ac:dyDescent="0.25">
      <c r="N201" s="9">
        <v>83</v>
      </c>
      <c r="O201" s="34">
        <f t="shared" si="205"/>
        <v>676.08297539198213</v>
      </c>
      <c r="P201" s="33" t="str">
        <f t="shared" si="155"/>
        <v>19.1021967526266</v>
      </c>
      <c r="Q201" s="4" t="str">
        <f t="shared" si="156"/>
        <v>1+0.95345686255304i</v>
      </c>
      <c r="R201" s="4">
        <f t="shared" si="168"/>
        <v>1.381694607628432</v>
      </c>
      <c r="S201" s="4">
        <f t="shared" si="169"/>
        <v>0.7615766323805685</v>
      </c>
      <c r="T201" s="4" t="str">
        <f t="shared" si="157"/>
        <v>1+0.0159723093614885i</v>
      </c>
      <c r="U201" s="4">
        <f t="shared" si="170"/>
        <v>1.0001275491987704</v>
      </c>
      <c r="V201" s="4">
        <f t="shared" si="171"/>
        <v>1.5970951312566217E-2</v>
      </c>
      <c r="W201" t="str">
        <f t="shared" si="158"/>
        <v>1-0.00884990545295242i</v>
      </c>
      <c r="X201" s="4">
        <f t="shared" si="172"/>
        <v>1.0000391596465241</v>
      </c>
      <c r="Y201" s="4">
        <f t="shared" si="173"/>
        <v>-8.8496744198392277E-3</v>
      </c>
      <c r="Z201" t="str">
        <f t="shared" si="159"/>
        <v>0.99999954291181+0.0065843296569966i</v>
      </c>
      <c r="AA201" s="4">
        <f t="shared" si="174"/>
        <v>1.0000212193852993</v>
      </c>
      <c r="AB201" s="4">
        <f t="shared" si="175"/>
        <v>6.5842375179425549E-3</v>
      </c>
      <c r="AC201" s="47" t="str">
        <f t="shared" si="176"/>
        <v>10.0125484005132-9.53627286026359i</v>
      </c>
      <c r="AD201" s="20">
        <f t="shared" si="177"/>
        <v>22.814688656478303</v>
      </c>
      <c r="AE201" s="43">
        <f t="shared" si="178"/>
        <v>-43.604356721585418</v>
      </c>
      <c r="AF201" t="str">
        <f t="shared" si="160"/>
        <v>69.5520360182888</v>
      </c>
      <c r="AG201" t="str">
        <f t="shared" si="161"/>
        <v>1+0.760586160070882i</v>
      </c>
      <c r="AH201">
        <f t="shared" si="179"/>
        <v>1.2563802397727248</v>
      </c>
      <c r="AI201">
        <f t="shared" si="180"/>
        <v>0.65024189627500606</v>
      </c>
      <c r="AJ201" t="str">
        <f t="shared" si="162"/>
        <v>1+0.0159723093614885i</v>
      </c>
      <c r="AK201">
        <f t="shared" si="181"/>
        <v>1.0001275491987704</v>
      </c>
      <c r="AL201">
        <f t="shared" si="182"/>
        <v>1.5970951312566217E-2</v>
      </c>
      <c r="AM201" t="str">
        <f t="shared" si="163"/>
        <v>1-0.00193891713934801i</v>
      </c>
      <c r="AN201">
        <f t="shared" si="183"/>
        <v>1.0000018796980701</v>
      </c>
      <c r="AO201">
        <f t="shared" si="184"/>
        <v>-1.9389147096320039E-3</v>
      </c>
      <c r="AP201" s="41" t="str">
        <f t="shared" si="185"/>
        <v>44.5340183695736-32.895907022947i</v>
      </c>
      <c r="AQ201">
        <f t="shared" si="186"/>
        <v>34.864899144701369</v>
      </c>
      <c r="AR201" s="43">
        <f t="shared" si="187"/>
        <v>-36.452139843820063</v>
      </c>
      <c r="AS201" t="str">
        <f t="shared" si="164"/>
        <v>-0.0000166666666666667</v>
      </c>
      <c r="AT201" t="str">
        <f t="shared" si="165"/>
        <v>0.0000144430456992183i</v>
      </c>
      <c r="AU201">
        <f t="shared" si="188"/>
        <v>1.44430456992183E-5</v>
      </c>
      <c r="AV201">
        <f t="shared" si="189"/>
        <v>1.5707963267948966</v>
      </c>
      <c r="AW201" t="str">
        <f t="shared" si="166"/>
        <v>1+0.0146779326015932i</v>
      </c>
      <c r="AX201">
        <f t="shared" si="190"/>
        <v>1.0001077150514623</v>
      </c>
      <c r="AY201">
        <f t="shared" si="191"/>
        <v>1.4676878658217105E-2</v>
      </c>
      <c r="AZ201" t="str">
        <f t="shared" si="167"/>
        <v>1+0.499049708454168i</v>
      </c>
      <c r="BA201">
        <f t="shared" si="192"/>
        <v>1.1176093286601496</v>
      </c>
      <c r="BB201">
        <f t="shared" si="193"/>
        <v>0.46288708682359381</v>
      </c>
      <c r="BC201" s="41" t="str">
        <f t="shared" si="194"/>
        <v>-0.558824242630321+1.16216028332269i</v>
      </c>
      <c r="BD201">
        <f t="shared" si="195"/>
        <v>2.2086640970082252</v>
      </c>
      <c r="BE201" s="43">
        <f t="shared" si="196"/>
        <v>115.68055326255606</v>
      </c>
      <c r="BF201" s="41" t="str">
        <f t="shared" si="197"/>
        <v>5.48742279241019+16.9652865445755i</v>
      </c>
      <c r="BG201" s="20">
        <f t="shared" si="198"/>
        <v>25.023352753486545</v>
      </c>
      <c r="BH201" s="43">
        <f t="shared" si="199"/>
        <v>72.076196540970713</v>
      </c>
      <c r="BI201" s="41" t="str">
        <f t="shared" si="203"/>
        <v>13.3436275392832+70.1386977336174i</v>
      </c>
      <c r="BJ201" s="20">
        <f t="shared" si="200"/>
        <v>37.0735632417096</v>
      </c>
      <c r="BK201" s="43">
        <f t="shared" si="204"/>
        <v>79.228413418736025</v>
      </c>
      <c r="BL201">
        <f t="shared" si="201"/>
        <v>25.023352753486545</v>
      </c>
      <c r="BM201" s="43">
        <f t="shared" si="202"/>
        <v>72.076196540970713</v>
      </c>
    </row>
    <row r="202" spans="14:65" x14ac:dyDescent="0.25">
      <c r="N202" s="9">
        <v>84</v>
      </c>
      <c r="O202" s="34">
        <f t="shared" si="205"/>
        <v>691.83097091893671</v>
      </c>
      <c r="P202" s="33" t="str">
        <f t="shared" si="155"/>
        <v>19.1021967526266</v>
      </c>
      <c r="Q202" s="4" t="str">
        <f t="shared" si="156"/>
        <v>1+0.975665725892519i</v>
      </c>
      <c r="R202" s="4">
        <f t="shared" si="168"/>
        <v>1.3971125969947362</v>
      </c>
      <c r="S202" s="4">
        <f t="shared" si="169"/>
        <v>0.77308178652829529</v>
      </c>
      <c r="T202" s="4" t="str">
        <f t="shared" si="157"/>
        <v>1+0.0163443522401515i</v>
      </c>
      <c r="U202" s="4">
        <f t="shared" si="170"/>
        <v>1.0001335600059376</v>
      </c>
      <c r="V202" s="4">
        <f t="shared" si="171"/>
        <v>1.6342897075009015E-2</v>
      </c>
      <c r="W202" t="str">
        <f t="shared" si="158"/>
        <v>1-0.00905604623235344i</v>
      </c>
      <c r="X202" s="4">
        <f t="shared" si="172"/>
        <v>1.0000410051459703</v>
      </c>
      <c r="Y202" s="4">
        <f t="shared" si="173"/>
        <v>-9.055798676460728E-3</v>
      </c>
      <c r="Z202" t="str">
        <f t="shared" si="159"/>
        <v>0.999999521369908+0.00673769839687095i</v>
      </c>
      <c r="AA202" s="4">
        <f t="shared" si="174"/>
        <v>1.0000222194130151</v>
      </c>
      <c r="AB202" s="4">
        <f t="shared" si="175"/>
        <v>6.7375996682142308E-3</v>
      </c>
      <c r="AC202" s="47" t="str">
        <f t="shared" si="176"/>
        <v>9.79308141265863-9.54427565373304i</v>
      </c>
      <c r="AD202" s="20">
        <f t="shared" si="177"/>
        <v>22.718361286072373</v>
      </c>
      <c r="AE202" s="43">
        <f t="shared" si="178"/>
        <v>-44.262839628409054</v>
      </c>
      <c r="AF202" t="str">
        <f t="shared" si="160"/>
        <v>69.5520360182888</v>
      </c>
      <c r="AG202" t="str">
        <f t="shared" si="161"/>
        <v>1+0.778302487626262i</v>
      </c>
      <c r="AH202">
        <f t="shared" si="179"/>
        <v>1.2671837918175988</v>
      </c>
      <c r="AI202">
        <f t="shared" si="180"/>
        <v>0.66137002032434777</v>
      </c>
      <c r="AJ202" t="str">
        <f t="shared" si="162"/>
        <v>1+0.0163443522401515i</v>
      </c>
      <c r="AK202">
        <f t="shared" si="181"/>
        <v>1.0001335600059376</v>
      </c>
      <c r="AL202">
        <f t="shared" si="182"/>
        <v>1.6342897075009015E-2</v>
      </c>
      <c r="AM202" t="str">
        <f t="shared" si="163"/>
        <v>1-0.00198408032130786i</v>
      </c>
      <c r="AN202">
        <f t="shared" si="183"/>
        <v>1.0000019682854235</v>
      </c>
      <c r="AO202">
        <f t="shared" si="184"/>
        <v>-1.9840777178205299E-3</v>
      </c>
      <c r="AP202" s="41" t="str">
        <f t="shared" si="185"/>
        <v>43.799745070426-33.0906643959768i</v>
      </c>
      <c r="AQ202">
        <f t="shared" si="186"/>
        <v>34.790581874411465</v>
      </c>
      <c r="AR202" s="43">
        <f t="shared" si="187"/>
        <v>-37.071011113108938</v>
      </c>
      <c r="AS202" t="str">
        <f t="shared" si="164"/>
        <v>-0.0000166666666666667</v>
      </c>
      <c r="AT202" t="str">
        <f t="shared" si="165"/>
        <v>0.0000147794674512008i</v>
      </c>
      <c r="AU202">
        <f t="shared" si="188"/>
        <v>1.47794674512008E-5</v>
      </c>
      <c r="AV202">
        <f t="shared" si="189"/>
        <v>1.5707963267948966</v>
      </c>
      <c r="AW202" t="str">
        <f t="shared" si="166"/>
        <v>1+0.0150198255723795i</v>
      </c>
      <c r="AX202">
        <f t="shared" si="190"/>
        <v>1.0001127912191827</v>
      </c>
      <c r="AY202">
        <f t="shared" si="191"/>
        <v>1.5018696258584013E-2</v>
      </c>
      <c r="AZ202" t="str">
        <f t="shared" si="167"/>
        <v>1+0.510674069460903i</v>
      </c>
      <c r="BA202">
        <f t="shared" si="192"/>
        <v>1.1228481665923309</v>
      </c>
      <c r="BB202">
        <f t="shared" si="193"/>
        <v>0.47215035522038729</v>
      </c>
      <c r="BC202" s="41" t="str">
        <f t="shared" si="194"/>
        <v>-0.558818569913386+1.13608396752431i</v>
      </c>
      <c r="BD202">
        <f t="shared" si="195"/>
        <v>2.0492403315874883</v>
      </c>
      <c r="BE202" s="43">
        <f t="shared" si="196"/>
        <v>116.191714740325</v>
      </c>
      <c r="BF202" s="41" t="str">
        <f t="shared" si="197"/>
        <v>5.37054280177145+16.45928125726i</v>
      </c>
      <c r="BG202" s="20">
        <f t="shared" si="198"/>
        <v>24.767601617659842</v>
      </c>
      <c r="BH202" s="43">
        <f t="shared" si="199"/>
        <v>71.928875111915914</v>
      </c>
      <c r="BI202" s="41" t="str">
        <f t="shared" si="203"/>
        <v>13.1176623921704+68.2518659114065i</v>
      </c>
      <c r="BJ202" s="20">
        <f t="shared" si="200"/>
        <v>36.839822205998956</v>
      </c>
      <c r="BK202" s="43">
        <f t="shared" si="204"/>
        <v>79.120703627216074</v>
      </c>
      <c r="BL202">
        <f t="shared" si="201"/>
        <v>24.767601617659842</v>
      </c>
      <c r="BM202" s="43">
        <f t="shared" si="202"/>
        <v>71.928875111915914</v>
      </c>
    </row>
    <row r="203" spans="14:65" x14ac:dyDescent="0.25">
      <c r="N203" s="9">
        <v>85</v>
      </c>
      <c r="O203" s="34">
        <f t="shared" si="205"/>
        <v>707.94578438413873</v>
      </c>
      <c r="P203" s="33" t="str">
        <f t="shared" si="155"/>
        <v>19.1021967526266</v>
      </c>
      <c r="Q203" s="4" t="str">
        <f t="shared" si="156"/>
        <v>1+0.998391900114332i</v>
      </c>
      <c r="R203" s="4">
        <f t="shared" si="168"/>
        <v>1.4130769215488257</v>
      </c>
      <c r="S203" s="4">
        <f t="shared" si="169"/>
        <v>0.78459346661176044</v>
      </c>
      <c r="T203" s="4" t="str">
        <f t="shared" si="157"/>
        <v>1+0.0167250611107153i</v>
      </c>
      <c r="U203" s="4">
        <f t="shared" si="170"/>
        <v>1.0001398540550002</v>
      </c>
      <c r="V203" s="4">
        <f t="shared" si="171"/>
        <v>1.6723501884948418E-2</v>
      </c>
      <c r="W203" t="str">
        <f t="shared" si="158"/>
        <v>1-0.00926698864733781i</v>
      </c>
      <c r="X203" s="4">
        <f t="shared" si="172"/>
        <v>1.0000429376174755</v>
      </c>
      <c r="Y203" s="4">
        <f t="shared" si="173"/>
        <v>-9.2667233870347577E-3</v>
      </c>
      <c r="Z203" t="str">
        <f t="shared" si="159"/>
        <v>0.999999498812766+0.00689463955361933i</v>
      </c>
      <c r="AA203" s="4">
        <f t="shared" si="174"/>
        <v>1.0000232665695119</v>
      </c>
      <c r="AB203" s="4">
        <f t="shared" si="175"/>
        <v>6.8945337640905976E-3</v>
      </c>
      <c r="AC203" s="47" t="str">
        <f t="shared" si="176"/>
        <v>9.57336535191353-9.54722860188132i</v>
      </c>
      <c r="AD203" s="20">
        <f t="shared" si="177"/>
        <v>22.619735735963037</v>
      </c>
      <c r="AE203" s="43">
        <f t="shared" si="178"/>
        <v>-44.921680020090932</v>
      </c>
      <c r="AF203" t="str">
        <f t="shared" si="160"/>
        <v>69.5520360182888</v>
      </c>
      <c r="AG203" t="str">
        <f t="shared" si="161"/>
        <v>1+0.796431481462633i</v>
      </c>
      <c r="AH203">
        <f t="shared" si="179"/>
        <v>1.2783986485696723</v>
      </c>
      <c r="AI203">
        <f t="shared" si="180"/>
        <v>0.67256122541031604</v>
      </c>
      <c r="AJ203" t="str">
        <f t="shared" si="162"/>
        <v>1+0.0167250611107153i</v>
      </c>
      <c r="AK203">
        <f t="shared" si="181"/>
        <v>1.0001398540550002</v>
      </c>
      <c r="AL203">
        <f t="shared" si="182"/>
        <v>1.6723501884948418E-2</v>
      </c>
      <c r="AM203" t="str">
        <f t="shared" si="163"/>
        <v>1-0.00203029548891649i</v>
      </c>
      <c r="AN203">
        <f t="shared" si="183"/>
        <v>1.0000020610477622</v>
      </c>
      <c r="AO203">
        <f t="shared" si="184"/>
        <v>-2.0302926992298654E-3</v>
      </c>
      <c r="AP203" s="41" t="str">
        <f t="shared" si="185"/>
        <v>43.0571239018722-33.2699981088806i</v>
      </c>
      <c r="AQ203">
        <f t="shared" si="186"/>
        <v>34.71410347167518</v>
      </c>
      <c r="AR203" s="43">
        <f t="shared" si="187"/>
        <v>-37.693060806313433</v>
      </c>
      <c r="AS203" t="str">
        <f t="shared" si="164"/>
        <v>-0.0000166666666666667</v>
      </c>
      <c r="AT203" t="str">
        <f t="shared" si="165"/>
        <v>0.0000151237254724553i</v>
      </c>
      <c r="AU203">
        <f t="shared" si="188"/>
        <v>1.51237254724553E-5</v>
      </c>
      <c r="AV203">
        <f t="shared" si="189"/>
        <v>1.5707963267948966</v>
      </c>
      <c r="AW203" t="str">
        <f t="shared" si="166"/>
        <v>1+0.0153696822534952i</v>
      </c>
      <c r="AX203">
        <f t="shared" si="190"/>
        <v>1.0001181065917031</v>
      </c>
      <c r="AY203">
        <f t="shared" si="191"/>
        <v>1.5368472179679495E-2</v>
      </c>
      <c r="AZ203" t="str">
        <f t="shared" si="167"/>
        <v>1+0.522569196618838i</v>
      </c>
      <c r="BA203">
        <f t="shared" si="192"/>
        <v>1.1283078326657392</v>
      </c>
      <c r="BB203">
        <f t="shared" si="193"/>
        <v>0.48153951722761618</v>
      </c>
      <c r="BC203" s="41" t="str">
        <f t="shared" si="194"/>
        <v>-0.558812629972978+1.11061001045212i</v>
      </c>
      <c r="BD203">
        <f t="shared" si="195"/>
        <v>1.8913255442071184</v>
      </c>
      <c r="BE203" s="43">
        <f t="shared" si="196"/>
        <v>116.70963341244979</v>
      </c>
      <c r="BF203" s="41" t="str">
        <f t="shared" si="197"/>
        <v>5.25353018732921+15.9673873175212i</v>
      </c>
      <c r="BG203" s="20">
        <f t="shared" si="198"/>
        <v>24.511061280170161</v>
      </c>
      <c r="BH203" s="43">
        <f t="shared" si="199"/>
        <v>71.787953392358872</v>
      </c>
      <c r="BI203" s="41" t="str">
        <f t="shared" si="203"/>
        <v>12.8891283007683+66.4113679691161i</v>
      </c>
      <c r="BJ203" s="20">
        <f t="shared" si="200"/>
        <v>36.605429015882301</v>
      </c>
      <c r="BK203" s="43">
        <f t="shared" si="204"/>
        <v>79.016572606136393</v>
      </c>
      <c r="BL203">
        <f t="shared" si="201"/>
        <v>24.511061280170161</v>
      </c>
      <c r="BM203" s="43">
        <f t="shared" si="202"/>
        <v>71.787953392358872</v>
      </c>
    </row>
    <row r="204" spans="14:65" x14ac:dyDescent="0.25">
      <c r="N204" s="9">
        <v>86</v>
      </c>
      <c r="O204" s="34">
        <f t="shared" si="205"/>
        <v>724.43596007499025</v>
      </c>
      <c r="P204" s="33" t="str">
        <f t="shared" si="155"/>
        <v>19.1021967526266</v>
      </c>
      <c r="Q204" s="4" t="str">
        <f t="shared" si="156"/>
        <v>1+1.02164743493686i</v>
      </c>
      <c r="R204" s="4">
        <f t="shared" si="168"/>
        <v>1.4296025606136362</v>
      </c>
      <c r="S204" s="4">
        <f t="shared" si="169"/>
        <v>0.79610557324229358</v>
      </c>
      <c r="T204" s="4" t="str">
        <f t="shared" si="157"/>
        <v>1+0.0171146378300623i</v>
      </c>
      <c r="U204" s="4">
        <f t="shared" si="170"/>
        <v>1.0001464446910033</v>
      </c>
      <c r="V204" s="4">
        <f t="shared" si="171"/>
        <v>1.7112967102764057E-2</v>
      </c>
      <c r="W204" t="str">
        <f t="shared" si="158"/>
        <v>1-0.00948284454236608i</v>
      </c>
      <c r="X204" s="4">
        <f t="shared" si="172"/>
        <v>1.0000449611595543</v>
      </c>
      <c r="Y204" s="4">
        <f t="shared" si="173"/>
        <v>-9.4825603115206106E-3</v>
      </c>
      <c r="Z204" t="str">
        <f t="shared" si="159"/>
        <v>0.99999947519254+0.00705523633952036i</v>
      </c>
      <c r="AA204" s="4">
        <f t="shared" si="174"/>
        <v>1.0000243630758012</v>
      </c>
      <c r="AB204" s="4">
        <f t="shared" si="175"/>
        <v>7.0551229841471609E-3</v>
      </c>
      <c r="AC204" s="47" t="str">
        <f t="shared" si="176"/>
        <v>9.35363296431348-9.54512410577476i</v>
      </c>
      <c r="AD204" s="20">
        <f t="shared" si="177"/>
        <v>22.51881074789641</v>
      </c>
      <c r="AE204" s="43">
        <f t="shared" si="178"/>
        <v>-45.580528059457741</v>
      </c>
      <c r="AF204" t="str">
        <f t="shared" si="160"/>
        <v>69.5520360182888</v>
      </c>
      <c r="AG204" t="str">
        <f t="shared" si="161"/>
        <v>1+0.814982753812491i</v>
      </c>
      <c r="AH204">
        <f t="shared" si="179"/>
        <v>1.2900375533339297</v>
      </c>
      <c r="AI204">
        <f t="shared" si="180"/>
        <v>0.68381023287214127</v>
      </c>
      <c r="AJ204" t="str">
        <f t="shared" si="162"/>
        <v>1+0.0171146378300623i</v>
      </c>
      <c r="AK204">
        <f t="shared" si="181"/>
        <v>1.0001464446910033</v>
      </c>
      <c r="AL204">
        <f t="shared" si="182"/>
        <v>1.7112967102764057E-2</v>
      </c>
      <c r="AM204" t="str">
        <f t="shared" si="163"/>
        <v>1-0.00207758714606747i</v>
      </c>
      <c r="AN204">
        <f t="shared" si="183"/>
        <v>1.0000021581818459</v>
      </c>
      <c r="AO204">
        <f t="shared" si="184"/>
        <v>-2.0775841568647447E-3</v>
      </c>
      <c r="AP204" s="41" t="str">
        <f t="shared" si="185"/>
        <v>42.3068119964556-33.4334646551167i</v>
      </c>
      <c r="AQ204">
        <f t="shared" si="186"/>
        <v>34.635440551816501</v>
      </c>
      <c r="AR204" s="43">
        <f t="shared" si="187"/>
        <v>-38.317976345268711</v>
      </c>
      <c r="AS204" t="str">
        <f t="shared" si="164"/>
        <v>-0.0000166666666666667</v>
      </c>
      <c r="AT204" t="str">
        <f t="shared" si="165"/>
        <v>0.0000154760022931414i</v>
      </c>
      <c r="AU204">
        <f t="shared" si="188"/>
        <v>1.5476002293141401E-5</v>
      </c>
      <c r="AV204">
        <f t="shared" si="189"/>
        <v>1.5707963267948966</v>
      </c>
      <c r="AW204" t="str">
        <f t="shared" si="166"/>
        <v>1+0.0157276881435835i</v>
      </c>
      <c r="AX204">
        <f t="shared" si="190"/>
        <v>1.0001236724397347</v>
      </c>
      <c r="AY204">
        <f t="shared" si="191"/>
        <v>1.5726391534788622E-2</v>
      </c>
      <c r="AZ204" t="str">
        <f t="shared" si="167"/>
        <v>1+0.53474139688184i</v>
      </c>
      <c r="BA204">
        <f t="shared" si="192"/>
        <v>1.1339966320669306</v>
      </c>
      <c r="BB204">
        <f t="shared" si="193"/>
        <v>0.49105292850404259</v>
      </c>
      <c r="BC204" s="41" t="str">
        <f t="shared" si="194"/>
        <v>-0.558806410227146+1.08572490490279i</v>
      </c>
      <c r="BD204">
        <f t="shared" si="195"/>
        <v>1.7349604399429528</v>
      </c>
      <c r="BE204" s="43">
        <f t="shared" si="196"/>
        <v>117.23420445890734</v>
      </c>
      <c r="BF204" s="41" t="str">
        <f t="shared" si="197"/>
        <v>5.13650890265731+15.4893487973954i</v>
      </c>
      <c r="BG204" s="20">
        <f t="shared" si="198"/>
        <v>24.253771187839341</v>
      </c>
      <c r="BH204" s="43">
        <f t="shared" si="199"/>
        <v>71.653676399449566</v>
      </c>
      <c r="BI204" s="41" t="str">
        <f t="shared" si="203"/>
        <v>12.6582274933533+64.6163937969739i</v>
      </c>
      <c r="BJ204" s="20">
        <f t="shared" si="200"/>
        <v>36.370400991759453</v>
      </c>
      <c r="BK204" s="43">
        <f t="shared" si="204"/>
        <v>78.91622811363861</v>
      </c>
      <c r="BL204">
        <f t="shared" si="201"/>
        <v>24.253771187839341</v>
      </c>
      <c r="BM204" s="43">
        <f t="shared" si="202"/>
        <v>71.653676399449566</v>
      </c>
    </row>
    <row r="205" spans="14:65" x14ac:dyDescent="0.25">
      <c r="N205" s="9">
        <v>87</v>
      </c>
      <c r="O205" s="34">
        <f t="shared" si="205"/>
        <v>741.31024130091828</v>
      </c>
      <c r="P205" s="33" t="str">
        <f t="shared" si="155"/>
        <v>19.1021967526266</v>
      </c>
      <c r="Q205" s="4" t="str">
        <f t="shared" si="156"/>
        <v>1+1.0454446607525i</v>
      </c>
      <c r="R205" s="4">
        <f t="shared" si="168"/>
        <v>1.446704717174832</v>
      </c>
      <c r="S205" s="4">
        <f t="shared" si="169"/>
        <v>0.80761200590145077</v>
      </c>
      <c r="T205" s="4" t="str">
        <f t="shared" si="157"/>
        <v>1+0.0175132889569258i</v>
      </c>
      <c r="U205" s="4">
        <f t="shared" si="170"/>
        <v>1.0001533458875638</v>
      </c>
      <c r="V205" s="4">
        <f t="shared" si="171"/>
        <v>1.7511498755195989E-2</v>
      </c>
      <c r="W205" t="str">
        <f t="shared" si="158"/>
        <v>1-0.009703728367091i</v>
      </c>
      <c r="X205" s="4">
        <f t="shared" si="172"/>
        <v>1.000047080063845</v>
      </c>
      <c r="Y205" s="4">
        <f t="shared" si="173"/>
        <v>-9.7034238090273079E-3</v>
      </c>
      <c r="Z205" t="str">
        <f t="shared" si="159"/>
        <v>0.999999450459126+0.0072195739051157i</v>
      </c>
      <c r="AA205" s="4">
        <f t="shared" si="174"/>
        <v>1.0000255112575505</v>
      </c>
      <c r="AB205" s="4">
        <f t="shared" si="175"/>
        <v>7.2194524428122984E-3</v>
      </c>
      <c r="AC205" s="47" t="str">
        <f t="shared" si="176"/>
        <v>9.13411706477974-9.53796796707069i</v>
      </c>
      <c r="AD205" s="20">
        <f t="shared" si="177"/>
        <v>22.415587509704508</v>
      </c>
      <c r="AE205" s="43">
        <f t="shared" si="178"/>
        <v>-46.239033837078814</v>
      </c>
      <c r="AF205" t="str">
        <f t="shared" si="160"/>
        <v>69.5520360182888</v>
      </c>
      <c r="AG205" t="str">
        <f t="shared" si="161"/>
        <v>1+0.833966140805993i</v>
      </c>
      <c r="AH205">
        <f t="shared" si="179"/>
        <v>1.3021134835377604</v>
      </c>
      <c r="AI205">
        <f t="shared" si="180"/>
        <v>0.69511162013624828</v>
      </c>
      <c r="AJ205" t="str">
        <f t="shared" si="162"/>
        <v>1+0.0175132889569258i</v>
      </c>
      <c r="AK205">
        <f t="shared" si="181"/>
        <v>1.0001533458875638</v>
      </c>
      <c r="AL205">
        <f t="shared" si="182"/>
        <v>1.7511498755195989E-2</v>
      </c>
      <c r="AM205" t="str">
        <f t="shared" si="163"/>
        <v>1-0.00212598036742341i</v>
      </c>
      <c r="AN205">
        <f t="shared" si="183"/>
        <v>1.0000022598937077</v>
      </c>
      <c r="AO205">
        <f t="shared" si="184"/>
        <v>-2.1259771644353731E-3</v>
      </c>
      <c r="AP205" s="41" t="str">
        <f t="shared" si="185"/>
        <v>41.5494966263911-33.5806547127014i</v>
      </c>
      <c r="AQ205">
        <f t="shared" si="186"/>
        <v>34.554571705610712</v>
      </c>
      <c r="AR205" s="43">
        <f t="shared" si="187"/>
        <v>-38.945436671549928</v>
      </c>
      <c r="AS205" t="str">
        <f t="shared" si="164"/>
        <v>-0.0000166666666666667</v>
      </c>
      <c r="AT205" t="str">
        <f t="shared" si="165"/>
        <v>0.0000158364846950925i</v>
      </c>
      <c r="AU205">
        <f t="shared" si="188"/>
        <v>1.5836484695092499E-5</v>
      </c>
      <c r="AV205">
        <f t="shared" si="189"/>
        <v>1.5707963267948966</v>
      </c>
      <c r="AW205" t="str">
        <f t="shared" si="166"/>
        <v>1+0.0160940330621061i</v>
      </c>
      <c r="AX205">
        <f t="shared" si="190"/>
        <v>1.000129500564904</v>
      </c>
      <c r="AY205">
        <f t="shared" si="191"/>
        <v>1.6092643730466913E-2</v>
      </c>
      <c r="AZ205" t="str">
        <f t="shared" si="167"/>
        <v>1+0.547197124111608i</v>
      </c>
      <c r="BA205">
        <f t="shared" si="192"/>
        <v>1.1399231082121348</v>
      </c>
      <c r="BB205">
        <f t="shared" si="193"/>
        <v>0.5006887442575052</v>
      </c>
      <c r="BC205" s="41" t="str">
        <f t="shared" si="194"/>
        <v>-0.558799897502116+1.06141545584881i</v>
      </c>
      <c r="BD205">
        <f t="shared" si="195"/>
        <v>1.580185682481926</v>
      </c>
      <c r="BE205" s="43">
        <f t="shared" si="196"/>
        <v>117.76531132869654</v>
      </c>
      <c r="BF205" s="41" t="str">
        <f t="shared" si="197"/>
        <v>5.01960293806844+15.0249085504671i</v>
      </c>
      <c r="BG205" s="20">
        <f t="shared" si="198"/>
        <v>23.995773192186405</v>
      </c>
      <c r="BH205" s="43">
        <f t="shared" si="199"/>
        <v>71.526277491617662</v>
      </c>
      <c r="BI205" s="41" t="str">
        <f t="shared" si="203"/>
        <v>12.4251714734916+62.866144313501i</v>
      </c>
      <c r="BJ205" s="20">
        <f t="shared" si="200"/>
        <v>36.134757388092638</v>
      </c>
      <c r="BK205" s="43">
        <f t="shared" si="204"/>
        <v>78.819874657146613</v>
      </c>
      <c r="BL205">
        <f t="shared" si="201"/>
        <v>23.995773192186405</v>
      </c>
      <c r="BM205" s="43">
        <f t="shared" si="202"/>
        <v>71.526277491617662</v>
      </c>
    </row>
    <row r="206" spans="14:65" x14ac:dyDescent="0.25">
      <c r="N206" s="9">
        <v>88</v>
      </c>
      <c r="O206" s="34">
        <f t="shared" si="205"/>
        <v>758.57757502918378</v>
      </c>
      <c r="P206" s="33" t="str">
        <f t="shared" si="155"/>
        <v>19.1021967526266</v>
      </c>
      <c r="Q206" s="4" t="str">
        <f t="shared" si="156"/>
        <v>1+1.06979619516536i</v>
      </c>
      <c r="R206" s="4">
        <f t="shared" si="168"/>
        <v>1.4643988183518453</v>
      </c>
      <c r="S206" s="4">
        <f t="shared" si="169"/>
        <v>0.81910667909104617</v>
      </c>
      <c r="T206" s="4" t="str">
        <f t="shared" si="157"/>
        <v>1+0.0179212258614101i</v>
      </c>
      <c r="U206" s="4">
        <f t="shared" si="170"/>
        <v>1.0001605722764599</v>
      </c>
      <c r="V206" s="4">
        <f t="shared" si="171"/>
        <v>1.7919307642328849E-2</v>
      </c>
      <c r="W206" t="str">
        <f t="shared" si="158"/>
        <v>1-0.00992975723704019i</v>
      </c>
      <c r="X206" s="4">
        <f t="shared" si="172"/>
        <v>1.0000492988242062</v>
      </c>
      <c r="Y206" s="4">
        <f t="shared" si="173"/>
        <v>-9.9294308980642336E-3</v>
      </c>
      <c r="Z206" t="str">
        <f t="shared" si="159"/>
        <v>0.999999424560063+0.0073877393843579i</v>
      </c>
      <c r="AA206" s="4">
        <f t="shared" si="174"/>
        <v>1.0000267135500271</v>
      </c>
      <c r="AB206" s="4">
        <f t="shared" si="175"/>
        <v>7.3876092353426896E-3</v>
      </c>
      <c r="AC206" s="47" t="str">
        <f t="shared" si="176"/>
        <v>8.91504955138016-9.52577935082453i</v>
      </c>
      <c r="AD206" s="20">
        <f t="shared" si="177"/>
        <v>22.310069651152851</v>
      </c>
      <c r="AE206" s="43">
        <f t="shared" si="178"/>
        <v>-46.896848296494497</v>
      </c>
      <c r="AF206" t="str">
        <f t="shared" si="160"/>
        <v>69.5520360182888</v>
      </c>
      <c r="AG206" t="str">
        <f t="shared" si="161"/>
        <v>1+0.853391707686197i</v>
      </c>
      <c r="AH206">
        <f t="shared" si="179"/>
        <v>1.3146396490094019</v>
      </c>
      <c r="AI206">
        <f t="shared" si="180"/>
        <v>0.70645983266156187</v>
      </c>
      <c r="AJ206" t="str">
        <f t="shared" si="162"/>
        <v>1+0.0179212258614101i</v>
      </c>
      <c r="AK206">
        <f t="shared" si="181"/>
        <v>1.0001605722764599</v>
      </c>
      <c r="AL206">
        <f t="shared" si="182"/>
        <v>1.7919307642328849E-2</v>
      </c>
      <c r="AM206" t="str">
        <f t="shared" si="163"/>
        <v>1-0.00217550081171084i</v>
      </c>
      <c r="AN206">
        <f t="shared" si="183"/>
        <v>1.0000023663990909</v>
      </c>
      <c r="AO206">
        <f t="shared" si="184"/>
        <v>-2.1754973796477631E-3</v>
      </c>
      <c r="AP206" s="41" t="str">
        <f t="shared" si="185"/>
        <v>40.7858929258938-33.7111955777442i</v>
      </c>
      <c r="AQ206">
        <f t="shared" si="186"/>
        <v>34.471477584567985</v>
      </c>
      <c r="AR206" s="43">
        <f t="shared" si="187"/>
        <v>-39.575112925519562</v>
      </c>
      <c r="AS206" t="str">
        <f t="shared" si="164"/>
        <v>-0.0000166666666666667</v>
      </c>
      <c r="AT206" t="str">
        <f t="shared" si="165"/>
        <v>0.0000162053638108496i</v>
      </c>
      <c r="AU206">
        <f t="shared" si="188"/>
        <v>1.6205363810849602E-5</v>
      </c>
      <c r="AV206">
        <f t="shared" si="189"/>
        <v>1.5707963267948966</v>
      </c>
      <c r="AW206" t="str">
        <f t="shared" si="166"/>
        <v>1+0.016468911249988i</v>
      </c>
      <c r="AX206">
        <f t="shared" si="190"/>
        <v>1.000135603324749</v>
      </c>
      <c r="AY206">
        <f t="shared" si="191"/>
        <v>1.6467422565216425E-2</v>
      </c>
      <c r="AZ206" t="str">
        <f t="shared" si="167"/>
        <v>1+0.559942982499591i</v>
      </c>
      <c r="BA206">
        <f t="shared" si="192"/>
        <v>1.146096044688462</v>
      </c>
      <c r="BB206">
        <f t="shared" si="193"/>
        <v>0.51044491533460712</v>
      </c>
      <c r="BC206" s="41" t="str">
        <f t="shared" si="194"/>
        <v>-0.558793078004519+1.03766877343941i</v>
      </c>
      <c r="BD206">
        <f t="shared" si="195"/>
        <v>1.4270418032825327</v>
      </c>
      <c r="BE206" s="43">
        <f t="shared" si="196"/>
        <v>118.30282551014031</v>
      </c>
      <c r="BF206" s="41" t="str">
        <f t="shared" si="197"/>
        <v>4.90293579564602+14.5738080969713i</v>
      </c>
      <c r="BG206" s="20">
        <f t="shared" si="198"/>
        <v>23.737111454435361</v>
      </c>
      <c r="BH206" s="43">
        <f t="shared" si="199"/>
        <v>71.405977213645784</v>
      </c>
      <c r="BI206" s="41" t="str">
        <f t="shared" si="203"/>
        <v>12.190180319111+61.1598302261433i</v>
      </c>
      <c r="BJ206" s="20">
        <f t="shared" si="200"/>
        <v>35.898519387850513</v>
      </c>
      <c r="BK206" s="43">
        <f t="shared" si="204"/>
        <v>78.727712584620704</v>
      </c>
      <c r="BL206">
        <f t="shared" si="201"/>
        <v>23.737111454435361</v>
      </c>
      <c r="BM206" s="43">
        <f t="shared" si="202"/>
        <v>71.405977213645784</v>
      </c>
    </row>
    <row r="207" spans="14:65" x14ac:dyDescent="0.25">
      <c r="N207" s="9">
        <v>89</v>
      </c>
      <c r="O207" s="34">
        <f t="shared" si="205"/>
        <v>776.24711662869231</v>
      </c>
      <c r="P207" s="33" t="str">
        <f t="shared" si="155"/>
        <v>19.1021967526266</v>
      </c>
      <c r="Q207" s="4" t="str">
        <f t="shared" si="156"/>
        <v>1+1.09471494968133i</v>
      </c>
      <c r="R207" s="4">
        <f t="shared" si="168"/>
        <v>1.4827005163065792</v>
      </c>
      <c r="S207" s="4">
        <f t="shared" si="169"/>
        <v>0.83058353838633736</v>
      </c>
      <c r="T207" s="4" t="str">
        <f t="shared" si="157"/>
        <v>1+0.0183386648370616i</v>
      </c>
      <c r="U207" s="4">
        <f t="shared" si="170"/>
        <v>1.0001681391786112</v>
      </c>
      <c r="V207" s="4">
        <f t="shared" si="171"/>
        <v>1.833660944694596E-2</v>
      </c>
      <c r="W207" t="str">
        <f t="shared" si="158"/>
        <v>1-0.0101610509957123i</v>
      </c>
      <c r="X207" s="4">
        <f t="shared" si="172"/>
        <v>1.0000516221462457</v>
      </c>
      <c r="Y207" s="4">
        <f t="shared" si="173"/>
        <v>-1.0160701318174377E-2</v>
      </c>
      <c r="Z207" t="str">
        <f t="shared" si="159"/>
        <v>0.999999397440414+0.00755982194080997i</v>
      </c>
      <c r="AA207" s="4">
        <f t="shared" si="174"/>
        <v>1.0000279725032535</v>
      </c>
      <c r="AB207" s="4">
        <f t="shared" si="175"/>
        <v>7.5596824838382723E-3</v>
      </c>
      <c r="AC207" s="47" t="str">
        <f t="shared" si="176"/>
        <v>8.6966604278259-9.50859066223884i</v>
      </c>
      <c r="AD207" s="20">
        <f t="shared" si="177"/>
        <v>22.202263229509526</v>
      </c>
      <c r="AE207" s="43">
        <f t="shared" si="178"/>
        <v>-47.553624153896827</v>
      </c>
      <c r="AF207" t="str">
        <f t="shared" si="160"/>
        <v>69.5520360182888</v>
      </c>
      <c r="AG207" t="str">
        <f t="shared" si="161"/>
        <v>1+0.873269754145792i</v>
      </c>
      <c r="AH207">
        <f t="shared" si="179"/>
        <v>1.3276294902968417</v>
      </c>
      <c r="AI207">
        <f t="shared" si="180"/>
        <v>0.71784919667601477</v>
      </c>
      <c r="AJ207" t="str">
        <f t="shared" si="162"/>
        <v>1+0.0183386648370616i</v>
      </c>
      <c r="AK207">
        <f t="shared" si="181"/>
        <v>1.0001681391786112</v>
      </c>
      <c r="AL207">
        <f t="shared" si="182"/>
        <v>1.833660944694596E-2</v>
      </c>
      <c r="AM207" t="str">
        <f t="shared" si="163"/>
        <v>1-0.00222617473532479i</v>
      </c>
      <c r="AN207">
        <f t="shared" si="183"/>
        <v>1.0000024779239061</v>
      </c>
      <c r="AO207">
        <f t="shared" si="184"/>
        <v>-2.2261710578034381E-3</v>
      </c>
      <c r="AP207" s="41" t="str">
        <f t="shared" si="185"/>
        <v>40.0167413837836-33.8247534180322i</v>
      </c>
      <c r="AQ207">
        <f t="shared" si="186"/>
        <v>34.386140979215838</v>
      </c>
      <c r="AR207" s="43">
        <f t="shared" si="187"/>
        <v>-40.206669170588867</v>
      </c>
      <c r="AS207" t="str">
        <f t="shared" si="164"/>
        <v>-0.0000166666666666667</v>
      </c>
      <c r="AT207" t="str">
        <f t="shared" si="165"/>
        <v>0.0000165828352250025i</v>
      </c>
      <c r="AU207">
        <f t="shared" si="188"/>
        <v>1.65828352250025E-5</v>
      </c>
      <c r="AV207">
        <f t="shared" si="189"/>
        <v>1.5707963267948966</v>
      </c>
      <c r="AW207" t="str">
        <f t="shared" si="166"/>
        <v>1+0.0168525214726064i</v>
      </c>
      <c r="AX207">
        <f t="shared" si="190"/>
        <v>1.0001419936588927</v>
      </c>
      <c r="AY207">
        <f t="shared" si="191"/>
        <v>1.6850926330365369E-2</v>
      </c>
      <c r="AZ207" t="str">
        <f t="shared" si="167"/>
        <v>1+0.572985730068617i</v>
      </c>
      <c r="BA207">
        <f t="shared" si="192"/>
        <v>1.1525244669256554</v>
      </c>
      <c r="BB207">
        <f t="shared" si="193"/>
        <v>0.52031918489213291</v>
      </c>
      <c r="BC207" s="41" t="str">
        <f t="shared" si="194"/>
        <v>-0.558785937292301+1.01447226616309i</v>
      </c>
      <c r="BD207">
        <f t="shared" si="195"/>
        <v>1.275569106443952</v>
      </c>
      <c r="BE207" s="43">
        <f t="shared" si="196"/>
        <v>118.84660633439047</v>
      </c>
      <c r="BF207" s="41" t="str">
        <f t="shared" si="197"/>
        <v>4.78662996866307+14.1357875577954i</v>
      </c>
      <c r="BG207" s="20">
        <f t="shared" si="198"/>
        <v>23.477832335953501</v>
      </c>
      <c r="BH207" s="43">
        <f t="shared" si="199"/>
        <v>71.292982180493709</v>
      </c>
      <c r="BI207" s="41" t="str">
        <f t="shared" si="203"/>
        <v>11.9534819108777+59.4966708584453i</v>
      </c>
      <c r="BJ207" s="20">
        <f t="shared" si="200"/>
        <v>35.661710085659792</v>
      </c>
      <c r="BK207" s="43">
        <f t="shared" si="204"/>
        <v>78.639937163801633</v>
      </c>
      <c r="BL207">
        <f t="shared" si="201"/>
        <v>23.477832335953501</v>
      </c>
      <c r="BM207" s="43">
        <f t="shared" si="202"/>
        <v>71.292982180493709</v>
      </c>
    </row>
    <row r="208" spans="14:65" x14ac:dyDescent="0.25">
      <c r="N208" s="9">
        <v>90</v>
      </c>
      <c r="O208" s="34">
        <f t="shared" si="205"/>
        <v>794.32823472428208</v>
      </c>
      <c r="P208" s="33" t="str">
        <f t="shared" si="155"/>
        <v>19.1021967526266</v>
      </c>
      <c r="Q208" s="4" t="str">
        <f t="shared" si="156"/>
        <v>1+1.12021413655388i</v>
      </c>
      <c r="R208" s="4">
        <f t="shared" si="168"/>
        <v>1.5016256896228015</v>
      </c>
      <c r="S208" s="4">
        <f t="shared" si="169"/>
        <v>0.84203657628924733</v>
      </c>
      <c r="T208" s="4" t="str">
        <f t="shared" si="157"/>
        <v>1+0.0187658272155506i</v>
      </c>
      <c r="U208" s="4">
        <f t="shared" si="170"/>
        <v>1.0001760626365159</v>
      </c>
      <c r="V208" s="4">
        <f t="shared" si="171"/>
        <v>1.8763624846300082E-2</v>
      </c>
      <c r="W208" t="str">
        <f t="shared" si="158"/>
        <v>1-0.0103977322781198i</v>
      </c>
      <c r="X208" s="4">
        <f t="shared" si="172"/>
        <v>1.0000540549572945</v>
      </c>
      <c r="Y208" s="4">
        <f t="shared" si="173"/>
        <v>-1.0397357592981117E-2</v>
      </c>
      <c r="Z208" t="str">
        <f t="shared" si="159"/>
        <v>0.999999369042656+0.00773591281492114i</v>
      </c>
      <c r="AA208" s="4">
        <f t="shared" si="174"/>
        <v>1.0000292907874198</v>
      </c>
      <c r="AB208" s="4">
        <f t="shared" si="175"/>
        <v>7.735763384320072E-3</v>
      </c>
      <c r="AC208" s="47" t="str">
        <f t="shared" si="176"/>
        <v>8.47917684293331-9.48644733882976i</v>
      </c>
      <c r="AD208" s="20">
        <f t="shared" si="177"/>
        <v>22.09217670496832</v>
      </c>
      <c r="AE208" s="43">
        <f t="shared" si="178"/>
        <v>-48.209016806359017</v>
      </c>
      <c r="AF208" t="str">
        <f t="shared" si="160"/>
        <v>69.5520360182888</v>
      </c>
      <c r="AG208" t="str">
        <f t="shared" si="161"/>
        <v>1+0.893610819788126i</v>
      </c>
      <c r="AH208">
        <f t="shared" si="179"/>
        <v>1.3410966770678416</v>
      </c>
      <c r="AI208">
        <f t="shared" si="180"/>
        <v>0.72927393263932749</v>
      </c>
      <c r="AJ208" t="str">
        <f t="shared" si="162"/>
        <v>1+0.0187658272155506i</v>
      </c>
      <c r="AK208">
        <f t="shared" si="181"/>
        <v>1.0001760626365159</v>
      </c>
      <c r="AL208">
        <f t="shared" si="182"/>
        <v>1.8763624846300082E-2</v>
      </c>
      <c r="AM208" t="str">
        <f t="shared" si="163"/>
        <v>1-0.00227802900625032i</v>
      </c>
      <c r="AN208">
        <f t="shared" si="183"/>
        <v>1.0000025947047104</v>
      </c>
      <c r="AO208">
        <f t="shared" si="184"/>
        <v>-2.2780250657157487E-3</v>
      </c>
      <c r="AP208" s="41" t="str">
        <f t="shared" si="185"/>
        <v>39.2428051230761-33.9210353219021i</v>
      </c>
      <c r="AQ208">
        <f t="shared" si="186"/>
        <v>34.298546889731874</v>
      </c>
      <c r="AR208" s="43">
        <f t="shared" si="187"/>
        <v>-40.839763158972026</v>
      </c>
      <c r="AS208" t="str">
        <f t="shared" si="164"/>
        <v>-0.0000166666666666667</v>
      </c>
      <c r="AT208" t="str">
        <f t="shared" si="165"/>
        <v>0.0000169690990778915i</v>
      </c>
      <c r="AU208">
        <f t="shared" si="188"/>
        <v>1.69690990778915E-5</v>
      </c>
      <c r="AV208">
        <f t="shared" si="189"/>
        <v>1.5707963267948966</v>
      </c>
      <c r="AW208" t="str">
        <f t="shared" si="166"/>
        <v>1+0.017245067125179i</v>
      </c>
      <c r="AX208">
        <f t="shared" si="190"/>
        <v>1.0001486851164441</v>
      </c>
      <c r="AY208">
        <f t="shared" si="191"/>
        <v>1.7243357913196422E-2</v>
      </c>
      <c r="AZ208" t="str">
        <f t="shared" si="167"/>
        <v>1+0.586332282256087i</v>
      </c>
      <c r="BA208">
        <f t="shared" si="192"/>
        <v>1.1592176435922772</v>
      </c>
      <c r="BB208">
        <f t="shared" si="193"/>
        <v>0.53030908570486912</v>
      </c>
      <c r="BC208" s="41" t="str">
        <f t="shared" si="194"/>
        <v>-0.558778460244285+0.991813634167969i</v>
      </c>
      <c r="BD208">
        <f t="shared" si="195"/>
        <v>1.1258075695632765</v>
      </c>
      <c r="BE208" s="43">
        <f t="shared" si="196"/>
        <v>119.39650081527083</v>
      </c>
      <c r="BF208" s="41" t="str">
        <f t="shared" si="197"/>
        <v>4.67080643003453+13.7105856365224i</v>
      </c>
      <c r="BG208" s="20">
        <f t="shared" si="198"/>
        <v>23.217984274531617</v>
      </c>
      <c r="BH208" s="43">
        <f t="shared" si="199"/>
        <v>71.187484008911852</v>
      </c>
      <c r="BI208" s="41" t="str">
        <f t="shared" si="203"/>
        <v>11.7153110950168+57.875893051128i</v>
      </c>
      <c r="BJ208" s="20">
        <f t="shared" si="200"/>
        <v>35.424354459295152</v>
      </c>
      <c r="BK208" s="43">
        <f t="shared" si="204"/>
        <v>78.556737656298779</v>
      </c>
      <c r="BL208">
        <f t="shared" si="201"/>
        <v>23.217984274531617</v>
      </c>
      <c r="BM208" s="43">
        <f t="shared" si="202"/>
        <v>71.187484008911852</v>
      </c>
    </row>
    <row r="209" spans="14:65" x14ac:dyDescent="0.25">
      <c r="N209" s="9">
        <v>91</v>
      </c>
      <c r="O209" s="34">
        <f t="shared" si="205"/>
        <v>812.83051616409978</v>
      </c>
      <c r="P209" s="33" t="str">
        <f t="shared" si="155"/>
        <v>19.1021967526266</v>
      </c>
      <c r="Q209" s="4" t="str">
        <f t="shared" si="156"/>
        <v>1+1.14630727578942i</v>
      </c>
      <c r="R209" s="4">
        <f t="shared" si="168"/>
        <v>1.5211904451868481</v>
      </c>
      <c r="S209" s="4">
        <f t="shared" si="169"/>
        <v>0.85345984778108352</v>
      </c>
      <c r="T209" s="4" t="str">
        <f t="shared" si="157"/>
        <v>1+0.0192029394840244i</v>
      </c>
      <c r="U209" s="4">
        <f t="shared" si="170"/>
        <v>1.0001843594482105</v>
      </c>
      <c r="V209" s="4">
        <f t="shared" si="171"/>
        <v>1.9200579626347698E-2</v>
      </c>
      <c r="W209" t="str">
        <f t="shared" si="158"/>
        <v>1-0.0106399265758114i</v>
      </c>
      <c r="X209" s="4">
        <f t="shared" si="172"/>
        <v>1.0000566024168525</v>
      </c>
      <c r="Y209" s="4">
        <f t="shared" si="173"/>
        <v>-1.063952509467918E-2</v>
      </c>
      <c r="Z209" t="str">
        <f t="shared" si="159"/>
        <v>0.999999339306552+0.00791610537240368i</v>
      </c>
      <c r="AA209" s="4">
        <f t="shared" si="174"/>
        <v>1.0000306711985425</v>
      </c>
      <c r="AB209" s="4">
        <f t="shared" si="175"/>
        <v>7.9159452548950432E-3</v>
      </c>
      <c r="AC209" s="47" t="str">
        <f t="shared" si="176"/>
        <v>8.26282215551883-9.45940756048642i</v>
      </c>
      <c r="AD209" s="20">
        <f t="shared" si="177"/>
        <v>21.979820906148081</v>
      </c>
      <c r="AE209" s="43">
        <f t="shared" si="178"/>
        <v>-48.86268522284999</v>
      </c>
      <c r="AF209" t="str">
        <f t="shared" si="160"/>
        <v>69.5520360182888</v>
      </c>
      <c r="AG209" t="str">
        <f t="shared" si="161"/>
        <v>1+0.914425689715449i</v>
      </c>
      <c r="AH209">
        <f t="shared" si="179"/>
        <v>1.3550551066327801</v>
      </c>
      <c r="AI209">
        <f t="shared" si="180"/>
        <v>0.74072816935909058</v>
      </c>
      <c r="AJ209" t="str">
        <f t="shared" si="162"/>
        <v>1+0.0192029394840244i</v>
      </c>
      <c r="AK209">
        <f t="shared" si="181"/>
        <v>1.0001843594482105</v>
      </c>
      <c r="AL209">
        <f t="shared" si="182"/>
        <v>1.9200579626347698E-2</v>
      </c>
      <c r="AM209" t="str">
        <f t="shared" si="163"/>
        <v>1-0.00233109111830825i</v>
      </c>
      <c r="AN209">
        <f t="shared" si="183"/>
        <v>1.0000027169892098</v>
      </c>
      <c r="AO209">
        <f t="shared" si="184"/>
        <v>-2.331086895950003E-3</v>
      </c>
      <c r="AP209" s="41" t="str">
        <f t="shared" si="185"/>
        <v>38.4648669872746-33.9997911194242i</v>
      </c>
      <c r="AQ209">
        <f t="shared" si="186"/>
        <v>34.208682588331293</v>
      </c>
      <c r="AR209" s="43">
        <f t="shared" si="187"/>
        <v>-41.474047134749163</v>
      </c>
      <c r="AS209" t="str">
        <f t="shared" si="164"/>
        <v>-0.0000166666666666667</v>
      </c>
      <c r="AT209" t="str">
        <f t="shared" si="165"/>
        <v>0.0000173643601717242i</v>
      </c>
      <c r="AU209">
        <f t="shared" si="188"/>
        <v>1.73643601717242E-5</v>
      </c>
      <c r="AV209">
        <f t="shared" si="189"/>
        <v>1.5707963267948966</v>
      </c>
      <c r="AW209" t="str">
        <f t="shared" si="166"/>
        <v>1+0.0176467563406069i</v>
      </c>
      <c r="AX209">
        <f t="shared" si="190"/>
        <v>1.0001556918846908</v>
      </c>
      <c r="AY209">
        <f t="shared" si="191"/>
        <v>1.7644924902368304E-2</v>
      </c>
      <c r="AZ209" t="str">
        <f t="shared" si="167"/>
        <v>1+0.599989715580635i</v>
      </c>
      <c r="BA209">
        <f t="shared" si="192"/>
        <v>1.1661850877122941</v>
      </c>
      <c r="BB209">
        <f t="shared" si="193"/>
        <v>0.54041193816321065</v>
      </c>
      <c r="BC209" s="41" t="str">
        <f t="shared" si="194"/>
        <v>-0.558770631028313+0.969680862736734i</v>
      </c>
      <c r="BD209">
        <f t="shared" si="195"/>
        <v>0.9777967409155498</v>
      </c>
      <c r="BE209" s="43">
        <f t="shared" si="196"/>
        <v>119.95234352850579</v>
      </c>
      <c r="BF209" s="41" t="str">
        <f t="shared" si="197"/>
        <v>4.55558413431687+13.2979396481307i</v>
      </c>
      <c r="BG209" s="20">
        <f t="shared" si="198"/>
        <v>22.957617647063636</v>
      </c>
      <c r="BH209" s="43">
        <f t="shared" si="199"/>
        <v>71.08965830565586</v>
      </c>
      <c r="BI209" s="41" t="str">
        <f t="shared" si="203"/>
        <v>11.4759087866525+56.2967301439056i</v>
      </c>
      <c r="BJ209" s="20">
        <f t="shared" si="200"/>
        <v>35.186479329246836</v>
      </c>
      <c r="BK209" s="43">
        <f t="shared" si="204"/>
        <v>78.478296393756608</v>
      </c>
      <c r="BL209">
        <f t="shared" si="201"/>
        <v>22.957617647063636</v>
      </c>
      <c r="BM209" s="43">
        <f t="shared" si="202"/>
        <v>71.08965830565586</v>
      </c>
    </row>
    <row r="210" spans="14:65" x14ac:dyDescent="0.25">
      <c r="N210" s="9">
        <v>92</v>
      </c>
      <c r="O210" s="34">
        <f t="shared" si="205"/>
        <v>831.7637711026714</v>
      </c>
      <c r="P210" s="33" t="str">
        <f t="shared" si="155"/>
        <v>19.1021967526266</v>
      </c>
      <c r="Q210" s="4" t="str">
        <f t="shared" si="156"/>
        <v>1+1.17300820231576i</v>
      </c>
      <c r="R210" s="4">
        <f t="shared" si="168"/>
        <v>1.5414111205969845</v>
      </c>
      <c r="S210" s="4">
        <f t="shared" si="169"/>
        <v>0.86484748547760337</v>
      </c>
      <c r="T210" s="4" t="str">
        <f t="shared" si="157"/>
        <v>1+0.0196502334051936i</v>
      </c>
      <c r="U210" s="4">
        <f t="shared" si="170"/>
        <v>1.000193047202828</v>
      </c>
      <c r="V210" s="4">
        <f t="shared" si="171"/>
        <v>1.9647704798493766E-2</v>
      </c>
      <c r="W210" t="str">
        <f t="shared" si="158"/>
        <v>1-0.0108877623034096i</v>
      </c>
      <c r="X210" s="4">
        <f t="shared" si="172"/>
        <v>1.0000592699275257</v>
      </c>
      <c r="Y210" s="4">
        <f t="shared" si="173"/>
        <v>-1.0887332110002743E-2</v>
      </c>
      <c r="Z210" t="str">
        <f t="shared" si="159"/>
        <v>0.999999308169029+0.00810049515373671i</v>
      </c>
      <c r="AA210" s="4">
        <f t="shared" si="174"/>
        <v>1.0000321166643962</v>
      </c>
      <c r="AB210" s="4">
        <f t="shared" si="175"/>
        <v>8.1003235850326538E-3</v>
      </c>
      <c r="AC210" s="47" t="str">
        <f t="shared" si="176"/>
        <v>8.04781503281101-9.42754188085444i</v>
      </c>
      <c r="AD210" s="20">
        <f t="shared" si="177"/>
        <v>21.865208985979638</v>
      </c>
      <c r="AE210" s="43">
        <f t="shared" si="178"/>
        <v>-49.514292812468774</v>
      </c>
      <c r="AF210" t="str">
        <f t="shared" si="160"/>
        <v>69.5520360182888</v>
      </c>
      <c r="AG210" t="str">
        <f t="shared" si="161"/>
        <v>1+0.935725400247314i</v>
      </c>
      <c r="AH210">
        <f t="shared" si="179"/>
        <v>1.3695189026325982</v>
      </c>
      <c r="AI210">
        <f t="shared" si="180"/>
        <v>0.75220595867976692</v>
      </c>
      <c r="AJ210" t="str">
        <f t="shared" si="162"/>
        <v>1+0.0196502334051936i</v>
      </c>
      <c r="AK210">
        <f t="shared" si="181"/>
        <v>1.000193047202828</v>
      </c>
      <c r="AL210">
        <f t="shared" si="182"/>
        <v>1.9647704798493766E-2</v>
      </c>
      <c r="AM210" t="str">
        <f t="shared" si="163"/>
        <v>1-0.00238538920573273i</v>
      </c>
      <c r="AN210">
        <f t="shared" si="183"/>
        <v>1.0000028450367842</v>
      </c>
      <c r="AO210">
        <f t="shared" si="184"/>
        <v>-2.3853846813950501E-3</v>
      </c>
      <c r="AP210" s="41" t="str">
        <f t="shared" si="185"/>
        <v>37.6837264558687-34.060814955117i</v>
      </c>
      <c r="AQ210">
        <f t="shared" si="186"/>
        <v>34.11653767287622</v>
      </c>
      <c r="AR210" s="43">
        <f t="shared" si="187"/>
        <v>-42.109168669629113</v>
      </c>
      <c r="AS210" t="str">
        <f t="shared" si="164"/>
        <v>-0.0000166666666666667</v>
      </c>
      <c r="AT210" t="str">
        <f t="shared" si="165"/>
        <v>0.0000177688280791644i</v>
      </c>
      <c r="AU210">
        <f t="shared" si="188"/>
        <v>1.7768828079164399E-5</v>
      </c>
      <c r="AV210">
        <f t="shared" si="189"/>
        <v>1.5707963267948966</v>
      </c>
      <c r="AW210" t="str">
        <f t="shared" si="166"/>
        <v>1+0.018057802099829i</v>
      </c>
      <c r="AX210">
        <f t="shared" si="190"/>
        <v>1.0001630288191403</v>
      </c>
      <c r="AY210">
        <f t="shared" si="191"/>
        <v>1.8055839695675899E-2</v>
      </c>
      <c r="AZ210" t="str">
        <f t="shared" si="167"/>
        <v>1+0.613965271394186i</v>
      </c>
      <c r="BA210">
        <f t="shared" si="192"/>
        <v>1.1734365575002921</v>
      </c>
      <c r="BB210">
        <f t="shared" si="193"/>
        <v>0.55062484901192998</v>
      </c>
      <c r="BC210" s="41" t="str">
        <f t="shared" si="194"/>
        <v>-0.558762433067906+0.948062215912377i</v>
      </c>
      <c r="BD210">
        <f t="shared" si="195"/>
        <v>0.83157563334026396</v>
      </c>
      <c r="BE210" s="43">
        <f t="shared" si="196"/>
        <v>120.51395653328478</v>
      </c>
      <c r="BF210" s="41" t="str">
        <f t="shared" si="197"/>
        <v>4.44107953755565+12.8975855924556i</v>
      </c>
      <c r="BG210" s="20">
        <f t="shared" si="198"/>
        <v>22.696784619319928</v>
      </c>
      <c r="BH210" s="43">
        <f t="shared" si="199"/>
        <v>70.999663720816059</v>
      </c>
      <c r="BI210" s="41" t="str">
        <f t="shared" si="203"/>
        <v>11.235521020583+54.7584210441836i</v>
      </c>
      <c r="BJ210" s="20">
        <f t="shared" si="200"/>
        <v>34.94811330621647</v>
      </c>
      <c r="BK210" s="43">
        <f t="shared" si="204"/>
        <v>78.404787863655685</v>
      </c>
      <c r="BL210">
        <f t="shared" si="201"/>
        <v>22.696784619319928</v>
      </c>
      <c r="BM210" s="43">
        <f t="shared" si="202"/>
        <v>70.999663720816059</v>
      </c>
    </row>
    <row r="211" spans="14:65" x14ac:dyDescent="0.25">
      <c r="N211" s="9">
        <v>93</v>
      </c>
      <c r="O211" s="34">
        <f t="shared" si="205"/>
        <v>851.13803820237763</v>
      </c>
      <c r="P211" s="33" t="str">
        <f t="shared" ref="P211:P274" si="206">COMPLEX(Adc,0)</f>
        <v>19.1021967526266</v>
      </c>
      <c r="Q211" s="4" t="str">
        <f t="shared" ref="Q211:Q274" si="207">IMSUM(COMPLEX(1,0),IMDIV(COMPLEX(0,2*PI()*O211),COMPLEX(wp_lf,0)))</f>
        <v>1+1.20033107331756i</v>
      </c>
      <c r="R211" s="4">
        <f t="shared" si="168"/>
        <v>1.5623042871258102</v>
      </c>
      <c r="S211" s="4">
        <f t="shared" si="169"/>
        <v>0.87619371429408399</v>
      </c>
      <c r="T211" s="4" t="str">
        <f t="shared" ref="T211:T274" si="208">IMSUM(COMPLEX(1,0),IMDIV(COMPLEX(0,2*PI()*O211),COMPLEX(wz_esr,0)))</f>
        <v>1+0.0201079461402158i</v>
      </c>
      <c r="U211" s="4">
        <f t="shared" si="170"/>
        <v>1.0002021443178264</v>
      </c>
      <c r="V211" s="4">
        <f t="shared" si="171"/>
        <v>2.0105236718895397E-2</v>
      </c>
      <c r="W211" t="str">
        <f t="shared" ref="W211:W274" si="209">IMSUB(COMPLEX(1,0),IMDIV(COMPLEX(0,2*PI()*O211),COMPLEX(wz_rhp,0)))</f>
        <v>1-0.0111413708666976i</v>
      </c>
      <c r="X211" s="4">
        <f t="shared" si="172"/>
        <v>1.0000620631464776</v>
      </c>
      <c r="Y211" s="4">
        <f t="shared" si="173"/>
        <v>-1.114090990770218E-2</v>
      </c>
      <c r="Z211" t="str">
        <f t="shared" ref="Z211:Z274" si="210">IMSUM(COMPLEX(1,0),IMDIV(COMPLEX(0,2*PI()*O211),COMPLEX(Q*(wsl/2),0)),IMDIV(IMPOWER(COMPLEX(0,2*PI()*O211),2),IMPOWER(COMPLEX(wsl/2,0),2)))</f>
        <v>0.99999927556404+0.008289179924823i</v>
      </c>
      <c r="AA211" s="4">
        <f t="shared" si="174"/>
        <v>1.0000336302507187</v>
      </c>
      <c r="AB211" s="4">
        <f t="shared" si="175"/>
        <v>8.2889960859782903E-3</v>
      </c>
      <c r="AC211" s="47" t="str">
        <f t="shared" si="176"/>
        <v>7.83436858995385-9.39093278436221i</v>
      </c>
      <c r="AD211" s="20">
        <f t="shared" si="177"/>
        <v>21.748356368371311</v>
      </c>
      <c r="AE211" s="43">
        <f t="shared" si="178"/>
        <v>-50.163508264612155</v>
      </c>
      <c r="AF211" t="str">
        <f t="shared" ref="AF211:AF274" si="211">COMPLEX($B$72,0)</f>
        <v>69.5520360182888</v>
      </c>
      <c r="AG211" t="str">
        <f t="shared" ref="AG211:AG274" si="212">IMSUM(COMPLEX(1,0),IMDIV(COMPLEX(0,2*PI()*O211),COMPLEX(wp_lf_DCM,0)))</f>
        <v>1+0.957521244772182i</v>
      </c>
      <c r="AH211">
        <f t="shared" si="179"/>
        <v>1.3845024139343596</v>
      </c>
      <c r="AI211">
        <f t="shared" si="180"/>
        <v>0.76370129065766557</v>
      </c>
      <c r="AJ211" t="str">
        <f t="shared" ref="AJ211:AJ274" si="213">IMSUM(COMPLEX(1,0),IMDIV(COMPLEX(0,2*PI()*O211),COMPLEX(wz1_dcm,0)))</f>
        <v>1+0.0201079461402158i</v>
      </c>
      <c r="AK211">
        <f t="shared" si="181"/>
        <v>1.0002021443178264</v>
      </c>
      <c r="AL211">
        <f t="shared" si="182"/>
        <v>2.0105236718895397E-2</v>
      </c>
      <c r="AM211" t="str">
        <f t="shared" ref="AM211:AM274" si="214">IMSUB(COMPLEX(1,0),IMDIV(COMPLEX(0,2*PI()*O211),COMPLEX(wz2_dcm,0)))</f>
        <v>1-0.00244095205808847i</v>
      </c>
      <c r="AN211">
        <f t="shared" si="183"/>
        <v>1.0000029791190372</v>
      </c>
      <c r="AO211">
        <f t="shared" si="184"/>
        <v>-2.4409472101740827E-3</v>
      </c>
      <c r="AP211" s="41" t="str">
        <f t="shared" si="185"/>
        <v>36.900196414046-34.1039465939803i</v>
      </c>
      <c r="AQ211">
        <f t="shared" si="186"/>
        <v>34.022104111242498</v>
      </c>
      <c r="AR211" s="43">
        <f t="shared" si="187"/>
        <v>-42.744771526431038</v>
      </c>
      <c r="AS211" t="str">
        <f t="shared" ref="AS211:AS274" si="215">COMPLEX(Adc_ea,0)</f>
        <v>-0.0000166666666666667</v>
      </c>
      <c r="AT211" t="str">
        <f t="shared" ref="AT211:AT274" si="216">COMPLEX(0,2*PI()*O211*wp0_ea)</f>
        <v>0.0000181827172544504i</v>
      </c>
      <c r="AU211">
        <f t="shared" si="188"/>
        <v>1.8182717254450399E-5</v>
      </c>
      <c r="AV211">
        <f t="shared" si="189"/>
        <v>1.5707963267948966</v>
      </c>
      <c r="AW211" t="str">
        <f t="shared" ref="AW211:AW274" si="217">IMSUM(COMPLEX(1,0),IMDIV(COMPLEX(0,2*PI()*O211),COMPLEX(wp1_ea,0)))</f>
        <v>1+0.0184784223447477i</v>
      </c>
      <c r="AX211">
        <f t="shared" si="190"/>
        <v>1.0001707114749716</v>
      </c>
      <c r="AY211">
        <f t="shared" si="191"/>
        <v>1.847631961019644E-2</v>
      </c>
      <c r="AZ211" t="str">
        <f t="shared" ref="AZ211:AZ274" si="218">IMSUM(COMPLEX(1,0),IMDIV(COMPLEX(0,2*PI()*O211),COMPLEX(wz_ea,0)))</f>
        <v>1+0.628266359721423i</v>
      </c>
      <c r="BA211">
        <f t="shared" si="192"/>
        <v>1.1809820569160263</v>
      </c>
      <c r="BB211">
        <f t="shared" si="193"/>
        <v>0.56094471087880327</v>
      </c>
      <c r="BC211" s="41" t="str">
        <f t="shared" si="194"/>
        <v>-0.558753849007351+0.926946230271497i</v>
      </c>
      <c r="BD211">
        <f t="shared" si="195"/>
        <v>0.68718261527382518</v>
      </c>
      <c r="BE211" s="43">
        <f t="shared" si="196"/>
        <v>121.08114933894259</v>
      </c>
      <c r="BF211" s="41" t="str">
        <f t="shared" si="197"/>
        <v>4.32740613901856+12.5092582700468i</v>
      </c>
      <c r="BG211" s="20">
        <f t="shared" si="198"/>
        <v>22.435538983645106</v>
      </c>
      <c r="BH211" s="43">
        <f t="shared" si="199"/>
        <v>70.917641074330362</v>
      </c>
      <c r="BI211" s="41" t="str">
        <f t="shared" si="203"/>
        <v>10.994397957195+53.2602093880054i</v>
      </c>
      <c r="BJ211" s="20">
        <f t="shared" si="200"/>
        <v>34.709286726516318</v>
      </c>
      <c r="BK211" s="43">
        <f t="shared" si="204"/>
        <v>78.336377812511614</v>
      </c>
      <c r="BL211">
        <f t="shared" si="201"/>
        <v>22.435538983645106</v>
      </c>
      <c r="BM211" s="43">
        <f t="shared" si="202"/>
        <v>70.917641074330362</v>
      </c>
    </row>
    <row r="212" spans="14:65" x14ac:dyDescent="0.25">
      <c r="N212" s="9">
        <v>94</v>
      </c>
      <c r="O212" s="34">
        <f t="shared" si="205"/>
        <v>870.96358995608091</v>
      </c>
      <c r="P212" s="33" t="str">
        <f t="shared" si="206"/>
        <v>19.1021967526266</v>
      </c>
      <c r="Q212" s="4" t="str">
        <f t="shared" si="207"/>
        <v>1+1.22829037574269i</v>
      </c>
      <c r="R212" s="4">
        <f t="shared" ref="R212:R275" si="219">IMABS(Q212)</f>
        <v>1.5838867532567213</v>
      </c>
      <c r="S212" s="4">
        <f t="shared" ref="S212:S275" si="220">IMARGUMENT(Q212)</f>
        <v>0.88749286553372431</v>
      </c>
      <c r="T212" s="4" t="str">
        <f t="shared" si="208"/>
        <v>1+0.0205763203744416i</v>
      </c>
      <c r="U212" s="4">
        <f t="shared" ref="U212:U275" si="221">IMABS(T212)</f>
        <v>1.0002116700779649</v>
      </c>
      <c r="V212" s="4">
        <f t="shared" ref="V212:V275" si="222">IMARGUMENT(T212)</f>
        <v>2.0573417210372258E-2</v>
      </c>
      <c r="W212" t="str">
        <f t="shared" si="209"/>
        <v>1-0.0114008867322926i</v>
      </c>
      <c r="X212" s="4">
        <f t="shared" ref="X212:X275" si="223">IMABS(W212)</f>
        <v>1.0000649879974215</v>
      </c>
      <c r="Y212" s="4">
        <f t="shared" ref="Y212:Y275" si="224">IMARGUMENT(W212)</f>
        <v>-1.1400392807563602E-2</v>
      </c>
      <c r="Z212" t="str">
        <f t="shared" si="210"/>
        <v>0.999999241422425+0.00848225972882566i</v>
      </c>
      <c r="AA212" s="4">
        <f t="shared" ref="AA212:AA275" si="225">IMABS(Z212)</f>
        <v>1.0000352151677125</v>
      </c>
      <c r="AB212" s="4">
        <f t="shared" ref="AB212:AB275" si="226">IMARGUMENT(Z212)</f>
        <v>8.4820627423290978E-3</v>
      </c>
      <c r="AC212" s="47" t="str">
        <f t="shared" ref="AC212:AC275" si="227">(IMDIV(IMPRODUCT(P212,T212,W212),IMPRODUCT(Q212,Z212)))</f>
        <v>7.62268957756713-9.34967417401666i</v>
      </c>
      <c r="AD212" s="20">
        <f t="shared" ref="AD212:AD275" si="228">20*LOG(IMABS(AC212))</f>
        <v>21.629280686122048</v>
      </c>
      <c r="AE212" s="43">
        <f t="shared" ref="AE212:AE275" si="229">(180/PI())*IMARGUMENT(AC212)</f>
        <v>-50.810006356103024</v>
      </c>
      <c r="AF212" t="str">
        <f t="shared" si="211"/>
        <v>69.5520360182888</v>
      </c>
      <c r="AG212" t="str">
        <f t="shared" si="212"/>
        <v>1+0.979824779735316i</v>
      </c>
      <c r="AH212">
        <f t="shared" ref="AH212:AH275" si="230">IMABS(AG212)</f>
        <v>1.4000202137767013</v>
      </c>
      <c r="AI212">
        <f t="shared" ref="AI212:AI275" si="231">IMARGUMENT(AG212)</f>
        <v>0.77520810912925553</v>
      </c>
      <c r="AJ212" t="str">
        <f t="shared" si="213"/>
        <v>1+0.0205763203744416i</v>
      </c>
      <c r="AK212">
        <f t="shared" ref="AK212:AK275" si="232">IMABS(AJ212)</f>
        <v>1.0002116700779649</v>
      </c>
      <c r="AL212">
        <f t="shared" ref="AL212:AL275" si="233">IMARGUMENT(AJ212)</f>
        <v>2.0573417210372258E-2</v>
      </c>
      <c r="AM212" t="str">
        <f t="shared" si="214"/>
        <v>1-0.0024978091355352i</v>
      </c>
      <c r="AN212">
        <f t="shared" ref="AN212:AN275" si="234">IMABS(AM212)</f>
        <v>1.0000031195203731</v>
      </c>
      <c r="AO212">
        <f t="shared" ref="AO212:AO275" si="235">IMARGUMENT(AM212)</f>
        <v>-2.4978039409022192E-3</v>
      </c>
      <c r="AP212" s="41" t="str">
        <f t="shared" ref="AP212:AP275" si="236">(IMDIV(IMPRODUCT(AF212,AJ212,AM212),IMPRODUCT(AG212)))</f>
        <v>36.115099803807-34.1290724455386i</v>
      </c>
      <c r="AQ212">
        <f t="shared" ref="AQ212:AQ275" si="237">20*LOG(IMABS(AP212))</f>
        <v>33.925376276057655</v>
      </c>
      <c r="AR212" s="43">
        <f t="shared" ref="AR212:AR275" si="238">(180/PI())*IMARGUMENT(AP212)</f>
        <v>-43.380496544971905</v>
      </c>
      <c r="AS212" t="str">
        <f t="shared" si="215"/>
        <v>-0.0000166666666666667</v>
      </c>
      <c r="AT212" t="str">
        <f t="shared" si="216"/>
        <v>0.0000186062471471015i</v>
      </c>
      <c r="AU212">
        <f t="shared" ref="AU212:AU275" si="239">IMABS(AT212)</f>
        <v>1.8606247147101502E-5</v>
      </c>
      <c r="AV212">
        <f t="shared" ref="AV212:AV275" si="240">IMARGUMENT(AT212)</f>
        <v>1.5707963267948966</v>
      </c>
      <c r="AW212" t="str">
        <f t="shared" si="217"/>
        <v>1+0.0189088400937844i</v>
      </c>
      <c r="AX212">
        <f t="shared" ref="AX212:AX275" si="241">IMABS(AW212)</f>
        <v>1.0001787561399673</v>
      </c>
      <c r="AY212">
        <f t="shared" ref="AY212:AY275" si="242">IMARGUMENT(AW212)</f>
        <v>1.8906586994867053E-2</v>
      </c>
      <c r="AZ212" t="str">
        <f t="shared" si="218"/>
        <v>1+0.64290056318867i</v>
      </c>
      <c r="BA212">
        <f t="shared" ref="BA212:BA275" si="243">IMABS(AZ212)</f>
        <v>1.1888318359416141</v>
      </c>
      <c r="BB212">
        <f t="shared" ref="BB212:BB275" si="244">IMARGUMENT(AZ212)</f>
        <v>0.57136820263829591</v>
      </c>
      <c r="BC212" s="41" t="str">
        <f t="shared" ref="BC212:BC275" si="245">IMPRODUCT(AS212,IMDIV(AZ212,IMPRODUCT(AT212,AW212)))</f>
        <v>-0.558744860675161+0.906321708841819i</v>
      </c>
      <c r="BD212">
        <f t="shared" ref="BD212:BD275" si="246">20*LOG(IMABS(BC212))</f>
        <v>0.54465529941848045</v>
      </c>
      <c r="BE212" s="43">
        <f t="shared" ref="BE212:BE275" si="247">(180/PI())*IMARGUMENT(BC212)</f>
        <v>121.65371891934713</v>
      </c>
      <c r="BF212" s="41" t="str">
        <f t="shared" ref="BF212:BF275" si="248">IMPRODUCT(AC212,BC212)</f>
        <v>4.21467404852125+12.1326914376305i</v>
      </c>
      <c r="BG212" s="20">
        <f t="shared" ref="BG212:BG275" si="249">20*LOG(IMABS(BF212))</f>
        <v>22.17393598554056</v>
      </c>
      <c r="BH212" s="43">
        <f t="shared" ref="BH212:BH275" si="250">(180/PI())*IMARGUMENT(BF212)</f>
        <v>70.84371256324421</v>
      </c>
      <c r="BI212" s="41" t="str">
        <f t="shared" si="203"/>
        <v>10.7527928518791+51.8013427977341i</v>
      </c>
      <c r="BJ212" s="20">
        <f t="shared" ref="BJ212:BJ275" si="251">20*LOG(IMABS(BI212))</f>
        <v>34.470031575476128</v>
      </c>
      <c r="BK212" s="43">
        <f t="shared" si="204"/>
        <v>78.273222374375223</v>
      </c>
      <c r="BL212">
        <f t="shared" ref="BL212:BL275" si="252">IF($B$31=0,BJ212,BG212)</f>
        <v>22.17393598554056</v>
      </c>
      <c r="BM212" s="43">
        <f t="shared" ref="BM212:BM275" si="253">IF($B$31=0,BK212,BH212)</f>
        <v>70.84371256324421</v>
      </c>
    </row>
    <row r="213" spans="14:65" x14ac:dyDescent="0.25">
      <c r="N213" s="9">
        <v>95</v>
      </c>
      <c r="O213" s="34">
        <f t="shared" si="205"/>
        <v>891.25093813374656</v>
      </c>
      <c r="P213" s="33" t="str">
        <f t="shared" si="206"/>
        <v>19.1021967526266</v>
      </c>
      <c r="Q213" s="4" t="str">
        <f t="shared" si="207"/>
        <v>1+1.2569009339834i</v>
      </c>
      <c r="R213" s="4">
        <f t="shared" si="219"/>
        <v>1.6061755688119352</v>
      </c>
      <c r="S213" s="4">
        <f t="shared" si="220"/>
        <v>0.89873939031929029</v>
      </c>
      <c r="T213" s="4" t="str">
        <f t="shared" si="208"/>
        <v>1+0.0210556044460898i</v>
      </c>
      <c r="U213" s="4">
        <f t="shared" si="221"/>
        <v>1.0002216446761139</v>
      </c>
      <c r="V213" s="4">
        <f t="shared" si="222"/>
        <v>2.1052493686972436E-2</v>
      </c>
      <c r="W213" t="str">
        <f t="shared" si="209"/>
        <v>1-0.0116664474989416i</v>
      </c>
      <c r="X213" s="4">
        <f t="shared" si="223"/>
        <v>1.0000680506831749</v>
      </c>
      <c r="Y213" s="4">
        <f t="shared" si="224"/>
        <v>-1.1665918251004166E-2</v>
      </c>
      <c r="Z213" t="str">
        <f t="shared" si="210"/>
        <v>0.999999205671765+0.00867983693921257i</v>
      </c>
      <c r="AA213" s="4">
        <f t="shared" si="225"/>
        <v>1.0000368747768515</v>
      </c>
      <c r="AB213" s="4">
        <f t="shared" si="226"/>
        <v>8.6796258647989372E-3</v>
      </c>
      <c r="AC213" s="47" t="str">
        <f t="shared" si="227"/>
        <v>7.41297762362086-9.30387079580937i</v>
      </c>
      <c r="AD213" s="20">
        <f t="shared" si="228"/>
        <v>21.508001710619165</v>
      </c>
      <c r="AE213" s="43">
        <f t="shared" si="229"/>
        <v>-51.453468720699462</v>
      </c>
      <c r="AF213" t="str">
        <f t="shared" si="211"/>
        <v>69.5520360182888</v>
      </c>
      <c r="AG213" t="str">
        <f t="shared" si="212"/>
        <v>1+1.00264783076618i</v>
      </c>
      <c r="AH213">
        <f t="shared" si="230"/>
        <v>1.4160870992068695</v>
      </c>
      <c r="AI213">
        <f t="shared" si="231"/>
        <v>0.78672032757559029</v>
      </c>
      <c r="AJ213" t="str">
        <f t="shared" si="213"/>
        <v>1+0.0210556044460898i</v>
      </c>
      <c r="AK213">
        <f t="shared" si="232"/>
        <v>1.0002216446761139</v>
      </c>
      <c r="AL213">
        <f t="shared" si="233"/>
        <v>2.1052493686972436E-2</v>
      </c>
      <c r="AM213" t="str">
        <f t="shared" si="214"/>
        <v>1-0.00255599058444803i</v>
      </c>
      <c r="AN213">
        <f t="shared" si="234"/>
        <v>1.0000032665385987</v>
      </c>
      <c r="AO213">
        <f t="shared" si="235"/>
        <v>-2.5559850182994893E-3</v>
      </c>
      <c r="AP213" s="41" t="str">
        <f t="shared" si="236"/>
        <v>35.329266185452-34.1361262937751i</v>
      </c>
      <c r="AQ213">
        <f t="shared" si="237"/>
        <v>33.826350969504496</v>
      </c>
      <c r="AR213" s="43">
        <f t="shared" si="238"/>
        <v>-44.015982544788855</v>
      </c>
      <c r="AS213" t="str">
        <f t="shared" si="215"/>
        <v>-0.0000166666666666667</v>
      </c>
      <c r="AT213" t="str">
        <f t="shared" si="216"/>
        <v>0.0000190396423182727i</v>
      </c>
      <c r="AU213">
        <f t="shared" si="239"/>
        <v>1.9039642318272699E-5</v>
      </c>
      <c r="AV213">
        <f t="shared" si="240"/>
        <v>1.5707963267948966</v>
      </c>
      <c r="AW213" t="str">
        <f t="shared" si="217"/>
        <v>1+0.019349283560127i</v>
      </c>
      <c r="AX213">
        <f t="shared" si="241"/>
        <v>1.0001871798689934</v>
      </c>
      <c r="AY213">
        <f t="shared" si="242"/>
        <v>1.9346869345541671E-2</v>
      </c>
      <c r="AZ213" t="str">
        <f t="shared" si="218"/>
        <v>1+0.657875641044318i</v>
      </c>
      <c r="BA213">
        <f t="shared" si="243"/>
        <v>1.1969963905874872</v>
      </c>
      <c r="BB213">
        <f t="shared" si="244"/>
        <v>0.58189179065135133</v>
      </c>
      <c r="BC213" s="41" t="str">
        <f t="shared" si="245"/>
        <v>-0.558735449045869+0.886177715160673i</v>
      </c>
      <c r="BD213">
        <f t="shared" si="246"/>
        <v>0.40403042958852764</v>
      </c>
      <c r="BE213" s="43">
        <f t="shared" si="247"/>
        <v>122.23144977734189</v>
      </c>
      <c r="BF213" s="41" t="str">
        <f t="shared" si="248"/>
        <v>4.10298958267968+11.7676179999988i</v>
      </c>
      <c r="BG213" s="20">
        <f t="shared" si="249"/>
        <v>21.912032140207675</v>
      </c>
      <c r="BH213" s="43">
        <f t="shared" si="250"/>
        <v>70.777981056642389</v>
      </c>
      <c r="BI213" s="41" t="str">
        <f t="shared" si="203"/>
        <v>10.5109609968642+50.381072239966i</v>
      </c>
      <c r="BJ213" s="20">
        <f t="shared" si="251"/>
        <v>34.230381399093019</v>
      </c>
      <c r="BK213" s="43">
        <f t="shared" si="204"/>
        <v>78.215467232553067</v>
      </c>
      <c r="BL213">
        <f t="shared" si="252"/>
        <v>21.912032140207675</v>
      </c>
      <c r="BM213" s="43">
        <f t="shared" si="253"/>
        <v>70.777981056642389</v>
      </c>
    </row>
    <row r="214" spans="14:65" x14ac:dyDescent="0.25">
      <c r="N214" s="9">
        <v>96</v>
      </c>
      <c r="O214" s="34">
        <f t="shared" si="205"/>
        <v>912.01083935590987</v>
      </c>
      <c r="P214" s="33" t="str">
        <f t="shared" si="206"/>
        <v>19.1021967526266</v>
      </c>
      <c r="Q214" s="4" t="str">
        <f t="shared" si="207"/>
        <v>1+1.28617791773634i</v>
      </c>
      <c r="R214" s="4">
        <f t="shared" si="219"/>
        <v>1.6291880296861339</v>
      </c>
      <c r="S214" s="4">
        <f t="shared" si="220"/>
        <v>0.90992787229536298</v>
      </c>
      <c r="T214" s="4" t="str">
        <f t="shared" si="208"/>
        <v>1+0.0215460524779192i</v>
      </c>
      <c r="U214" s="4">
        <f t="shared" si="221"/>
        <v>1.0002320892559793</v>
      </c>
      <c r="V214" s="4">
        <f t="shared" si="222"/>
        <v>2.1542719281241643E-2</v>
      </c>
      <c r="W214" t="str">
        <f t="shared" si="209"/>
        <v>1-0.0119381939704783i</v>
      </c>
      <c r="X214" s="4">
        <f t="shared" si="223"/>
        <v>1.0000712576988084</v>
      </c>
      <c r="Y214" s="4">
        <f t="shared" si="224"/>
        <v>-1.1937626873278415E-2</v>
      </c>
      <c r="Z214" t="str">
        <f t="shared" si="210"/>
        <v>0.999999168236229+0.00888201631403583i</v>
      </c>
      <c r="AA214" s="4">
        <f t="shared" si="225"/>
        <v>1.0000386125980101</v>
      </c>
      <c r="AB214" s="4">
        <f t="shared" si="226"/>
        <v>8.8817901441983621E-3</v>
      </c>
      <c r="AC214" s="47" t="str">
        <f t="shared" si="227"/>
        <v>7.2054245351022-9.25363760618264i</v>
      </c>
      <c r="AD214" s="20">
        <f t="shared" si="228"/>
        <v>21.384541273921176</v>
      </c>
      <c r="AE214" s="43">
        <f t="shared" si="229"/>
        <v>-52.093584576817229</v>
      </c>
      <c r="AF214" t="str">
        <f t="shared" si="211"/>
        <v>69.5520360182888</v>
      </c>
      <c r="AG214" t="str">
        <f t="shared" si="212"/>
        <v>1+1.02600249894853i</v>
      </c>
      <c r="AH214">
        <f t="shared" si="230"/>
        <v>1.432718090849916</v>
      </c>
      <c r="AI214">
        <f t="shared" si="231"/>
        <v>0.79823184518204127</v>
      </c>
      <c r="AJ214" t="str">
        <f t="shared" si="213"/>
        <v>1+0.0215460524779192i</v>
      </c>
      <c r="AK214">
        <f t="shared" si="232"/>
        <v>1.0002320892559793</v>
      </c>
      <c r="AL214">
        <f t="shared" si="233"/>
        <v>2.1542719281241643E-2</v>
      </c>
      <c r="AM214" t="str">
        <f t="shared" si="214"/>
        <v>1-0.00261552725340125i</v>
      </c>
      <c r="AN214">
        <f t="shared" si="234"/>
        <v>1.0000034204855568</v>
      </c>
      <c r="AO214">
        <f t="shared" si="235"/>
        <v>-2.6155212891667344E-3</v>
      </c>
      <c r="AP214" s="41" t="str">
        <f t="shared" si="236"/>
        <v>34.5435282397868-34.1250897242596i</v>
      </c>
      <c r="AQ214">
        <f t="shared" si="237"/>
        <v>33.725027437973566</v>
      </c>
      <c r="AR214" s="43">
        <f t="shared" si="238"/>
        <v>-44.650867238916746</v>
      </c>
      <c r="AS214" t="str">
        <f t="shared" si="215"/>
        <v>-0.0000166666666666667</v>
      </c>
      <c r="AT214" t="str">
        <f t="shared" si="216"/>
        <v>0.0000194831325598206i</v>
      </c>
      <c r="AU214">
        <f t="shared" si="239"/>
        <v>1.94831325598206E-5</v>
      </c>
      <c r="AV214">
        <f t="shared" si="240"/>
        <v>1.5707963267948966</v>
      </c>
      <c r="AW214" t="str">
        <f t="shared" si="217"/>
        <v>1+0.0197999862727311i</v>
      </c>
      <c r="AX214">
        <f t="shared" si="241"/>
        <v>1.0001960005200983</v>
      </c>
      <c r="AY214">
        <f t="shared" si="242"/>
        <v>1.9797399422573875E-2</v>
      </c>
      <c r="AZ214" t="str">
        <f t="shared" si="218"/>
        <v>1+0.673199533272858i</v>
      </c>
      <c r="BA214">
        <f t="shared" si="243"/>
        <v>1.2054864626360571</v>
      </c>
      <c r="BB214">
        <f t="shared" si="244"/>
        <v>0.59251173091727904</v>
      </c>
      <c r="BC214" s="41" t="str">
        <f t="shared" si="245"/>
        <v>-0.558725594199973+0.866503567471228i</v>
      </c>
      <c r="BD214">
        <f t="shared" si="246"/>
        <v>0.26534376632163853</v>
      </c>
      <c r="BE214" s="43">
        <f t="shared" si="247"/>
        <v>122.814114061303</v>
      </c>
      <c r="BF214" s="41" t="str">
        <f t="shared" si="248"/>
        <v>3.99245489300513+11.4137702348364i</v>
      </c>
      <c r="BG214" s="20">
        <f t="shared" si="249"/>
        <v>21.649885040242825</v>
      </c>
      <c r="BH214" s="43">
        <f t="shared" si="250"/>
        <v>70.720529484485795</v>
      </c>
      <c r="BI214" s="41" t="str">
        <f t="shared" si="203"/>
        <v>10.2691586448083+48.9986514861327i</v>
      </c>
      <c r="BJ214" s="20">
        <f t="shared" si="251"/>
        <v>33.990371204295201</v>
      </c>
      <c r="BK214" s="43">
        <f t="shared" si="204"/>
        <v>78.163246822386213</v>
      </c>
      <c r="BL214">
        <f t="shared" si="252"/>
        <v>21.649885040242825</v>
      </c>
      <c r="BM214" s="43">
        <f t="shared" si="253"/>
        <v>70.720529484485795</v>
      </c>
    </row>
    <row r="215" spans="14:65" x14ac:dyDescent="0.25">
      <c r="N215" s="9">
        <v>97</v>
      </c>
      <c r="O215" s="34">
        <f t="shared" si="205"/>
        <v>933.25430079699106</v>
      </c>
      <c r="P215" s="33" t="str">
        <f t="shared" si="206"/>
        <v>19.1021967526266</v>
      </c>
      <c r="Q215" s="4" t="str">
        <f t="shared" si="207"/>
        <v>1+1.31613685004585i</v>
      </c>
      <c r="R215" s="4">
        <f t="shared" si="219"/>
        <v>1.6529416831965402</v>
      </c>
      <c r="S215" s="4">
        <f t="shared" si="220"/>
        <v>0.921053039536743</v>
      </c>
      <c r="T215" s="4" t="str">
        <f t="shared" si="208"/>
        <v>1+0.0220479245119681i</v>
      </c>
      <c r="U215" s="4">
        <f t="shared" si="221"/>
        <v>1.0002430259568349</v>
      </c>
      <c r="V215" s="4">
        <f t="shared" si="222"/>
        <v>2.2044352974245944E-2</v>
      </c>
      <c r="W215" t="str">
        <f t="shared" si="209"/>
        <v>1-0.0122162702304788i</v>
      </c>
      <c r="X215" s="4">
        <f t="shared" si="223"/>
        <v>1.0000746158454099</v>
      </c>
      <c r="Y215" s="4">
        <f t="shared" si="224"/>
        <v>-1.2215662577329771E-2</v>
      </c>
      <c r="Z215" t="str">
        <f t="shared" si="210"/>
        <v>0.99999912903641+0.0090889050514762i</v>
      </c>
      <c r="AA215" s="4">
        <f t="shared" si="225"/>
        <v>1.0000404323169205</v>
      </c>
      <c r="AB215" s="4">
        <f t="shared" si="226"/>
        <v>9.0886627066582154E-3</v>
      </c>
      <c r="AC215" s="47" t="str">
        <f t="shared" si="227"/>
        <v>7.00021366410577-9.19909908949898i</v>
      </c>
      <c r="AD215" s="20">
        <f t="shared" si="228"/>
        <v>21.258923183876789</v>
      </c>
      <c r="AE215" s="43">
        <f t="shared" si="229"/>
        <v>-52.730051409776927</v>
      </c>
      <c r="AF215" t="str">
        <f t="shared" si="211"/>
        <v>69.5520360182888</v>
      </c>
      <c r="AG215" t="str">
        <f t="shared" si="212"/>
        <v>1+1.04990116723658i</v>
      </c>
      <c r="AH215">
        <f t="shared" si="230"/>
        <v>1.4499284330492774</v>
      </c>
      <c r="AI215">
        <f t="shared" si="231"/>
        <v>0.80973656299026753</v>
      </c>
      <c r="AJ215" t="str">
        <f t="shared" si="213"/>
        <v>1+0.0220479245119681i</v>
      </c>
      <c r="AK215">
        <f t="shared" si="232"/>
        <v>1.0002430259568349</v>
      </c>
      <c r="AL215">
        <f t="shared" si="233"/>
        <v>2.2044352974245944E-2</v>
      </c>
      <c r="AM215" t="str">
        <f t="shared" si="214"/>
        <v>1-0.00267645070952483i</v>
      </c>
      <c r="AN215">
        <f t="shared" si="234"/>
        <v>1.0000035816877859</v>
      </c>
      <c r="AO215">
        <f t="shared" si="235"/>
        <v>-2.676444318733642E-3</v>
      </c>
      <c r="AP215" s="41" t="str">
        <f t="shared" si="236"/>
        <v>33.7587182422887-34.0959922433549i</v>
      </c>
      <c r="AQ215">
        <f t="shared" si="237"/>
        <v>33.62140737643626</v>
      </c>
      <c r="AR215" s="43">
        <f t="shared" si="238"/>
        <v>-45.284788152815743</v>
      </c>
      <c r="AS215" t="str">
        <f t="shared" si="215"/>
        <v>-0.0000166666666666667</v>
      </c>
      <c r="AT215" t="str">
        <f t="shared" si="216"/>
        <v>0.0000199369530161414i</v>
      </c>
      <c r="AU215">
        <f t="shared" si="239"/>
        <v>1.9936953016141399E-5</v>
      </c>
      <c r="AV215">
        <f t="shared" si="240"/>
        <v>1.5707963267948966</v>
      </c>
      <c r="AW215" t="str">
        <f t="shared" si="217"/>
        <v>1+0.0202611872001409i</v>
      </c>
      <c r="AX215">
        <f t="shared" si="241"/>
        <v>1.0002052367923091</v>
      </c>
      <c r="AY215">
        <f t="shared" si="242"/>
        <v>2.025841537097544E-2</v>
      </c>
      <c r="AZ215" t="str">
        <f t="shared" si="218"/>
        <v>1+0.68888036480479i</v>
      </c>
      <c r="BA215">
        <f t="shared" si="243"/>
        <v>1.2143130391351238</v>
      </c>
      <c r="BB215">
        <f t="shared" si="244"/>
        <v>0.60322407216814111</v>
      </c>
      <c r="BC215" s="41" t="str">
        <f t="shared" si="245"/>
        <v>-0.558715275282091+0.847288833053473i</v>
      </c>
      <c r="BD215">
        <f t="shared" si="246"/>
        <v>0.12862997188915193</v>
      </c>
      <c r="BE215" s="43">
        <f t="shared" si="247"/>
        <v>123.40147173554963</v>
      </c>
      <c r="BF215" s="41" t="str">
        <f t="shared" si="248"/>
        <v>3.88316762831055+11.0708800467218i</v>
      </c>
      <c r="BG215" s="20">
        <f t="shared" si="249"/>
        <v>21.387553155765936</v>
      </c>
      <c r="BH215" s="43">
        <f t="shared" si="250"/>
        <v>70.671420325772672</v>
      </c>
      <c r="BI215" s="41" t="str">
        <f t="shared" si="203"/>
        <v>10.0276419237616+47.6533366771519i</v>
      </c>
      <c r="BJ215" s="20">
        <f t="shared" si="251"/>
        <v>33.750037348325421</v>
      </c>
      <c r="BK215" s="43">
        <f t="shared" si="204"/>
        <v>78.116683582733856</v>
      </c>
      <c r="BL215">
        <f t="shared" si="252"/>
        <v>21.387553155765936</v>
      </c>
      <c r="BM215" s="43">
        <f t="shared" si="253"/>
        <v>70.671420325772672</v>
      </c>
    </row>
    <row r="216" spans="14:65" x14ac:dyDescent="0.25">
      <c r="N216" s="9">
        <v>98</v>
      </c>
      <c r="O216" s="34">
        <f t="shared" si="205"/>
        <v>954.99258602143675</v>
      </c>
      <c r="P216" s="33" t="str">
        <f t="shared" si="206"/>
        <v>19.1021967526266</v>
      </c>
      <c r="Q216" s="4" t="str">
        <f t="shared" si="207"/>
        <v>1+1.34679361553439i</v>
      </c>
      <c r="R216" s="4">
        <f t="shared" si="219"/>
        <v>1.6774543340562791</v>
      </c>
      <c r="S216" s="4">
        <f t="shared" si="220"/>
        <v>0.93210977560693087</v>
      </c>
      <c r="T216" s="4" t="str">
        <f t="shared" si="208"/>
        <v>1+0.022561486647432i</v>
      </c>
      <c r="U216" s="4">
        <f t="shared" si="221"/>
        <v>1.000254477960355</v>
      </c>
      <c r="V216" s="4">
        <f t="shared" si="222"/>
        <v>2.2557659728396157E-2</v>
      </c>
      <c r="W216" t="str">
        <f t="shared" si="209"/>
        <v>1-0.0125008237186569i</v>
      </c>
      <c r="X216" s="4">
        <f t="shared" si="223"/>
        <v>1.0000781322444987</v>
      </c>
      <c r="Y216" s="4">
        <f t="shared" si="224"/>
        <v>-1.2500172609324168E-2</v>
      </c>
      <c r="Z216" t="str">
        <f t="shared" si="210"/>
        <v>0.999999087989161+0.00930061284668076i</v>
      </c>
      <c r="AA216" s="4">
        <f t="shared" si="225"/>
        <v>1.0000423377929946</v>
      </c>
      <c r="AB216" s="4">
        <f t="shared" si="226"/>
        <v>9.3003531701234456E-3</v>
      </c>
      <c r="AC216" s="47" t="str">
        <f t="shared" si="227"/>
        <v>6.79751934209783-9.14038853283326i</v>
      </c>
      <c r="AD216" s="20">
        <f t="shared" si="228"/>
        <v>21.131173132977636</v>
      </c>
      <c r="AE216" s="43">
        <f t="shared" si="229"/>
        <v>-53.362575605362636</v>
      </c>
      <c r="AF216" t="str">
        <f t="shared" si="211"/>
        <v>69.5520360182888</v>
      </c>
      <c r="AG216" t="str">
        <f t="shared" si="212"/>
        <v>1+1.07435650702057i</v>
      </c>
      <c r="AH216">
        <f t="shared" si="230"/>
        <v>1.4677335944160439</v>
      </c>
      <c r="AI216">
        <f t="shared" si="231"/>
        <v>0.82122840003817832</v>
      </c>
      <c r="AJ216" t="str">
        <f t="shared" si="213"/>
        <v>1+0.022561486647432i</v>
      </c>
      <c r="AK216">
        <f t="shared" si="232"/>
        <v>1.000254477960355</v>
      </c>
      <c r="AL216">
        <f t="shared" si="233"/>
        <v>2.2557659728396157E-2</v>
      </c>
      <c r="AM216" t="str">
        <f t="shared" si="214"/>
        <v>1-0.00273879325524161i</v>
      </c>
      <c r="AN216">
        <f t="shared" si="234"/>
        <v>1.0000037504872143</v>
      </c>
      <c r="AO216">
        <f t="shared" si="235"/>
        <v>-2.7387864073868638E-3</v>
      </c>
      <c r="AP216" s="41" t="str">
        <f t="shared" si="236"/>
        <v>32.9756645409213-34.0489110880732i</v>
      </c>
      <c r="AQ216">
        <f t="shared" si="237"/>
        <v>33.515494922504551</v>
      </c>
      <c r="AR216" s="43">
        <f t="shared" si="238"/>
        <v>-45.917383542470603</v>
      </c>
      <c r="AS216" t="str">
        <f t="shared" si="215"/>
        <v>-0.0000166666666666667</v>
      </c>
      <c r="AT216" t="str">
        <f t="shared" si="216"/>
        <v>0.0000204013443088481i</v>
      </c>
      <c r="AU216">
        <f t="shared" si="239"/>
        <v>2.0401344308848099E-5</v>
      </c>
      <c r="AV216">
        <f t="shared" si="240"/>
        <v>1.5707963267948966</v>
      </c>
      <c r="AW216" t="str">
        <f t="shared" si="217"/>
        <v>1+0.0207331308771927i</v>
      </c>
      <c r="AX216">
        <f t="shared" si="241"/>
        <v>1.0002149082652043</v>
      </c>
      <c r="AY216">
        <f t="shared" si="242"/>
        <v>2.0730160843196052E-2</v>
      </c>
      <c r="AZ216" t="str">
        <f t="shared" si="218"/>
        <v>1+0.704926449824552i</v>
      </c>
      <c r="BA216">
        <f t="shared" si="243"/>
        <v>1.2234873516560139</v>
      </c>
      <c r="BB216">
        <f t="shared" si="244"/>
        <v>0.6140246599294874</v>
      </c>
      <c r="BC216" s="41" t="str">
        <f t="shared" si="245"/>
        <v>-0.558704470457106+0.828523322686778i</v>
      </c>
      <c r="BD216">
        <f t="shared" si="246"/>
        <v>-6.0775046237352189E-3</v>
      </c>
      <c r="BE216" s="43">
        <f t="shared" si="247"/>
        <v>123.99327080597276</v>
      </c>
      <c r="BF216" s="41" t="str">
        <f t="shared" si="248"/>
        <v>3.77522063342243+10.7386792463513i</v>
      </c>
      <c r="BG216" s="20">
        <f t="shared" si="249"/>
        <v>21.125095628353868</v>
      </c>
      <c r="BH216" s="43">
        <f t="shared" si="250"/>
        <v>70.630695200610063</v>
      </c>
      <c r="BI216" s="41" t="str">
        <f t="shared" si="203"/>
        <v>9.78666575325048+46.3443859923517i</v>
      </c>
      <c r="BJ216" s="20">
        <f t="shared" si="251"/>
        <v>33.509417417880826</v>
      </c>
      <c r="BK216" s="43">
        <f t="shared" si="204"/>
        <v>78.075887263502167</v>
      </c>
      <c r="BL216">
        <f t="shared" si="252"/>
        <v>21.125095628353868</v>
      </c>
      <c r="BM216" s="43">
        <f t="shared" si="253"/>
        <v>70.630695200610063</v>
      </c>
    </row>
    <row r="217" spans="14:65" x14ac:dyDescent="0.25">
      <c r="N217" s="9">
        <v>99</v>
      </c>
      <c r="O217" s="34">
        <f t="shared" si="205"/>
        <v>977.23722095581138</v>
      </c>
      <c r="P217" s="33" t="str">
        <f t="shared" si="206"/>
        <v>19.1021967526266</v>
      </c>
      <c r="Q217" s="4" t="str">
        <f t="shared" si="207"/>
        <v>1+1.3781644688248i</v>
      </c>
      <c r="R217" s="4">
        <f t="shared" si="219"/>
        <v>1.7027440509751144</v>
      </c>
      <c r="S217" s="4">
        <f t="shared" si="220"/>
        <v>0.94309312971987713</v>
      </c>
      <c r="T217" s="4" t="str">
        <f t="shared" si="208"/>
        <v>1+0.023087011181753i</v>
      </c>
      <c r="U217" s="4">
        <f t="shared" si="221"/>
        <v>1.0002664695396455</v>
      </c>
      <c r="V217" s="4">
        <f t="shared" si="222"/>
        <v>2.3082910623123447E-2</v>
      </c>
      <c r="W217" t="str">
        <f t="shared" si="209"/>
        <v>1-0.0127920053090387i</v>
      </c>
      <c r="X217" s="4">
        <f t="shared" si="223"/>
        <v>1.0000818143531189</v>
      </c>
      <c r="Y217" s="4">
        <f t="shared" si="224"/>
        <v>-1.2791307635901391E-2</v>
      </c>
      <c r="Z217" t="str">
        <f t="shared" si="210"/>
        <v>0.999999045007414+0.00951725194992478i</v>
      </c>
      <c r="AA217" s="4">
        <f t="shared" si="225"/>
        <v>1.0000443330674988</v>
      </c>
      <c r="AB217" s="4">
        <f t="shared" si="226"/>
        <v>9.5169737021466253E-3</v>
      </c>
      <c r="AC217" s="47" t="str">
        <f t="shared" si="227"/>
        <v>6.59750638519032-9.07764726566011i</v>
      </c>
      <c r="AD217" s="20">
        <f t="shared" si="228"/>
        <v>21.001318601674825</v>
      </c>
      <c r="AE217" s="43">
        <f t="shared" si="229"/>
        <v>-53.99087303201069</v>
      </c>
      <c r="AF217" t="str">
        <f t="shared" si="211"/>
        <v>69.5520360182888</v>
      </c>
      <c r="AG217" t="str">
        <f t="shared" si="212"/>
        <v>1+1.09938148484538i</v>
      </c>
      <c r="AH217">
        <f t="shared" si="230"/>
        <v>1.4861492688222246</v>
      </c>
      <c r="AI217">
        <f t="shared" si="231"/>
        <v>0.83270130938390208</v>
      </c>
      <c r="AJ217" t="str">
        <f t="shared" si="213"/>
        <v>1+0.023087011181753i</v>
      </c>
      <c r="AK217">
        <f t="shared" si="232"/>
        <v>1.0002664695396455</v>
      </c>
      <c r="AL217">
        <f t="shared" si="233"/>
        <v>2.3082910623123447E-2</v>
      </c>
      <c r="AM217" t="str">
        <f t="shared" si="214"/>
        <v>1-0.00280258794539454i</v>
      </c>
      <c r="AN217">
        <f t="shared" si="234"/>
        <v>1.0000039272418841</v>
      </c>
      <c r="AO217">
        <f t="shared" si="235"/>
        <v>-2.8025806077875358E-3</v>
      </c>
      <c r="AP217" s="41" t="str">
        <f t="shared" si="236"/>
        <v>32.1951880692131-33.9839707288623i</v>
      </c>
      <c r="AQ217">
        <f t="shared" si="237"/>
        <v>33.407296640234193</v>
      </c>
      <c r="AR217" s="43">
        <f t="shared" si="238"/>
        <v>-46.54829330570373</v>
      </c>
      <c r="AS217" t="str">
        <f t="shared" si="215"/>
        <v>-0.0000166666666666667</v>
      </c>
      <c r="AT217" t="str">
        <f t="shared" si="216"/>
        <v>0.0000208765526643511i</v>
      </c>
      <c r="AU217">
        <f t="shared" si="239"/>
        <v>2.08765526643511E-5</v>
      </c>
      <c r="AV217">
        <f t="shared" si="240"/>
        <v>1.5707963267948966</v>
      </c>
      <c r="AW217" t="str">
        <f t="shared" si="217"/>
        <v>1+0.021216067534671i</v>
      </c>
      <c r="AX217">
        <f t="shared" si="241"/>
        <v>1.0002250354403432</v>
      </c>
      <c r="AY217">
        <f t="shared" si="242"/>
        <v>2.1212885124575618E-2</v>
      </c>
      <c r="AZ217" t="str">
        <f t="shared" si="218"/>
        <v>1+0.721346296178815i</v>
      </c>
      <c r="BA217">
        <f t="shared" si="243"/>
        <v>1.2330208753345966</v>
      </c>
      <c r="BB217">
        <f t="shared" si="244"/>
        <v>0.62490914156430699</v>
      </c>
      <c r="BC217" s="41" t="str">
        <f t="shared" si="245"/>
        <v>-0.558693156864308+0.810197085241207i</v>
      </c>
      <c r="BD217">
        <f t="shared" si="246"/>
        <v>-0.13874654145964938</v>
      </c>
      <c r="BE217" s="43">
        <f t="shared" si="247"/>
        <v>124.58924760184408</v>
      </c>
      <c r="BF217" s="41" t="str">
        <f t="shared" si="248"/>
        <v>3.66870168571122+10.4168998508937i</v>
      </c>
      <c r="BG217" s="20">
        <f t="shared" si="249"/>
        <v>20.862572060215136</v>
      </c>
      <c r="BH217" s="43">
        <f t="shared" si="250"/>
        <v>70.598374569833325</v>
      </c>
      <c r="BI217" s="41" t="str">
        <f t="shared" si="203"/>
        <v>9.54648277121796+45.0710594217613i</v>
      </c>
      <c r="BJ217" s="20">
        <f t="shared" si="251"/>
        <v>33.268550098774554</v>
      </c>
      <c r="BK217" s="43">
        <f t="shared" si="204"/>
        <v>78.04095429614037</v>
      </c>
      <c r="BL217">
        <f t="shared" si="252"/>
        <v>20.862572060215136</v>
      </c>
      <c r="BM217" s="43">
        <f t="shared" si="253"/>
        <v>70.598374569833325</v>
      </c>
    </row>
    <row r="218" spans="14:65" x14ac:dyDescent="0.25">
      <c r="N218" s="9">
        <v>100</v>
      </c>
      <c r="O218" s="34">
        <f t="shared" si="205"/>
        <v>1000</v>
      </c>
      <c r="P218" s="33" t="str">
        <f t="shared" si="206"/>
        <v>19.1021967526266</v>
      </c>
      <c r="Q218" s="4" t="str">
        <f t="shared" si="207"/>
        <v>1+1.41026604315874i</v>
      </c>
      <c r="R218" s="4">
        <f t="shared" si="219"/>
        <v>1.7288291738880996</v>
      </c>
      <c r="S218" s="4">
        <f t="shared" si="220"/>
        <v>0.95399832596724943</v>
      </c>
      <c r="T218" s="4" t="str">
        <f t="shared" si="208"/>
        <v>1+0.0236247767549952i</v>
      </c>
      <c r="U218" s="4">
        <f t="shared" si="221"/>
        <v>1.0002790261105765</v>
      </c>
      <c r="V218" s="4">
        <f t="shared" si="222"/>
        <v>2.3620382993454706E-2</v>
      </c>
      <c r="W218" t="str">
        <f t="shared" si="209"/>
        <v>1-0.0130899693899575i</v>
      </c>
      <c r="X218" s="4">
        <f t="shared" si="223"/>
        <v>1.0000856699796423</v>
      </c>
      <c r="Y218" s="4">
        <f t="shared" si="224"/>
        <v>-1.3089221823180751E-2</v>
      </c>
      <c r="Z218" t="str">
        <f t="shared" si="210"/>
        <v>0.999999+0.00973893722612836i</v>
      </c>
      <c r="AA218" s="4">
        <f t="shared" si="225"/>
        <v>1.0000464223721288</v>
      </c>
      <c r="AB218" s="4">
        <f t="shared" si="226"/>
        <v>9.7386390790098233E-3</v>
      </c>
      <c r="AC218" s="47" t="str">
        <f t="shared" si="227"/>
        <v>6.40032967234553-9.01102387214101i</v>
      </c>
      <c r="AD218" s="20">
        <f t="shared" si="228"/>
        <v>20.869388756915129</v>
      </c>
      <c r="AE218" s="43">
        <f t="shared" si="229"/>
        <v>-54.614669569468731</v>
      </c>
      <c r="AF218" t="str">
        <f t="shared" si="211"/>
        <v>69.5520360182888</v>
      </c>
      <c r="AG218" t="str">
        <f t="shared" si="212"/>
        <v>1+1.12498936928549i</v>
      </c>
      <c r="AH218">
        <f t="shared" si="230"/>
        <v>1.5051913768705176</v>
      </c>
      <c r="AI218">
        <f t="shared" si="231"/>
        <v>0.84414929391096338</v>
      </c>
      <c r="AJ218" t="str">
        <f t="shared" si="213"/>
        <v>1+0.0236247767549952i</v>
      </c>
      <c r="AK218">
        <f t="shared" si="232"/>
        <v>1.0002790261105765</v>
      </c>
      <c r="AL218">
        <f t="shared" si="233"/>
        <v>2.3620382993454706E-2</v>
      </c>
      <c r="AM218" t="str">
        <f t="shared" si="214"/>
        <v>1-0.00286786860477275i</v>
      </c>
      <c r="AN218">
        <f t="shared" si="234"/>
        <v>1.0000041123267116</v>
      </c>
      <c r="AO218">
        <f t="shared" si="235"/>
        <v>-2.8678607423869374E-3</v>
      </c>
      <c r="AP218" s="41" t="str">
        <f t="shared" si="236"/>
        <v>31.4180989256923-33.9013420712711i</v>
      </c>
      <c r="AQ218">
        <f t="shared" si="237"/>
        <v>33.296821493822549</v>
      </c>
      <c r="AR218" s="43">
        <f t="shared" si="238"/>
        <v>-47.177159880809157</v>
      </c>
      <c r="AS218" t="str">
        <f t="shared" si="215"/>
        <v>-0.0000166666666666667</v>
      </c>
      <c r="AT218" t="str">
        <f t="shared" si="216"/>
        <v>0.0000213628300444106i</v>
      </c>
      <c r="AU218">
        <f t="shared" si="239"/>
        <v>2.1362830044410598E-5</v>
      </c>
      <c r="AV218">
        <f t="shared" si="240"/>
        <v>1.5707963267948966</v>
      </c>
      <c r="AW218" t="str">
        <f t="shared" si="217"/>
        <v>1+0.0217102532319841i</v>
      </c>
      <c r="AX218">
        <f t="shared" si="241"/>
        <v>1.0002356397846444</v>
      </c>
      <c r="AY218">
        <f t="shared" si="242"/>
        <v>2.1706843261516024E-2</v>
      </c>
      <c r="AZ218" t="str">
        <f t="shared" si="218"/>
        <v>1+0.738148609887458i</v>
      </c>
      <c r="BA218">
        <f t="shared" si="243"/>
        <v>1.2429253277163461</v>
      </c>
      <c r="BB218">
        <f t="shared" si="244"/>
        <v>0.6358729723093014</v>
      </c>
      <c r="BC218" s="41" t="str">
        <f t="shared" si="245"/>
        <v>-0.558681310569388+0.792300402394593i</v>
      </c>
      <c r="BD218">
        <f t="shared" si="246"/>
        <v>-0.26934645681814984</v>
      </c>
      <c r="BE218" s="43">
        <f t="shared" si="247"/>
        <v>125.18912711432517</v>
      </c>
      <c r="BF218" s="41" t="str">
        <f t="shared" si="248"/>
        <v>3.56369327046246+10.1052744013172i</v>
      </c>
      <c r="BG218" s="20">
        <f t="shared" si="249"/>
        <v>20.60004230009698</v>
      </c>
      <c r="BH218" s="43">
        <f t="shared" si="250"/>
        <v>70.574457544856458</v>
      </c>
      <c r="BI218" s="41" t="str">
        <f t="shared" si="203"/>
        <v>9.30734228138039+43.832618639738i</v>
      </c>
      <c r="BJ218" s="20">
        <f t="shared" si="251"/>
        <v>33.027475037004393</v>
      </c>
      <c r="BK218" s="43">
        <f t="shared" si="204"/>
        <v>78.011967233516017</v>
      </c>
      <c r="BL218">
        <f t="shared" si="252"/>
        <v>20.60004230009698</v>
      </c>
      <c r="BM218" s="43">
        <f t="shared" si="253"/>
        <v>70.574457544856458</v>
      </c>
    </row>
    <row r="219" spans="14:65" x14ac:dyDescent="0.25">
      <c r="N219" s="9">
        <v>1</v>
      </c>
      <c r="O219" s="34">
        <f>10^(3+(N219/100))</f>
        <v>1023.2929922807547</v>
      </c>
      <c r="P219" s="33" t="str">
        <f t="shared" si="206"/>
        <v>19.1021967526266</v>
      </c>
      <c r="Q219" s="4" t="str">
        <f t="shared" si="207"/>
        <v>1+1.44311535921585i</v>
      </c>
      <c r="R219" s="4">
        <f t="shared" si="219"/>
        <v>1.7557283218096962</v>
      </c>
      <c r="S219" s="4">
        <f t="shared" si="220"/>
        <v>0.96482077158281132</v>
      </c>
      <c r="T219" s="4" t="str">
        <f t="shared" si="208"/>
        <v>1+0.0241750684975839i</v>
      </c>
      <c r="U219" s="4">
        <f t="shared" si="221"/>
        <v>1.0002921742855249</v>
      </c>
      <c r="V219" s="4">
        <f t="shared" si="222"/>
        <v>2.4170360571538058E-2</v>
      </c>
      <c r="W219" t="str">
        <f t="shared" si="209"/>
        <v>1-0.0133948739459131i</v>
      </c>
      <c r="X219" s="4">
        <f t="shared" si="223"/>
        <v>1.0000897073003137</v>
      </c>
      <c r="Y219" s="4">
        <f t="shared" si="224"/>
        <v>-1.3394072917560455E-2</v>
      </c>
      <c r="Z219" t="str">
        <f t="shared" si="210"/>
        <v>0.999998952871452+0.00996578621575931i</v>
      </c>
      <c r="AA219" s="4">
        <f t="shared" si="225"/>
        <v>1.0000486101379766</v>
      </c>
      <c r="AB219" s="4">
        <f t="shared" si="226"/>
        <v>9.9654667462045817E-3</v>
      </c>
      <c r="AC219" s="47" t="str">
        <f t="shared" si="227"/>
        <v>6.20613379752704-8.94067338372942i</v>
      </c>
      <c r="AD219" s="20">
        <f t="shared" si="228"/>
        <v>20.735414346669252</v>
      </c>
      <c r="AE219" s="43">
        <f t="shared" si="229"/>
        <v>-55.23370158229438</v>
      </c>
      <c r="AF219" t="str">
        <f t="shared" si="211"/>
        <v>69.5520360182888</v>
      </c>
      <c r="AG219" t="str">
        <f t="shared" si="212"/>
        <v>1+1.15119373798019i</v>
      </c>
      <c r="AH219">
        <f t="shared" si="230"/>
        <v>1.5248760678706983</v>
      </c>
      <c r="AI219">
        <f t="shared" si="231"/>
        <v>0.85556642181472731</v>
      </c>
      <c r="AJ219" t="str">
        <f t="shared" si="213"/>
        <v>1+0.0241750684975839i</v>
      </c>
      <c r="AK219">
        <f t="shared" si="232"/>
        <v>1.0002921742855249</v>
      </c>
      <c r="AL219">
        <f t="shared" si="233"/>
        <v>2.4170360571538058E-2</v>
      </c>
      <c r="AM219" t="str">
        <f t="shared" si="214"/>
        <v>1-0.00293466984604593i</v>
      </c>
      <c r="AN219">
        <f t="shared" si="234"/>
        <v>1.0000043061342812</v>
      </c>
      <c r="AO219">
        <f t="shared" si="235"/>
        <v>-2.9346614213497054E-3</v>
      </c>
      <c r="AP219" s="41" t="str">
        <f t="shared" si="236"/>
        <v>30.6451930497347-33.801241365994i</v>
      </c>
      <c r="AQ219">
        <f t="shared" si="237"/>
        <v>33.184080811439657</v>
      </c>
      <c r="AR219" s="43">
        <f t="shared" si="238"/>
        <v>-47.80362912677802</v>
      </c>
      <c r="AS219" t="str">
        <f t="shared" si="215"/>
        <v>-0.0000166666666666667</v>
      </c>
      <c r="AT219" t="str">
        <f t="shared" si="216"/>
        <v>0.0000218604342797301i</v>
      </c>
      <c r="AU219">
        <f t="shared" si="239"/>
        <v>2.1860434279730101E-5</v>
      </c>
      <c r="AV219">
        <f t="shared" si="240"/>
        <v>1.5707963267948966</v>
      </c>
      <c r="AW219" t="str">
        <f t="shared" si="217"/>
        <v>1+0.0222159499929299i</v>
      </c>
      <c r="AX219">
        <f t="shared" si="241"/>
        <v>1.0002467437757987</v>
      </c>
      <c r="AY219">
        <f t="shared" si="242"/>
        <v>2.2212296192421797E-2</v>
      </c>
      <c r="AZ219" t="str">
        <f t="shared" si="218"/>
        <v>1+0.755342299759616i</v>
      </c>
      <c r="BA219">
        <f t="shared" si="243"/>
        <v>1.2532126674296529</v>
      </c>
      <c r="BB219">
        <f t="shared" si="244"/>
        <v>0.64691142230437071</v>
      </c>
      <c r="BC219" s="41" t="str">
        <f t="shared" si="245"/>
        <v>-0.558668906514218+0.77482378347259i</v>
      </c>
      <c r="BD219">
        <f t="shared" si="246"/>
        <v>-0.39784811921525509</v>
      </c>
      <c r="BE219" s="43">
        <f t="shared" si="247"/>
        <v>125.79262339172539</v>
      </c>
      <c r="BF219" s="41" t="str">
        <f t="shared" si="248"/>
        <v>3.46027239562855+9.8035362925259i</v>
      </c>
      <c r="BG219" s="20">
        <f t="shared" si="249"/>
        <v>20.337566227453998</v>
      </c>
      <c r="BH219" s="43">
        <f t="shared" si="250"/>
        <v>70.558921809431013</v>
      </c>
      <c r="BI219" s="41" t="str">
        <f t="shared" si="203"/>
        <v>9.06948923025729+42.6283269768064i</v>
      </c>
      <c r="BJ219" s="20">
        <f t="shared" si="251"/>
        <v>32.786232692224402</v>
      </c>
      <c r="BK219" s="43">
        <f t="shared" si="204"/>
        <v>77.98899426494738</v>
      </c>
      <c r="BL219">
        <f t="shared" si="252"/>
        <v>20.337566227453998</v>
      </c>
      <c r="BM219" s="43">
        <f t="shared" si="253"/>
        <v>70.558921809431013</v>
      </c>
    </row>
    <row r="220" spans="14:65" x14ac:dyDescent="0.25">
      <c r="N220" s="9">
        <v>2</v>
      </c>
      <c r="O220" s="34">
        <f t="shared" ref="O220:O283" si="254">10^(3+(N220/100))</f>
        <v>1047.1285480509</v>
      </c>
      <c r="P220" s="33" t="str">
        <f t="shared" si="206"/>
        <v>19.1021967526266</v>
      </c>
      <c r="Q220" s="4" t="str">
        <f t="shared" si="207"/>
        <v>1+1.4767298341383i</v>
      </c>
      <c r="R220" s="4">
        <f t="shared" si="219"/>
        <v>1.7834604013081228</v>
      </c>
      <c r="S220" s="4">
        <f t="shared" si="220"/>
        <v>0.97555606422478136</v>
      </c>
      <c r="T220" s="4" t="str">
        <f t="shared" si="208"/>
        <v>1+0.0247381781814848i</v>
      </c>
      <c r="U220" s="4">
        <f t="shared" si="221"/>
        <v>1.0003059419296372</v>
      </c>
      <c r="V220" s="4">
        <f t="shared" si="222"/>
        <v>2.4733133631165253E-2</v>
      </c>
      <c r="W220" t="str">
        <f t="shared" si="209"/>
        <v>1-0.0137068806413369i</v>
      </c>
      <c r="X220" s="4">
        <f t="shared" si="223"/>
        <v>1.0000939348765774</v>
      </c>
      <c r="Y220" s="4">
        <f t="shared" si="224"/>
        <v>-1.3706022328347046E-2</v>
      </c>
      <c r="Z220" t="str">
        <f t="shared" si="210"/>
        <v>0.999998903521804+0.0101979191971546i</v>
      </c>
      <c r="AA220" s="4">
        <f t="shared" si="225"/>
        <v>1.0000509010049248</v>
      </c>
      <c r="AB220" s="4">
        <f t="shared" si="226"/>
        <v>1.0197576880300175E-2</v>
      </c>
      <c r="AC220" s="47" t="str">
        <f t="shared" si="227"/>
        <v>6.01505279592888-8.86675645971119i</v>
      </c>
      <c r="AD220" s="20">
        <f t="shared" si="228"/>
        <v>20.599427591228071</v>
      </c>
      <c r="AE220" s="43">
        <f t="shared" si="229"/>
        <v>-55.847716337102355</v>
      </c>
      <c r="AF220" t="str">
        <f t="shared" si="211"/>
        <v>69.5520360182888</v>
      </c>
      <c r="AG220" t="str">
        <f t="shared" si="212"/>
        <v>1+1.17800848483261i</v>
      </c>
      <c r="AH220">
        <f t="shared" si="230"/>
        <v>1.5452197223494208</v>
      </c>
      <c r="AI220">
        <f t="shared" si="231"/>
        <v>0.86694684167374958</v>
      </c>
      <c r="AJ220" t="str">
        <f t="shared" si="213"/>
        <v>1+0.0247381781814848i</v>
      </c>
      <c r="AK220">
        <f t="shared" si="232"/>
        <v>1.0003059419296372</v>
      </c>
      <c r="AL220">
        <f t="shared" si="233"/>
        <v>2.4733133631165253E-2</v>
      </c>
      <c r="AM220" t="str">
        <f t="shared" si="214"/>
        <v>1-0.00300302708811644i</v>
      </c>
      <c r="AN220">
        <f t="shared" si="234"/>
        <v>1.0000045090756799</v>
      </c>
      <c r="AO220">
        <f t="shared" si="235"/>
        <v>-3.0030180608939935E-3</v>
      </c>
      <c r="AP220" s="41" t="str">
        <f t="shared" si="236"/>
        <v>29.8772490224298-33.6839288401702i</v>
      </c>
      <c r="AQ220">
        <f t="shared" si="237"/>
        <v>33.069088239519097</v>
      </c>
      <c r="AR220" s="43">
        <f t="shared" si="238"/>
        <v>-48.42735117959419</v>
      </c>
      <c r="AS220" t="str">
        <f t="shared" si="215"/>
        <v>-0.0000166666666666667</v>
      </c>
      <c r="AT220" t="str">
        <f t="shared" si="216"/>
        <v>0.0000223696292066618i</v>
      </c>
      <c r="AU220">
        <f t="shared" si="239"/>
        <v>2.2369629206661802E-5</v>
      </c>
      <c r="AV220">
        <f t="shared" si="240"/>
        <v>1.5707963267948966</v>
      </c>
      <c r="AW220" t="str">
        <f t="shared" si="217"/>
        <v>1+0.0227334259446248i</v>
      </c>
      <c r="AX220">
        <f t="shared" si="241"/>
        <v>1.0002583709498161</v>
      </c>
      <c r="AY220">
        <f t="shared" si="242"/>
        <v>2.2729510881459542E-2</v>
      </c>
      <c r="AZ220" t="str">
        <f t="shared" si="218"/>
        <v>1+0.772936482117244i</v>
      </c>
      <c r="BA220">
        <f t="shared" si="243"/>
        <v>1.2638950927144945</v>
      </c>
      <c r="BB220">
        <f t="shared" si="244"/>
        <v>0.65801958460752963</v>
      </c>
      <c r="BC220" s="41" t="str">
        <f t="shared" si="245"/>
        <v>-0.558655918464273+0.757757960408895i</v>
      </c>
      <c r="BD220">
        <f t="shared" si="246"/>
        <v>-0.52422405480363077</v>
      </c>
      <c r="BE220" s="43">
        <f t="shared" si="247"/>
        <v>126.39943999105873</v>
      </c>
      <c r="BF220" s="41" t="str">
        <f t="shared" si="248"/>
        <v>3.3585104460324+9.51142011219387i</v>
      </c>
      <c r="BG220" s="20">
        <f t="shared" si="249"/>
        <v>20.075203536424439</v>
      </c>
      <c r="BH220" s="43">
        <f t="shared" si="250"/>
        <v>70.551723653956401</v>
      </c>
      <c r="BI220" s="41" t="str">
        <f t="shared" si="203"/>
        <v>8.83316322267441+41.4574494855556i</v>
      </c>
      <c r="BJ220" s="20">
        <f t="shared" si="251"/>
        <v>32.544864184715479</v>
      </c>
      <c r="BK220" s="43">
        <f t="shared" si="204"/>
        <v>77.972088811464545</v>
      </c>
      <c r="BL220">
        <f t="shared" si="252"/>
        <v>20.075203536424439</v>
      </c>
      <c r="BM220" s="43">
        <f t="shared" si="253"/>
        <v>70.551723653956401</v>
      </c>
    </row>
    <row r="221" spans="14:65" x14ac:dyDescent="0.25">
      <c r="N221" s="9">
        <v>3</v>
      </c>
      <c r="O221" s="34">
        <f t="shared" si="254"/>
        <v>1071.5193052376069</v>
      </c>
      <c r="P221" s="33" t="str">
        <f t="shared" si="206"/>
        <v>19.1021967526266</v>
      </c>
      <c r="Q221" s="4" t="str">
        <f t="shared" si="207"/>
        <v>1+1.51112729076564i</v>
      </c>
      <c r="R221" s="4">
        <f t="shared" si="219"/>
        <v>1.8120446155922052</v>
      </c>
      <c r="S221" s="4">
        <f t="shared" si="220"/>
        <v>0.98619999826615645</v>
      </c>
      <c r="T221" s="4" t="str">
        <f t="shared" si="208"/>
        <v>1+0.025314404374906i</v>
      </c>
      <c r="U221" s="4">
        <f t="shared" si="221"/>
        <v>1.0003203582197338</v>
      </c>
      <c r="V221" s="4">
        <f t="shared" si="222"/>
        <v>2.5308999135342135E-2</v>
      </c>
      <c r="W221" t="str">
        <f t="shared" si="209"/>
        <v>1-0.0140261549063088i</v>
      </c>
      <c r="X221" s="4">
        <f t="shared" si="223"/>
        <v>1.0000983616732186</v>
      </c>
      <c r="Y221" s="4">
        <f t="shared" si="224"/>
        <v>-1.4025235212255498E-2</v>
      </c>
      <c r="Z221" t="str">
        <f t="shared" si="210"/>
        <v>0.999998851846378+0.0104354592502937i</v>
      </c>
      <c r="AA221" s="4">
        <f t="shared" si="225"/>
        <v>1.0000532998314835</v>
      </c>
      <c r="AB221" s="4">
        <f t="shared" si="226"/>
        <v>1.0435092452231386E-2</v>
      </c>
      <c r="AC221" s="47" t="str">
        <f t="shared" si="227"/>
        <v>5.82720994357729-8.78943856309412i</v>
      </c>
      <c r="AD221" s="20">
        <f t="shared" si="228"/>
        <v>20.461462072042025</v>
      </c>
      <c r="AE221" s="43">
        <f t="shared" si="229"/>
        <v>-56.456472362986652</v>
      </c>
      <c r="AF221" t="str">
        <f t="shared" si="211"/>
        <v>69.5520360182888</v>
      </c>
      <c r="AG221" t="str">
        <f t="shared" si="212"/>
        <v>1+1.20544782737648i</v>
      </c>
      <c r="AH221">
        <f t="shared" si="230"/>
        <v>1.5662389551172182</v>
      </c>
      <c r="AI221">
        <f t="shared" si="231"/>
        <v>0.87828479701466999</v>
      </c>
      <c r="AJ221" t="str">
        <f t="shared" si="213"/>
        <v>1+0.025314404374906i</v>
      </c>
      <c r="AK221">
        <f t="shared" si="232"/>
        <v>1.0003203582197338</v>
      </c>
      <c r="AL221">
        <f t="shared" si="233"/>
        <v>2.5308999135342135E-2</v>
      </c>
      <c r="AM221" t="str">
        <f t="shared" si="214"/>
        <v>1-0.00307297657489884i</v>
      </c>
      <c r="AN221">
        <f t="shared" si="234"/>
        <v>1.0000047215813683</v>
      </c>
      <c r="AO221">
        <f t="shared" si="235"/>
        <v>-3.0729669020581824E-3</v>
      </c>
      <c r="AP221" s="41" t="str">
        <f t="shared" si="236"/>
        <v>29.1150250191791-33.549707065937i</v>
      </c>
      <c r="AQ221">
        <f t="shared" si="237"/>
        <v>32.951859687914748</v>
      </c>
      <c r="AR221" s="43">
        <f t="shared" si="238"/>
        <v>-49.047981279360741</v>
      </c>
      <c r="AS221" t="str">
        <f t="shared" si="215"/>
        <v>-0.0000166666666666667</v>
      </c>
      <c r="AT221" t="str">
        <f t="shared" si="216"/>
        <v>0.0000228906848070959i</v>
      </c>
      <c r="AU221">
        <f t="shared" si="239"/>
        <v>2.28906848070959E-5</v>
      </c>
      <c r="AV221">
        <f t="shared" si="240"/>
        <v>1.5707963267948966</v>
      </c>
      <c r="AW221" t="str">
        <f t="shared" si="217"/>
        <v>1+0.0232629554596681i</v>
      </c>
      <c r="AX221">
        <f t="shared" si="241"/>
        <v>1.0002705459508034</v>
      </c>
      <c r="AY221">
        <f t="shared" si="242"/>
        <v>2.3258760455184123E-2</v>
      </c>
      <c r="AZ221" t="str">
        <f t="shared" si="218"/>
        <v>1+0.790940485628714i</v>
      </c>
      <c r="BA221">
        <f t="shared" si="243"/>
        <v>1.274985039836384</v>
      </c>
      <c r="BB221">
        <f t="shared" si="244"/>
        <v>0.66919238417846783</v>
      </c>
      <c r="BC221" s="41" t="str">
        <f t="shared" si="245"/>
        <v>-0.558642318953634+0.741093882822978i</v>
      </c>
      <c r="BD221">
        <f t="shared" si="246"/>
        <v>-0.64844855087744524</v>
      </c>
      <c r="BE221" s="43">
        <f t="shared" si="247"/>
        <v>127.00927048493554</v>
      </c>
      <c r="BF221" s="41" t="str">
        <f t="shared" si="248"/>
        <v>3.25847307664774+9.22866198429776i</v>
      </c>
      <c r="BG221" s="20">
        <f t="shared" si="249"/>
        <v>19.813013521164578</v>
      </c>
      <c r="BH221" s="43">
        <f t="shared" si="250"/>
        <v>70.552798121948939</v>
      </c>
      <c r="BI221" s="41" t="str">
        <f t="shared" si="203"/>
        <v>8.59859758396146+40.3192530954818i</v>
      </c>
      <c r="BJ221" s="20">
        <f t="shared" si="251"/>
        <v>32.303411137037315</v>
      </c>
      <c r="BK221" s="43">
        <f t="shared" si="204"/>
        <v>77.961289205574829</v>
      </c>
      <c r="BL221">
        <f t="shared" si="252"/>
        <v>19.813013521164578</v>
      </c>
      <c r="BM221" s="43">
        <f t="shared" si="253"/>
        <v>70.552798121948939</v>
      </c>
    </row>
    <row r="222" spans="14:65" x14ac:dyDescent="0.25">
      <c r="N222" s="9">
        <v>4</v>
      </c>
      <c r="O222" s="34">
        <f t="shared" si="254"/>
        <v>1096.4781961431863</v>
      </c>
      <c r="P222" s="33" t="str">
        <f t="shared" si="206"/>
        <v>19.1021967526266</v>
      </c>
      <c r="Q222" s="4" t="str">
        <f t="shared" si="207"/>
        <v>1+1.54632596708469i</v>
      </c>
      <c r="R222" s="4">
        <f t="shared" si="219"/>
        <v>1.8415004742004282</v>
      </c>
      <c r="S222" s="4">
        <f t="shared" si="220"/>
        <v>0.99674857009165829</v>
      </c>
      <c r="T222" s="4" t="str">
        <f t="shared" si="208"/>
        <v>1+0.0259040526006026i</v>
      </c>
      <c r="U222" s="4">
        <f t="shared" si="221"/>
        <v>1.000335453705973</v>
      </c>
      <c r="V222" s="4">
        <f t="shared" si="222"/>
        <v>2.5898260886953312E-2</v>
      </c>
      <c r="W222" t="str">
        <f t="shared" si="209"/>
        <v>1-0.0143528660242701i</v>
      </c>
      <c r="X222" s="4">
        <f t="shared" si="223"/>
        <v>1.0001029970773563</v>
      </c>
      <c r="Y222" s="4">
        <f t="shared" si="224"/>
        <v>-1.4351880559818359E-2</v>
      </c>
      <c r="Z222" t="str">
        <f t="shared" si="210"/>
        <v>0.999998797735565+0.0106785323220569i</v>
      </c>
      <c r="AA222" s="4">
        <f t="shared" si="225"/>
        <v>1.0000558117050911</v>
      </c>
      <c r="AB222" s="4">
        <f t="shared" si="226"/>
        <v>1.0678139292036514E-2</v>
      </c>
      <c r="AC222" s="47" t="str">
        <f t="shared" si="227"/>
        <v>5.64271762881364-8.70888913895753i</v>
      </c>
      <c r="AD222" s="20">
        <f t="shared" si="228"/>
        <v>20.321552618865994</v>
      </c>
      <c r="AE222" s="43">
        <f t="shared" si="229"/>
        <v>-57.059739755040511</v>
      </c>
      <c r="AF222" t="str">
        <f t="shared" si="211"/>
        <v>69.5520360182888</v>
      </c>
      <c r="AG222" t="str">
        <f t="shared" si="212"/>
        <v>1+1.23352631431441i</v>
      </c>
      <c r="AH222">
        <f t="shared" si="230"/>
        <v>1.5879506189129724</v>
      </c>
      <c r="AI222">
        <f t="shared" si="231"/>
        <v>0.8895746402850746</v>
      </c>
      <c r="AJ222" t="str">
        <f t="shared" si="213"/>
        <v>1+0.0259040526006026i</v>
      </c>
      <c r="AK222">
        <f t="shared" si="232"/>
        <v>1.000335453705973</v>
      </c>
      <c r="AL222">
        <f t="shared" si="233"/>
        <v>2.5898260886953312E-2</v>
      </c>
      <c r="AM222" t="str">
        <f t="shared" si="214"/>
        <v>1-0.00314455539453689i</v>
      </c>
      <c r="AN222">
        <f t="shared" si="234"/>
        <v>1.0000049441020926</v>
      </c>
      <c r="AO222">
        <f t="shared" si="235"/>
        <v>-3.1445450299041563E-3</v>
      </c>
      <c r="AP222" s="41" t="str">
        <f t="shared" si="236"/>
        <v>28.3592559384943-33.3989190850754i</v>
      </c>
      <c r="AQ222">
        <f t="shared" si="237"/>
        <v>32.832413266406647</v>
      </c>
      <c r="AR222" s="43">
        <f t="shared" si="238"/>
        <v>-49.665180563354262</v>
      </c>
      <c r="AS222" t="str">
        <f t="shared" si="215"/>
        <v>-0.0000166666666666667</v>
      </c>
      <c r="AT222" t="str">
        <f t="shared" si="216"/>
        <v>0.0000234238773516088i</v>
      </c>
      <c r="AU222">
        <f t="shared" si="239"/>
        <v>2.3423877351608799E-5</v>
      </c>
      <c r="AV222">
        <f t="shared" si="240"/>
        <v>1.5707963267948966</v>
      </c>
      <c r="AW222" t="str">
        <f t="shared" si="217"/>
        <v>1+0.0238048193016176i</v>
      </c>
      <c r="AX222">
        <f t="shared" si="241"/>
        <v>1.0002832945830809</v>
      </c>
      <c r="AY222">
        <f t="shared" si="242"/>
        <v>2.3800324342080976E-2</v>
      </c>
      <c r="AZ222" t="str">
        <f t="shared" si="218"/>
        <v>1+0.809363856255i</v>
      </c>
      <c r="BA222">
        <f t="shared" si="243"/>
        <v>1.2864951814180901</v>
      </c>
      <c r="BB222">
        <f t="shared" si="244"/>
        <v>0.6804245878047338</v>
      </c>
      <c r="BC222" s="41" t="str">
        <f t="shared" si="245"/>
        <v>-0.558628079227443+0.72482271321263i</v>
      </c>
      <c r="BD222">
        <f t="shared" si="246"/>
        <v>-0.77049775479051996</v>
      </c>
      <c r="BE222" s="43">
        <f t="shared" si="247"/>
        <v>127.62179902229629</v>
      </c>
      <c r="BF222" s="41" t="str">
        <f t="shared" si="248"/>
        <v>3.16022014416021+8.95499991351002i</v>
      </c>
      <c r="BG222" s="20">
        <f t="shared" si="249"/>
        <v>19.551054864075471</v>
      </c>
      <c r="BH222" s="43">
        <f t="shared" si="250"/>
        <v>70.562059267255748</v>
      </c>
      <c r="BI222" s="41" t="str">
        <f t="shared" si="203"/>
        <v>8.36601847637291+39.2130068507993i</v>
      </c>
      <c r="BJ222" s="20">
        <f t="shared" si="251"/>
        <v>32.061915511616135</v>
      </c>
      <c r="BK222" s="43">
        <f t="shared" si="204"/>
        <v>77.956618458942046</v>
      </c>
      <c r="BL222">
        <f t="shared" si="252"/>
        <v>19.551054864075471</v>
      </c>
      <c r="BM222" s="43">
        <f t="shared" si="253"/>
        <v>70.562059267255748</v>
      </c>
    </row>
    <row r="223" spans="14:65" x14ac:dyDescent="0.25">
      <c r="N223" s="9">
        <v>5</v>
      </c>
      <c r="O223" s="34">
        <f t="shared" si="254"/>
        <v>1122.0184543019636</v>
      </c>
      <c r="P223" s="33" t="str">
        <f t="shared" si="206"/>
        <v>19.1021967526266</v>
      </c>
      <c r="Q223" s="4" t="str">
        <f t="shared" si="207"/>
        <v>1+1.58234452589952i</v>
      </c>
      <c r="R223" s="4">
        <f t="shared" si="219"/>
        <v>1.8718478032800039</v>
      </c>
      <c r="S223" s="4">
        <f t="shared" si="220"/>
        <v>1.0071979824083865</v>
      </c>
      <c r="T223" s="4" t="str">
        <f t="shared" si="208"/>
        <v>1+0.0265074354978687i</v>
      </c>
      <c r="U223" s="4">
        <f t="shared" si="221"/>
        <v>1.0003512603764109</v>
      </c>
      <c r="V223" s="4">
        <f t="shared" si="222"/>
        <v>2.6501229682569578E-2</v>
      </c>
      <c r="W223" t="str">
        <f t="shared" si="209"/>
        <v>1-0.0146871872217801i</v>
      </c>
      <c r="X223" s="4">
        <f t="shared" si="223"/>
        <v>1.0001078509183337</v>
      </c>
      <c r="Y223" s="4">
        <f t="shared" si="224"/>
        <v>-1.4686131283745452E-2</v>
      </c>
      <c r="Z223" t="str">
        <f t="shared" si="210"/>
        <v>0.999998741074588+0.0109272672930044i</v>
      </c>
      <c r="AA223" s="4">
        <f t="shared" si="225"/>
        <v>1.0000584419528957</v>
      </c>
      <c r="AB223" s="4">
        <f t="shared" si="226"/>
        <v>1.0926846155079049E-2</v>
      </c>
      <c r="AC223" s="47" t="str">
        <f t="shared" si="227"/>
        <v>5.46167729344556-8.62528080198919i</v>
      </c>
      <c r="AD223" s="20">
        <f t="shared" si="228"/>
        <v>20.179735195954063</v>
      </c>
      <c r="AE223" s="43">
        <f t="shared" si="229"/>
        <v>-57.657300421382672</v>
      </c>
      <c r="AF223" t="str">
        <f t="shared" si="211"/>
        <v>69.5520360182888</v>
      </c>
      <c r="AG223" t="str">
        <f t="shared" si="212"/>
        <v>1+1.26225883323185i</v>
      </c>
      <c r="AH223">
        <f t="shared" si="230"/>
        <v>1.6103718086429082</v>
      </c>
      <c r="AI223">
        <f t="shared" si="231"/>
        <v>0.9008108461556571</v>
      </c>
      <c r="AJ223" t="str">
        <f t="shared" si="213"/>
        <v>1+0.0265074354978687i</v>
      </c>
      <c r="AK223">
        <f t="shared" si="232"/>
        <v>1.0003512603764109</v>
      </c>
      <c r="AL223">
        <f t="shared" si="233"/>
        <v>2.6501229682569578E-2</v>
      </c>
      <c r="AM223" t="str">
        <f t="shared" si="214"/>
        <v>1-0.00321780149906824i</v>
      </c>
      <c r="AN223">
        <f t="shared" si="234"/>
        <v>1.0000051771098424</v>
      </c>
      <c r="AO223">
        <f t="shared" si="235"/>
        <v>-3.2177903931672794E-3</v>
      </c>
      <c r="AP223" s="41" t="str">
        <f t="shared" si="236"/>
        <v>27.6106507288741-33.2319463110634i</v>
      </c>
      <c r="AQ223">
        <f t="shared" si="237"/>
        <v>32.710769213104626</v>
      </c>
      <c r="AR223" s="43">
        <f t="shared" si="238"/>
        <v>-50.278616820495806</v>
      </c>
      <c r="AS223" t="str">
        <f t="shared" si="215"/>
        <v>-0.0000166666666666667</v>
      </c>
      <c r="AT223" t="str">
        <f t="shared" si="216"/>
        <v>0.0000239694895459451i</v>
      </c>
      <c r="AU223">
        <f t="shared" si="239"/>
        <v>2.3969489545945099E-5</v>
      </c>
      <c r="AV223">
        <f t="shared" si="240"/>
        <v>1.5707963267948966</v>
      </c>
      <c r="AW223" t="str">
        <f t="shared" si="217"/>
        <v>1+0.024359304773855i</v>
      </c>
      <c r="AX223">
        <f t="shared" si="241"/>
        <v>1.0002966438657412</v>
      </c>
      <c r="AY223">
        <f t="shared" si="242"/>
        <v>2.4354488415075086E-2</v>
      </c>
      <c r="AZ223" t="str">
        <f t="shared" si="218"/>
        <v>1+0.828216362311069i</v>
      </c>
      <c r="BA223">
        <f t="shared" si="243"/>
        <v>1.2984384247240144</v>
      </c>
      <c r="BB223">
        <f t="shared" si="244"/>
        <v>0.69171081493521058</v>
      </c>
      <c r="BC223" s="41" t="str">
        <f t="shared" si="245"/>
        <v>-0.558613169181674+0.708935822258762i</v>
      </c>
      <c r="BD223">
        <f t="shared" si="246"/>
        <v>-0.89034976752893669</v>
      </c>
      <c r="BE223" s="43">
        <f t="shared" si="247"/>
        <v>128.2367009409582</v>
      </c>
      <c r="BF223" s="41" t="str">
        <f t="shared" si="248"/>
        <v>3.06380567563171+8.69017412682187i</v>
      </c>
      <c r="BG223" s="20">
        <f t="shared" si="249"/>
        <v>19.289385428425124</v>
      </c>
      <c r="BH223" s="43">
        <f t="shared" si="250"/>
        <v>70.579400519575543</v>
      </c>
      <c r="BI223" s="41" t="str">
        <f t="shared" si="203"/>
        <v>8.13564407646811+38.1379822244722i</v>
      </c>
      <c r="BJ223" s="20">
        <f t="shared" si="251"/>
        <v>31.820419445575688</v>
      </c>
      <c r="BK223" s="43">
        <f t="shared" si="204"/>
        <v>77.958084120462416</v>
      </c>
      <c r="BL223">
        <f t="shared" si="252"/>
        <v>19.289385428425124</v>
      </c>
      <c r="BM223" s="43">
        <f t="shared" si="253"/>
        <v>70.579400519575543</v>
      </c>
    </row>
    <row r="224" spans="14:65" x14ac:dyDescent="0.25">
      <c r="N224" s="9">
        <v>6</v>
      </c>
      <c r="O224" s="34">
        <f t="shared" si="254"/>
        <v>1148.1536214968839</v>
      </c>
      <c r="P224" s="33" t="str">
        <f t="shared" si="206"/>
        <v>19.1021967526266</v>
      </c>
      <c r="Q224" s="4" t="str">
        <f t="shared" si="207"/>
        <v>1+1.61920206472679i</v>
      </c>
      <c r="R224" s="4">
        <f t="shared" si="219"/>
        <v>1.9031067564420814</v>
      </c>
      <c r="S224" s="4">
        <f t="shared" si="220"/>
        <v>1.0175446475851315</v>
      </c>
      <c r="T224" s="4" t="str">
        <f t="shared" si="208"/>
        <v>1+0.0271248729883031i</v>
      </c>
      <c r="U224" s="4">
        <f t="shared" si="221"/>
        <v>1.0003678117245833</v>
      </c>
      <c r="V224" s="4">
        <f t="shared" si="222"/>
        <v>2.711822346944567E-2</v>
      </c>
      <c r="W224" t="str">
        <f t="shared" si="209"/>
        <v>1-0.015029295760363i</v>
      </c>
      <c r="X224" s="4">
        <f t="shared" si="223"/>
        <v>1.0001129334885397</v>
      </c>
      <c r="Y224" s="4">
        <f t="shared" si="224"/>
        <v>-1.5028164309274077E-2</v>
      </c>
      <c r="Z224" t="str">
        <f t="shared" si="210"/>
        <v>0.999998681743261+0.0111817960457101i</v>
      </c>
      <c r="AA224" s="4">
        <f t="shared" si="225"/>
        <v>1.0000611961530492</v>
      </c>
      <c r="AB224" s="4">
        <f t="shared" si="226"/>
        <v>1.1181344789784111E-2</v>
      </c>
      <c r="AC224" s="47" t="str">
        <f t="shared" si="227"/>
        <v>5.28417944070315-8.5387885394755i</v>
      </c>
      <c r="AD224" s="20">
        <f t="shared" si="228"/>
        <v>20.036046788019156</v>
      </c>
      <c r="AE224" s="43">
        <f t="shared" si="229"/>
        <v>-58.248948274548717</v>
      </c>
      <c r="AF224" t="str">
        <f t="shared" si="211"/>
        <v>69.5520360182888</v>
      </c>
      <c r="AG224" t="str">
        <f t="shared" si="212"/>
        <v>1+1.29166061849063i</v>
      </c>
      <c r="AH224">
        <f t="shared" si="230"/>
        <v>1.6335198662274044</v>
      </c>
      <c r="AI224">
        <f t="shared" si="231"/>
        <v>0.91198802408041557</v>
      </c>
      <c r="AJ224" t="str">
        <f t="shared" si="213"/>
        <v>1+0.0271248729883031i</v>
      </c>
      <c r="AK224">
        <f t="shared" si="232"/>
        <v>1.0003678117245833</v>
      </c>
      <c r="AL224">
        <f t="shared" si="233"/>
        <v>2.711822346944567E-2</v>
      </c>
      <c r="AM224" t="str">
        <f t="shared" si="214"/>
        <v>1-0.00329275372454704i</v>
      </c>
      <c r="AN224">
        <f t="shared" si="234"/>
        <v>1.0000054210988512</v>
      </c>
      <c r="AO224">
        <f t="shared" si="235"/>
        <v>-3.2927418243632427E-3</v>
      </c>
      <c r="AP224" s="41" t="str">
        <f t="shared" si="236"/>
        <v>26.8698899328087-33.049206231962i</v>
      </c>
      <c r="AQ224">
        <f t="shared" si="237"/>
        <v>32.586949815361116</v>
      </c>
      <c r="AR224" s="43">
        <f t="shared" si="238"/>
        <v>-50.887965203153534</v>
      </c>
      <c r="AS224" t="str">
        <f t="shared" si="215"/>
        <v>-0.0000166666666666667</v>
      </c>
      <c r="AT224" t="str">
        <f t="shared" si="216"/>
        <v>0.0000245278106809125i</v>
      </c>
      <c r="AU224">
        <f t="shared" si="239"/>
        <v>2.45278106809125E-5</v>
      </c>
      <c r="AV224">
        <f t="shared" si="240"/>
        <v>1.5707963267948966</v>
      </c>
      <c r="AW224" t="str">
        <f t="shared" si="217"/>
        <v>1+0.0249267058719169i</v>
      </c>
      <c r="AX224">
        <f t="shared" si="241"/>
        <v>1.0003106220897713</v>
      </c>
      <c r="AY224">
        <f t="shared" si="242"/>
        <v>2.492154513705222E-2</v>
      </c>
      <c r="AZ224" t="str">
        <f t="shared" si="218"/>
        <v>1+0.847507999645175i</v>
      </c>
      <c r="BA224">
        <f t="shared" si="243"/>
        <v>1.3108279099342393</v>
      </c>
      <c r="BB224">
        <f t="shared" si="244"/>
        <v>0.70304554937629637</v>
      </c>
      <c r="BC224" s="41" t="str">
        <f t="shared" si="245"/>
        <v>-0.558597557300131+0.69342478423989i</v>
      </c>
      <c r="BD224">
        <f t="shared" si="246"/>
        <v>-1.0079847312018886</v>
      </c>
      <c r="BE224" s="43">
        <f t="shared" si="247"/>
        <v>128.8536434294202</v>
      </c>
      <c r="BF224" s="41" t="str">
        <f t="shared" si="248"/>
        <v>2.96927787274349+8.43392740900781i</v>
      </c>
      <c r="BG224" s="20">
        <f t="shared" si="249"/>
        <v>19.028062056817266</v>
      </c>
      <c r="BH224" s="43">
        <f t="shared" si="250"/>
        <v>70.604695154871493</v>
      </c>
      <c r="BI224" s="41" t="str">
        <f t="shared" si="203"/>
        <v>7.90768381930756+37.0934535010897i</v>
      </c>
      <c r="BJ224" s="20">
        <f t="shared" si="251"/>
        <v>31.578965084159229</v>
      </c>
      <c r="BK224" s="43">
        <f t="shared" si="204"/>
        <v>77.965678226266661</v>
      </c>
      <c r="BL224">
        <f t="shared" si="252"/>
        <v>19.028062056817266</v>
      </c>
      <c r="BM224" s="43">
        <f t="shared" si="253"/>
        <v>70.604695154871493</v>
      </c>
    </row>
    <row r="225" spans="14:65" x14ac:dyDescent="0.25">
      <c r="N225" s="9">
        <v>7</v>
      </c>
      <c r="O225" s="34">
        <f t="shared" si="254"/>
        <v>1174.8975549395295</v>
      </c>
      <c r="P225" s="33" t="str">
        <f t="shared" si="206"/>
        <v>19.1021967526266</v>
      </c>
      <c r="Q225" s="4" t="str">
        <f t="shared" si="207"/>
        <v>1+1.65691812592145i</v>
      </c>
      <c r="R225" s="4">
        <f t="shared" si="219"/>
        <v>1.9352978261774207</v>
      </c>
      <c r="S225" s="4">
        <f t="shared" si="220"/>
        <v>1.0277851900424326</v>
      </c>
      <c r="T225" s="4" t="str">
        <f t="shared" si="208"/>
        <v>1+0.0277566924454361i</v>
      </c>
      <c r="U225" s="4">
        <f t="shared" si="221"/>
        <v>1.0003851428202593</v>
      </c>
      <c r="V225" s="4">
        <f t="shared" si="222"/>
        <v>2.7749567505754327E-2</v>
      </c>
      <c r="W225" t="str">
        <f t="shared" si="209"/>
        <v>1-0.0153793730304943i</v>
      </c>
      <c r="X225" s="4">
        <f t="shared" si="223"/>
        <v>1.0001182555652162</v>
      </c>
      <c r="Y225" s="4">
        <f t="shared" si="224"/>
        <v>-1.5378160666551776E-2</v>
      </c>
      <c r="Z225" t="str">
        <f t="shared" si="210"/>
        <v>0.999998619615735+0.0114422535346878i</v>
      </c>
      <c r="AA225" s="4">
        <f t="shared" si="225"/>
        <v>1.0000640801465313</v>
      </c>
      <c r="AB225" s="4">
        <f t="shared" si="226"/>
        <v>1.1441770006924626E-2</v>
      </c>
      <c r="AC225" s="47" t="str">
        <f t="shared" si="227"/>
        <v>5.11030370657259-8.44958893549542i</v>
      </c>
      <c r="AD225" s="20">
        <f t="shared" si="228"/>
        <v>19.890525286643527</v>
      </c>
      <c r="AE225" s="43">
        <f t="shared" si="229"/>
        <v>-58.834489368513204</v>
      </c>
      <c r="AF225" t="str">
        <f t="shared" si="211"/>
        <v>69.5520360182888</v>
      </c>
      <c r="AG225" t="str">
        <f t="shared" si="212"/>
        <v>1+1.32174725930648i</v>
      </c>
      <c r="AH225">
        <f t="shared" si="230"/>
        <v>1.6574123860657586</v>
      </c>
      <c r="AI225">
        <f t="shared" si="231"/>
        <v>0.92310093005198723</v>
      </c>
      <c r="AJ225" t="str">
        <f t="shared" si="213"/>
        <v>1+0.0277566924454361i</v>
      </c>
      <c r="AK225">
        <f t="shared" si="232"/>
        <v>1.0003851428202593</v>
      </c>
      <c r="AL225">
        <f t="shared" si="233"/>
        <v>2.7749567505754327E-2</v>
      </c>
      <c r="AM225" t="str">
        <f t="shared" si="214"/>
        <v>1-0.00336945181163534i</v>
      </c>
      <c r="AN225">
        <f t="shared" si="234"/>
        <v>1.0000056765866436</v>
      </c>
      <c r="AO225">
        <f t="shared" si="235"/>
        <v>-3.3694390603625749E-3</v>
      </c>
      <c r="AP225" s="41" t="str">
        <f t="shared" si="236"/>
        <v>26.1376234639003-32.8511499392462i</v>
      </c>
      <c r="AQ225">
        <f t="shared" si="237"/>
        <v>32.460979323853529</v>
      </c>
      <c r="AR225" s="43">
        <f t="shared" si="238"/>
        <v>-51.492908892672112</v>
      </c>
      <c r="AS225" t="str">
        <f t="shared" si="215"/>
        <v>-0.0000166666666666667</v>
      </c>
      <c r="AT225" t="str">
        <f t="shared" si="216"/>
        <v>0.0000250991367857667i</v>
      </c>
      <c r="AU225">
        <f t="shared" si="239"/>
        <v>2.5099136785766699E-5</v>
      </c>
      <c r="AV225">
        <f t="shared" si="240"/>
        <v>1.5707963267948966</v>
      </c>
      <c r="AW225" t="str">
        <f t="shared" si="217"/>
        <v>1+0.0255073234393761i</v>
      </c>
      <c r="AX225">
        <f t="shared" si="241"/>
        <v>1.0003252588778517</v>
      </c>
      <c r="AY225">
        <f t="shared" si="242"/>
        <v>2.5501793709444928E-2</v>
      </c>
      <c r="AZ225" t="str">
        <f t="shared" si="218"/>
        <v>1+0.867248996938786i</v>
      </c>
      <c r="BA225">
        <f t="shared" si="243"/>
        <v>1.3236770084470495</v>
      </c>
      <c r="BB225">
        <f t="shared" si="244"/>
        <v>0.71442315179712423</v>
      </c>
      <c r="BC225" s="41" t="str">
        <f t="shared" si="245"/>
        <v>-0.558581210588541+0.67828137255391i</v>
      </c>
      <c r="BD225">
        <f t="shared" si="246"/>
        <v>-1.123384909746034</v>
      </c>
      <c r="BE225" s="43">
        <f t="shared" si="247"/>
        <v>129.47228623484489</v>
      </c>
      <c r="BF225" s="41" t="str">
        <f t="shared" si="248"/>
        <v>2.87667914979174+8.18600542882596i</v>
      </c>
      <c r="BG225" s="20">
        <f t="shared" si="249"/>
        <v>18.767140376897487</v>
      </c>
      <c r="BH225" s="43">
        <f t="shared" si="250"/>
        <v>70.637796866331698</v>
      </c>
      <c r="BI225" s="41" t="str">
        <f t="shared" si="203"/>
        <v>7.68233771439332+36.0786982206814i</v>
      </c>
      <c r="BJ225" s="20">
        <f t="shared" si="251"/>
        <v>31.337594414107496</v>
      </c>
      <c r="BK225" s="43">
        <f t="shared" si="204"/>
        <v>77.97937734217281</v>
      </c>
      <c r="BL225">
        <f t="shared" si="252"/>
        <v>18.767140376897487</v>
      </c>
      <c r="BM225" s="43">
        <f t="shared" si="253"/>
        <v>70.637796866331698</v>
      </c>
    </row>
    <row r="226" spans="14:65" x14ac:dyDescent="0.25">
      <c r="N226" s="9">
        <v>8</v>
      </c>
      <c r="O226" s="34">
        <f t="shared" si="254"/>
        <v>1202.2644346174138</v>
      </c>
      <c r="P226" s="33" t="str">
        <f t="shared" si="206"/>
        <v>19.1021967526266</v>
      </c>
      <c r="Q226" s="4" t="str">
        <f t="shared" si="207"/>
        <v>1+1.69551270703838i</v>
      </c>
      <c r="R226" s="4">
        <f t="shared" si="219"/>
        <v>1.9684418558160703</v>
      </c>
      <c r="S226" s="4">
        <f t="shared" si="220"/>
        <v>1.0379164477222103</v>
      </c>
      <c r="T226" s="4" t="str">
        <f t="shared" si="208"/>
        <v>1+0.028403228868307i</v>
      </c>
      <c r="U226" s="4">
        <f t="shared" si="221"/>
        <v>1.0004032903835061</v>
      </c>
      <c r="V226" s="4">
        <f t="shared" si="222"/>
        <v>2.8395594524101769E-2</v>
      </c>
      <c r="W226" t="str">
        <f t="shared" si="209"/>
        <v>1-0.0157376046477765i</v>
      </c>
      <c r="X226" s="4">
        <f t="shared" si="223"/>
        <v>1.0001238284332845</v>
      </c>
      <c r="Y226" s="4">
        <f t="shared" si="224"/>
        <v>-1.5736305585093858E-2</v>
      </c>
      <c r="Z226" t="str">
        <f t="shared" si="210"/>
        <v>0.999998554560229+0.0117087778579457i</v>
      </c>
      <c r="AA226" s="4">
        <f t="shared" si="225"/>
        <v>1.0000671000495287</v>
      </c>
      <c r="AB226" s="4">
        <f t="shared" si="226"/>
        <v>1.1708259750490101E-2</v>
      </c>
      <c r="AC226" s="47" t="str">
        <f t="shared" si="227"/>
        <v>4.94011899059087-8.35785942150079i</v>
      </c>
      <c r="AD226" s="20">
        <f t="shared" si="228"/>
        <v>19.743209377783582</v>
      </c>
      <c r="AE226" s="43">
        <f t="shared" si="229"/>
        <v>-59.413741982997578</v>
      </c>
      <c r="AF226" t="str">
        <f t="shared" si="211"/>
        <v>69.5520360182888</v>
      </c>
      <c r="AG226" t="str">
        <f t="shared" si="212"/>
        <v>1+1.35253470801462i</v>
      </c>
      <c r="AH226">
        <f t="shared" si="230"/>
        <v>1.6820672211253012</v>
      </c>
      <c r="AI226">
        <f t="shared" si="231"/>
        <v>0.93414447749775131</v>
      </c>
      <c r="AJ226" t="str">
        <f t="shared" si="213"/>
        <v>1+0.028403228868307i</v>
      </c>
      <c r="AK226">
        <f t="shared" si="232"/>
        <v>1.0004032903835061</v>
      </c>
      <c r="AL226">
        <f t="shared" si="233"/>
        <v>2.8395594524101769E-2</v>
      </c>
      <c r="AM226" t="str">
        <f t="shared" si="214"/>
        <v>1-0.00344793642667414i</v>
      </c>
      <c r="AN226">
        <f t="shared" si="234"/>
        <v>1.000005944115135</v>
      </c>
      <c r="AO226">
        <f t="shared" si="235"/>
        <v>-3.4479227634435922E-3</v>
      </c>
      <c r="AP226" s="41" t="str">
        <f t="shared" si="236"/>
        <v>25.4144686299121-32.6382595089575i</v>
      </c>
      <c r="AQ226">
        <f t="shared" si="237"/>
        <v>32.332883860541045</v>
      </c>
      <c r="AR226" s="43">
        <f t="shared" si="238"/>
        <v>-52.093139715511228</v>
      </c>
      <c r="AS226" t="str">
        <f t="shared" si="215"/>
        <v>-0.0000166666666666667</v>
      </c>
      <c r="AT226" t="str">
        <f t="shared" si="216"/>
        <v>0.0000256837707851712i</v>
      </c>
      <c r="AU226">
        <f t="shared" si="239"/>
        <v>2.5683770785171201E-5</v>
      </c>
      <c r="AV226">
        <f t="shared" si="240"/>
        <v>1.5707963267948966</v>
      </c>
      <c r="AW226" t="str">
        <f t="shared" si="217"/>
        <v>1+0.0261014653273522i</v>
      </c>
      <c r="AX226">
        <f t="shared" si="241"/>
        <v>1.0003405852469622</v>
      </c>
      <c r="AY226">
        <f t="shared" si="242"/>
        <v>2.6095540223927755E-2</v>
      </c>
      <c r="AZ226" t="str">
        <f t="shared" si="218"/>
        <v>1+0.887449821129975i</v>
      </c>
      <c r="BA226">
        <f t="shared" si="243"/>
        <v>1.3369993212502482</v>
      </c>
      <c r="BB226">
        <f t="shared" si="244"/>
        <v>0.72583787298144553</v>
      </c>
      <c r="BC226" s="41" t="str">
        <f t="shared" si="245"/>
        <v>-0.558564094505568+0.663497555344596i</v>
      </c>
      <c r="BD226">
        <f t="shared" si="246"/>
        <v>-1.2365347621821219</v>
      </c>
      <c r="BE226" s="43">
        <f t="shared" si="247"/>
        <v>130.09228241364463</v>
      </c>
      <c r="BF226" s="41" t="str">
        <f t="shared" si="248"/>
        <v>2.78604620335042+7.94615705314387i</v>
      </c>
      <c r="BG226" s="20">
        <f t="shared" si="249"/>
        <v>18.506674615601458</v>
      </c>
      <c r="BH226" s="43">
        <f t="shared" si="250"/>
        <v>70.678540430647047</v>
      </c>
      <c r="BI226" s="41" t="str">
        <f t="shared" si="203"/>
        <v>7.4597957372888+35.0929976751872i</v>
      </c>
      <c r="BJ226" s="20">
        <f t="shared" si="251"/>
        <v>31.096349098358921</v>
      </c>
      <c r="BK226" s="43">
        <f t="shared" si="204"/>
        <v>77.999142698133397</v>
      </c>
      <c r="BL226">
        <f t="shared" si="252"/>
        <v>18.506674615601458</v>
      </c>
      <c r="BM226" s="43">
        <f t="shared" si="253"/>
        <v>70.678540430647047</v>
      </c>
    </row>
    <row r="227" spans="14:65" x14ac:dyDescent="0.25">
      <c r="N227" s="9">
        <v>9</v>
      </c>
      <c r="O227" s="34">
        <f t="shared" si="254"/>
        <v>1230.2687708123824</v>
      </c>
      <c r="P227" s="33" t="str">
        <f t="shared" si="206"/>
        <v>19.1021967526266</v>
      </c>
      <c r="Q227" s="4" t="str">
        <f t="shared" si="207"/>
        <v>1+1.73500627143535i</v>
      </c>
      <c r="R227" s="4">
        <f t="shared" si="219"/>
        <v>2.002560052013421</v>
      </c>
      <c r="S227" s="4">
        <f t="shared" si="220"/>
        <v>1.0479354726715926</v>
      </c>
      <c r="T227" s="4" t="str">
        <f t="shared" si="208"/>
        <v>1+0.0290648250590849i</v>
      </c>
      <c r="U227" s="4">
        <f t="shared" si="221"/>
        <v>1.0004222928622268</v>
      </c>
      <c r="V227" s="4">
        <f t="shared" si="222"/>
        <v>2.9056644898369705E-2</v>
      </c>
      <c r="W227" t="str">
        <f t="shared" si="209"/>
        <v>1-0.0161041805513547i</v>
      </c>
      <c r="X227" s="4">
        <f t="shared" si="223"/>
        <v>1.0001296639092507</v>
      </c>
      <c r="Y227" s="4">
        <f t="shared" si="224"/>
        <v>-1.6102788590358061E-2</v>
      </c>
      <c r="Z227" t="str">
        <f t="shared" si="210"/>
        <v>0.999998486438752+0.0119815103302079i</v>
      </c>
      <c r="AA227" s="4">
        <f t="shared" si="225"/>
        <v>1.0000702622664008</v>
      </c>
      <c r="AB227" s="4">
        <f t="shared" si="226"/>
        <v>1.1980955170173337E-2</v>
      </c>
      <c r="AC227" s="47" t="str">
        <f t="shared" si="227"/>
        <v>4.77368364179079-8.26377755786904i</v>
      </c>
      <c r="AD227" s="20">
        <f t="shared" si="228"/>
        <v>19.59413843097277</v>
      </c>
      <c r="AE227" s="43">
        <f t="shared" si="229"/>
        <v>-59.986536657047637</v>
      </c>
      <c r="AF227" t="str">
        <f t="shared" si="211"/>
        <v>69.5520360182888</v>
      </c>
      <c r="AG227" t="str">
        <f t="shared" si="212"/>
        <v>1+1.38403928852786i</v>
      </c>
      <c r="AH227">
        <f t="shared" si="230"/>
        <v>1.7075024896581279</v>
      </c>
      <c r="AI227">
        <f t="shared" si="231"/>
        <v>0.94511374727148567</v>
      </c>
      <c r="AJ227" t="str">
        <f t="shared" si="213"/>
        <v>1+0.0290648250590849i</v>
      </c>
      <c r="AK227">
        <f t="shared" si="232"/>
        <v>1.0004222928622268</v>
      </c>
      <c r="AL227">
        <f t="shared" si="233"/>
        <v>2.9056644898369705E-2</v>
      </c>
      <c r="AM227" t="str">
        <f t="shared" si="214"/>
        <v>1-0.00352824918324519i</v>
      </c>
      <c r="AN227">
        <f t="shared" si="234"/>
        <v>1.0000062242517789</v>
      </c>
      <c r="AO227">
        <f t="shared" si="235"/>
        <v>-3.5282345428348078E-3</v>
      </c>
      <c r="AP227" s="41" t="str">
        <f t="shared" si="236"/>
        <v>24.7010084112867-32.4110452623777i</v>
      </c>
      <c r="AQ227">
        <f t="shared" si="237"/>
        <v>32.20269132123169</v>
      </c>
      <c r="AR227" s="43">
        <f t="shared" si="238"/>
        <v>-52.688358707399779</v>
      </c>
      <c r="AS227" t="str">
        <f t="shared" si="215"/>
        <v>-0.0000166666666666667</v>
      </c>
      <c r="AT227" t="str">
        <f t="shared" si="216"/>
        <v>0.0000262820226598109i</v>
      </c>
      <c r="AU227">
        <f t="shared" si="239"/>
        <v>2.62820226598109E-5</v>
      </c>
      <c r="AV227">
        <f t="shared" si="240"/>
        <v>1.5707963267948966</v>
      </c>
      <c r="AW227" t="str">
        <f t="shared" si="217"/>
        <v>1+0.0267094465577386i</v>
      </c>
      <c r="AX227">
        <f t="shared" si="241"/>
        <v>1.0003566336739216</v>
      </c>
      <c r="AY227">
        <f t="shared" si="242"/>
        <v>2.6703097817271707E-2</v>
      </c>
      <c r="AZ227" t="str">
        <f t="shared" si="218"/>
        <v>1+0.908121182963111i</v>
      </c>
      <c r="BA227">
        <f t="shared" si="243"/>
        <v>1.3508086774026586</v>
      </c>
      <c r="BB227">
        <f t="shared" si="244"/>
        <v>0.73728386775553223</v>
      </c>
      <c r="BC227" s="41" t="str">
        <f t="shared" si="245"/>
        <v>-0.558546172890679+0.649065491230603i</v>
      </c>
      <c r="BD227">
        <f t="shared" si="246"/>
        <v>-1.3474210078105453</v>
      </c>
      <c r="BE227" s="43">
        <f t="shared" si="247"/>
        <v>130.71327912061884</v>
      </c>
      <c r="BF227" s="41" t="str">
        <f t="shared" si="248"/>
        <v>2.69741011130562+7.71413464650607i</v>
      </c>
      <c r="BG227" s="20">
        <f t="shared" si="249"/>
        <v>18.246717423162231</v>
      </c>
      <c r="BH227" s="43">
        <f t="shared" si="250"/>
        <v>70.726742463571156</v>
      </c>
      <c r="BI227" s="41" t="str">
        <f t="shared" si="203"/>
        <v>7.24023729985783+34.1356374490507i</v>
      </c>
      <c r="BJ227" s="20">
        <f t="shared" si="251"/>
        <v>30.855270313421144</v>
      </c>
      <c r="BK227" s="43">
        <f t="shared" si="204"/>
        <v>78.02492041321905</v>
      </c>
      <c r="BL227">
        <f t="shared" si="252"/>
        <v>18.246717423162231</v>
      </c>
      <c r="BM227" s="43">
        <f t="shared" si="253"/>
        <v>70.726742463571156</v>
      </c>
    </row>
    <row r="228" spans="14:65" x14ac:dyDescent="0.25">
      <c r="N228" s="9">
        <v>10</v>
      </c>
      <c r="O228" s="34">
        <f t="shared" si="254"/>
        <v>1258.925411794168</v>
      </c>
      <c r="P228" s="33" t="str">
        <f t="shared" si="206"/>
        <v>19.1021967526266</v>
      </c>
      <c r="Q228" s="4" t="str">
        <f t="shared" si="207"/>
        <v>1+1.77541975912295i</v>
      </c>
      <c r="R228" s="4">
        <f t="shared" si="219"/>
        <v>2.0376739977445348</v>
      </c>
      <c r="S228" s="4">
        <f t="shared" si="220"/>
        <v>1.0578395307807598</v>
      </c>
      <c r="T228" s="4" t="str">
        <f t="shared" si="208"/>
        <v>1+0.0297418318048277i</v>
      </c>
      <c r="U228" s="4">
        <f t="shared" si="221"/>
        <v>1.0004421905133283</v>
      </c>
      <c r="V228" s="4">
        <f t="shared" si="222"/>
        <v>2.9733066813927771E-2</v>
      </c>
      <c r="W228" t="str">
        <f t="shared" si="209"/>
        <v>1-0.0164792951046253i</v>
      </c>
      <c r="X228" s="4">
        <f t="shared" si="223"/>
        <v>1.0001357743662334</v>
      </c>
      <c r="Y228" s="4">
        <f t="shared" si="224"/>
        <v>-1.647780360248086E-2</v>
      </c>
      <c r="Z228" t="str">
        <f t="shared" si="210"/>
        <v>0.999998415106808+0.0122605955578412i</v>
      </c>
      <c r="AA228" s="4">
        <f t="shared" si="225"/>
        <v>1.0000735735032502</v>
      </c>
      <c r="AB228" s="4">
        <f t="shared" si="226"/>
        <v>1.226000069550996E-2</v>
      </c>
      <c r="AC228" s="47" t="str">
        <f t="shared" si="227"/>
        <v>4.61104569517152-8.16752035039304i</v>
      </c>
      <c r="AD228" s="20">
        <f t="shared" si="228"/>
        <v>19.443352390776891</v>
      </c>
      <c r="AE228" s="43">
        <f t="shared" si="229"/>
        <v>-60.552716174166122</v>
      </c>
      <c r="AF228" t="str">
        <f t="shared" si="211"/>
        <v>69.5520360182888</v>
      </c>
      <c r="AG228" t="str">
        <f t="shared" si="212"/>
        <v>1+1.4162777049918i</v>
      </c>
      <c r="AH228">
        <f t="shared" si="230"/>
        <v>1.7337365825455839</v>
      </c>
      <c r="AI228">
        <f t="shared" si="231"/>
        <v>0.95600399670462333</v>
      </c>
      <c r="AJ228" t="str">
        <f t="shared" si="213"/>
        <v>1+0.0297418318048277i</v>
      </c>
      <c r="AK228">
        <f t="shared" si="232"/>
        <v>1.0004421905133283</v>
      </c>
      <c r="AL228">
        <f t="shared" si="233"/>
        <v>2.9733066813927771E-2</v>
      </c>
      <c r="AM228" t="str">
        <f t="shared" si="214"/>
        <v>1-0.00361043266423509i</v>
      </c>
      <c r="AN228">
        <f t="shared" si="234"/>
        <v>1.000006517590772</v>
      </c>
      <c r="AO228">
        <f t="shared" si="235"/>
        <v>-3.6104169767582506E-3</v>
      </c>
      <c r="AP228" s="41" t="str">
        <f t="shared" si="236"/>
        <v>23.9977900013973-32.1700429338194i</v>
      </c>
      <c r="AQ228">
        <f t="shared" si="237"/>
        <v>32.07043127351983</v>
      </c>
      <c r="AR228" s="43">
        <f t="shared" si="238"/>
        <v>-53.278276623445699</v>
      </c>
      <c r="AS228" t="str">
        <f t="shared" si="215"/>
        <v>-0.0000166666666666667</v>
      </c>
      <c r="AT228" t="str">
        <f t="shared" si="216"/>
        <v>0.0000268942096107484i</v>
      </c>
      <c r="AU228">
        <f t="shared" si="239"/>
        <v>2.6894209610748399E-5</v>
      </c>
      <c r="AV228">
        <f t="shared" si="240"/>
        <v>1.5707963267948966</v>
      </c>
      <c r="AW228" t="str">
        <f t="shared" si="217"/>
        <v>1+0.0273315894902312i</v>
      </c>
      <c r="AX228">
        <f t="shared" si="241"/>
        <v>1.0003734381640002</v>
      </c>
      <c r="AY228">
        <f t="shared" si="242"/>
        <v>2.7324786829403761E-2</v>
      </c>
      <c r="AZ228" t="str">
        <f t="shared" si="218"/>
        <v>1+0.929274042667861i</v>
      </c>
      <c r="BA228">
        <f t="shared" si="243"/>
        <v>1.3651191326680134</v>
      </c>
      <c r="BB228">
        <f t="shared" si="244"/>
        <v>0.74875520951390895</v>
      </c>
      <c r="BC228" s="41" t="str">
        <f t="shared" si="245"/>
        <v>-0.558527407888678+0.63497752513454i</v>
      </c>
      <c r="BD228">
        <f t="shared" si="246"/>
        <v>-1.4560326827946271</v>
      </c>
      <c r="BE228" s="43">
        <f t="shared" si="247"/>
        <v>131.33491843216115</v>
      </c>
      <c r="BF228" s="41" t="str">
        <f t="shared" si="248"/>
        <v>2.61079645879817+7.48969435398534i</v>
      </c>
      <c r="BG228" s="20">
        <f t="shared" si="249"/>
        <v>17.987319707982266</v>
      </c>
      <c r="BH228" s="43">
        <f t="shared" si="250"/>
        <v>70.782202257995024</v>
      </c>
      <c r="BI228" s="41" t="str">
        <f t="shared" si="203"/>
        <v>7.02383080105127+33.2059079952793i</v>
      </c>
      <c r="BJ228" s="20">
        <f t="shared" si="251"/>
        <v>30.614398590725209</v>
      </c>
      <c r="BK228" s="43">
        <f t="shared" si="204"/>
        <v>78.056641808715469</v>
      </c>
      <c r="BL228">
        <f t="shared" si="252"/>
        <v>17.987319707982266</v>
      </c>
      <c r="BM228" s="43">
        <f t="shared" si="253"/>
        <v>70.782202257995024</v>
      </c>
    </row>
    <row r="229" spans="14:65" x14ac:dyDescent="0.25">
      <c r="N229" s="9">
        <v>11</v>
      </c>
      <c r="O229" s="34">
        <f t="shared" si="254"/>
        <v>1288.2495516931347</v>
      </c>
      <c r="P229" s="33" t="str">
        <f t="shared" si="206"/>
        <v>19.1021967526266</v>
      </c>
      <c r="Q229" s="4" t="str">
        <f t="shared" si="207"/>
        <v>1+1.8167745978673i</v>
      </c>
      <c r="R229" s="4">
        <f t="shared" si="219"/>
        <v>2.0738056657883566</v>
      </c>
      <c r="S229" s="4">
        <f t="shared" si="220"/>
        <v>1.0676261007190393</v>
      </c>
      <c r="T229" s="4" t="str">
        <f t="shared" si="208"/>
        <v>1+0.030434608063473i</v>
      </c>
      <c r="U229" s="4">
        <f t="shared" si="221"/>
        <v>1.0004630254876874</v>
      </c>
      <c r="V229" s="4">
        <f t="shared" si="222"/>
        <v>3.0425216441255658E-2</v>
      </c>
      <c r="W229" t="str">
        <f t="shared" si="209"/>
        <v>1-0.0168631471982896i</v>
      </c>
      <c r="X229" s="4">
        <f t="shared" si="223"/>
        <v>1.0001421727601687</v>
      </c>
      <c r="Y229" s="4">
        <f t="shared" si="224"/>
        <v>-1.6861549037217753E-2</v>
      </c>
      <c r="Z229" t="str">
        <f t="shared" si="210"/>
        <v>0.999998340413093+0.0125461815155274i</v>
      </c>
      <c r="AA229" s="4">
        <f t="shared" si="225"/>
        <v>1.0000770407821391</v>
      </c>
      <c r="AB229" s="4">
        <f t="shared" si="226"/>
        <v>1.2545544111707151E-2</v>
      </c>
      <c r="AC229" s="47" t="str">
        <f t="shared" si="227"/>
        <v>4.45224315384484-8.06926360504505i</v>
      </c>
      <c r="AD229" s="20">
        <f t="shared" si="228"/>
        <v>19.290891671007721</v>
      </c>
      <c r="AE229" s="43">
        <f t="shared" si="229"/>
        <v>-61.112135501535356</v>
      </c>
      <c r="AF229" t="str">
        <f t="shared" si="211"/>
        <v>69.5520360182888</v>
      </c>
      <c r="AG229" t="str">
        <f t="shared" si="212"/>
        <v>1+1.44926705064157i</v>
      </c>
      <c r="AH229">
        <f t="shared" si="230"/>
        <v>1.760788171267434</v>
      </c>
      <c r="AI229">
        <f t="shared" si="231"/>
        <v>0.96681066769038226</v>
      </c>
      <c r="AJ229" t="str">
        <f t="shared" si="213"/>
        <v>1+0.030434608063473i</v>
      </c>
      <c r="AK229">
        <f t="shared" si="232"/>
        <v>1.0004630254876874</v>
      </c>
      <c r="AL229">
        <f t="shared" si="233"/>
        <v>3.0425216441255658E-2</v>
      </c>
      <c r="AM229" t="str">
        <f t="shared" si="214"/>
        <v>1-0.0036945304444133i</v>
      </c>
      <c r="AN229">
        <f t="shared" si="234"/>
        <v>1.0000068247543137</v>
      </c>
      <c r="AO229">
        <f t="shared" si="235"/>
        <v>-3.6945136349852124E-3</v>
      </c>
      <c r="AP229" s="41" t="str">
        <f t="shared" si="236"/>
        <v>23.3053236115715-31.9158107730969i</v>
      </c>
      <c r="AQ229">
        <f t="shared" si="237"/>
        <v>31.936134850867539</v>
      </c>
      <c r="AR229" s="43">
        <f t="shared" si="238"/>
        <v>-53.862614392666259</v>
      </c>
      <c r="AS229" t="str">
        <f t="shared" si="215"/>
        <v>-0.0000166666666666667</v>
      </c>
      <c r="AT229" t="str">
        <f t="shared" si="216"/>
        <v>0.0000275206562276086i</v>
      </c>
      <c r="AU229">
        <f t="shared" si="239"/>
        <v>2.75206562276086E-5</v>
      </c>
      <c r="AV229">
        <f t="shared" si="240"/>
        <v>1.5707963267948966</v>
      </c>
      <c r="AW229" t="str">
        <f t="shared" si="217"/>
        <v>1+0.0279682239932479i</v>
      </c>
      <c r="AX229">
        <f t="shared" si="241"/>
        <v>1.0003910343227473</v>
      </c>
      <c r="AY229">
        <f t="shared" si="242"/>
        <v>2.7960934964717975E-2</v>
      </c>
      <c r="AZ229" t="str">
        <f t="shared" si="218"/>
        <v>1+0.950919615770427i</v>
      </c>
      <c r="BA229">
        <f t="shared" si="243"/>
        <v>1.3799449683436571</v>
      </c>
      <c r="BB229">
        <f t="shared" si="244"/>
        <v>0.7602459052577919</v>
      </c>
      <c r="BC229" s="41" t="str">
        <f t="shared" si="245"/>
        <v>-0.558507759870725+0.621226184209871i</v>
      </c>
      <c r="BD229">
        <f t="shared" si="246"/>
        <v>-1.5623611876467935</v>
      </c>
      <c r="BE229" s="43">
        <f t="shared" si="247"/>
        <v>131.95683819865607</v>
      </c>
      <c r="BF229" s="41" t="str">
        <f t="shared" si="248"/>
        <v>2.52622548849207+7.27259636549763i</v>
      </c>
      <c r="BG229" s="20">
        <f t="shared" si="249"/>
        <v>17.728530483360924</v>
      </c>
      <c r="BH229" s="43">
        <f t="shared" si="250"/>
        <v>70.844702697120724</v>
      </c>
      <c r="BI229" s="41" t="str">
        <f t="shared" si="203"/>
        <v>6.81073325917417+32.3031052383331i</v>
      </c>
      <c r="BJ229" s="20">
        <f t="shared" si="251"/>
        <v>30.373773663220756</v>
      </c>
      <c r="BK229" s="43">
        <f t="shared" si="204"/>
        <v>78.094223805989827</v>
      </c>
      <c r="BL229">
        <f t="shared" si="252"/>
        <v>17.728530483360924</v>
      </c>
      <c r="BM229" s="43">
        <f t="shared" si="253"/>
        <v>70.844702697120724</v>
      </c>
    </row>
    <row r="230" spans="14:65" x14ac:dyDescent="0.25">
      <c r="N230" s="9">
        <v>12</v>
      </c>
      <c r="O230" s="34">
        <f t="shared" si="254"/>
        <v>1318.2567385564089</v>
      </c>
      <c r="P230" s="33" t="str">
        <f t="shared" si="206"/>
        <v>19.1021967526266</v>
      </c>
      <c r="Q230" s="4" t="str">
        <f t="shared" si="207"/>
        <v>1+1.8590927145513i</v>
      </c>
      <c r="R230" s="4">
        <f t="shared" si="219"/>
        <v>2.1109774326831925</v>
      </c>
      <c r="S230" s="4">
        <f t="shared" si="220"/>
        <v>1.077292872117088</v>
      </c>
      <c r="T230" s="4" t="str">
        <f t="shared" si="208"/>
        <v>1+0.0311435211541633i</v>
      </c>
      <c r="U230" s="4">
        <f t="shared" si="221"/>
        <v>1.0004848419190966</v>
      </c>
      <c r="V230" s="4">
        <f t="shared" si="222"/>
        <v>3.1133458113018923E-2</v>
      </c>
      <c r="W230" t="str">
        <f t="shared" si="209"/>
        <v>1-0.0172559403558086i</v>
      </c>
      <c r="X230" s="4">
        <f t="shared" si="223"/>
        <v>1.0001488726572476</v>
      </c>
      <c r="Y230" s="4">
        <f t="shared" si="224"/>
        <v>-1.7254227909133835E-2</v>
      </c>
      <c r="Z230" t="str">
        <f t="shared" si="210"/>
        <v>0.999998262199171+0.0128384196247216i</v>
      </c>
      <c r="AA230" s="4">
        <f t="shared" si="225"/>
        <v>1.0000806714559691</v>
      </c>
      <c r="AB230" s="4">
        <f t="shared" si="226"/>
        <v>1.2837736637198128E-2</v>
      </c>
      <c r="AC230" s="47" t="str">
        <f t="shared" si="227"/>
        <v>4.29730431186325-7.96918132372714i</v>
      </c>
      <c r="AD230" s="20">
        <f t="shared" si="228"/>
        <v>19.136797052150342</v>
      </c>
      <c r="AE230" s="43">
        <f t="shared" si="229"/>
        <v>-61.664661686074666</v>
      </c>
      <c r="AF230" t="str">
        <f t="shared" si="211"/>
        <v>69.5520360182888</v>
      </c>
      <c r="AG230" t="str">
        <f t="shared" si="212"/>
        <v>1+1.48302481686492i</v>
      </c>
      <c r="AH230">
        <f t="shared" si="230"/>
        <v>1.7886762164900691</v>
      </c>
      <c r="AI230">
        <f t="shared" si="231"/>
        <v>0.97752939378336723</v>
      </c>
      <c r="AJ230" t="str">
        <f t="shared" si="213"/>
        <v>1+0.0311435211541633i</v>
      </c>
      <c r="AK230">
        <f t="shared" si="232"/>
        <v>1.0004848419190966</v>
      </c>
      <c r="AL230">
        <f t="shared" si="233"/>
        <v>3.1133458113018923E-2</v>
      </c>
      <c r="AM230" t="str">
        <f t="shared" si="214"/>
        <v>1-0.00378058711353604i</v>
      </c>
      <c r="AN230">
        <f t="shared" si="234"/>
        <v>1.000007146393926</v>
      </c>
      <c r="AO230">
        <f t="shared" si="235"/>
        <v>-3.7805691019162863E-3</v>
      </c>
      <c r="AP230" s="41" t="str">
        <f t="shared" si="236"/>
        <v>22.6240815407947-31.6489266098143i</v>
      </c>
      <c r="AQ230">
        <f t="shared" si="237"/>
        <v>31.799834643607504</v>
      </c>
      <c r="AR230" s="43">
        <f t="shared" si="238"/>
        <v>-54.441103515942878</v>
      </c>
      <c r="AS230" t="str">
        <f t="shared" si="215"/>
        <v>-0.0000166666666666667</v>
      </c>
      <c r="AT230" t="str">
        <f t="shared" si="216"/>
        <v>0.0000281616946606796i</v>
      </c>
      <c r="AU230">
        <f t="shared" si="239"/>
        <v>2.8161694660679599E-5</v>
      </c>
      <c r="AV230">
        <f t="shared" si="240"/>
        <v>1.5707963267948966</v>
      </c>
      <c r="AW230" t="str">
        <f t="shared" si="217"/>
        <v>1+0.028619687618829i</v>
      </c>
      <c r="AX230">
        <f t="shared" si="241"/>
        <v>1.0004094594311868</v>
      </c>
      <c r="AY230">
        <f t="shared" si="242"/>
        <v>2.861187745668296E-2</v>
      </c>
      <c r="AZ230" t="str">
        <f t="shared" si="218"/>
        <v>1+0.973069379040187i</v>
      </c>
      <c r="BA230">
        <f t="shared" si="243"/>
        <v>1.395300690326517</v>
      </c>
      <c r="BB230">
        <f t="shared" si="244"/>
        <v>0.77174991105526536</v>
      </c>
      <c r="BC230" s="41" t="str">
        <f t="shared" si="245"/>
        <v>-0.558487187351784+0.607804173863468i</v>
      </c>
      <c r="BD230">
        <f t="shared" si="246"/>
        <v>-1.6664003252064372</v>
      </c>
      <c r="BE230" s="43">
        <f t="shared" si="247"/>
        <v>132.57867292084993</v>
      </c>
      <c r="BF230" s="41" t="str">
        <f t="shared" si="248"/>
        <v>2.44371227250895+7.0626051600967i</v>
      </c>
      <c r="BG230" s="20">
        <f t="shared" si="249"/>
        <v>17.470396726943903</v>
      </c>
      <c r="BH230" s="43">
        <f t="shared" si="250"/>
        <v>70.914011234775288</v>
      </c>
      <c r="BI230" s="41" t="str">
        <f t="shared" si="203"/>
        <v>6.60109002560786+31.4265311953407i</v>
      </c>
      <c r="BJ230" s="20">
        <f t="shared" si="251"/>
        <v>30.133434318401072</v>
      </c>
      <c r="BK230" s="43">
        <f t="shared" si="204"/>
        <v>78.137569404907069</v>
      </c>
      <c r="BL230">
        <f t="shared" si="252"/>
        <v>17.470396726943903</v>
      </c>
      <c r="BM230" s="43">
        <f t="shared" si="253"/>
        <v>70.914011234775288</v>
      </c>
    </row>
    <row r="231" spans="14:65" x14ac:dyDescent="0.25">
      <c r="N231" s="9">
        <v>13</v>
      </c>
      <c r="O231" s="34">
        <f t="shared" si="254"/>
        <v>1348.9628825916541</v>
      </c>
      <c r="P231" s="33" t="str">
        <f t="shared" si="206"/>
        <v>19.1021967526266</v>
      </c>
      <c r="Q231" s="4" t="str">
        <f t="shared" si="207"/>
        <v>1+1.90239654680054i</v>
      </c>
      <c r="R231" s="4">
        <f t="shared" si="219"/>
        <v>2.149212093135207</v>
      </c>
      <c r="S231" s="4">
        <f t="shared" si="220"/>
        <v>1.0868377430459486</v>
      </c>
      <c r="T231" s="4" t="str">
        <f t="shared" si="208"/>
        <v>1+0.0318689469520026i</v>
      </c>
      <c r="U231" s="4">
        <f t="shared" si="221"/>
        <v>1.0005076860173687</v>
      </c>
      <c r="V231" s="4">
        <f t="shared" si="222"/>
        <v>3.1858164504633031E-2</v>
      </c>
      <c r="W231" t="str">
        <f t="shared" si="209"/>
        <v>1-0.0176578828413135i</v>
      </c>
      <c r="X231" s="4">
        <f t="shared" si="223"/>
        <v>1.0001558882626436</v>
      </c>
      <c r="Y231" s="4">
        <f t="shared" si="224"/>
        <v>-1.7656047937088377E-2</v>
      </c>
      <c r="Z231" t="str">
        <f t="shared" si="210"/>
        <v>0.999998180299141+0.0131374648339373i</v>
      </c>
      <c r="AA231" s="4">
        <f t="shared" si="225"/>
        <v>1.0000844732240652</v>
      </c>
      <c r="AB231" s="4">
        <f t="shared" si="226"/>
        <v>1.3136733002958801E-2</v>
      </c>
      <c r="AC231" s="47" t="str">
        <f t="shared" si="227"/>
        <v>4.14624811266754-7.86744514310436i</v>
      </c>
      <c r="AD231" s="20">
        <f t="shared" si="228"/>
        <v>18.981109582404059</v>
      </c>
      <c r="AE231" s="43">
        <f t="shared" si="229"/>
        <v>-62.210173710243325</v>
      </c>
      <c r="AF231" t="str">
        <f t="shared" si="211"/>
        <v>69.5520360182888</v>
      </c>
      <c r="AG231" t="str">
        <f t="shared" si="212"/>
        <v>1+1.51756890247632i</v>
      </c>
      <c r="AH231">
        <f t="shared" si="230"/>
        <v>1.817419977265349</v>
      </c>
      <c r="AI231">
        <f t="shared" si="231"/>
        <v>0.9881560063061875</v>
      </c>
      <c r="AJ231" t="str">
        <f t="shared" si="213"/>
        <v>1+0.0318689469520026i</v>
      </c>
      <c r="AK231">
        <f t="shared" si="232"/>
        <v>1.0005076860173687</v>
      </c>
      <c r="AL231">
        <f t="shared" si="233"/>
        <v>3.1858164504633031E-2</v>
      </c>
      <c r="AM231" t="str">
        <f t="shared" si="214"/>
        <v>1-0.00386864829998835i</v>
      </c>
      <c r="AN231">
        <f t="shared" si="234"/>
        <v>1.0000074831918353</v>
      </c>
      <c r="AO231">
        <f t="shared" si="235"/>
        <v>-3.8686290001978649E-3</v>
      </c>
      <c r="AP231" s="41" t="str">
        <f t="shared" si="236"/>
        <v>21.9544975070385-31.3699849058078i</v>
      </c>
      <c r="AQ231">
        <f t="shared" si="237"/>
        <v>31.661564587641408</v>
      </c>
      <c r="AR231" s="43">
        <f t="shared" si="238"/>
        <v>-55.013486406911611</v>
      </c>
      <c r="AS231" t="str">
        <f t="shared" si="215"/>
        <v>-0.0000166666666666667</v>
      </c>
      <c r="AT231" t="str">
        <f t="shared" si="216"/>
        <v>0.0000288176647970237i</v>
      </c>
      <c r="AU231">
        <f t="shared" si="239"/>
        <v>2.88176647970237E-5</v>
      </c>
      <c r="AV231">
        <f t="shared" si="240"/>
        <v>1.5707963267948966</v>
      </c>
      <c r="AW231" t="str">
        <f t="shared" si="217"/>
        <v>1+0.029286325781612i</v>
      </c>
      <c r="AX231">
        <f t="shared" si="241"/>
        <v>1.0004287525245297</v>
      </c>
      <c r="AY231">
        <f t="shared" si="242"/>
        <v>2.9277957235790544E-2</v>
      </c>
      <c r="AZ231" t="str">
        <f t="shared" si="218"/>
        <v>1+0.995735076574807i</v>
      </c>
      <c r="BA231">
        <f t="shared" si="243"/>
        <v>1.4112010284581842</v>
      </c>
      <c r="BB231">
        <f t="shared" si="244"/>
        <v>0.7832611478271706</v>
      </c>
      <c r="BC231" s="41" t="str">
        <f t="shared" si="245"/>
        <v>-0.558465646904226+0.594704373871541i</v>
      </c>
      <c r="BD231">
        <f t="shared" si="246"/>
        <v>-1.7681463287815573</v>
      </c>
      <c r="BE231" s="43">
        <f t="shared" si="247"/>
        <v>133.20005464469406</v>
      </c>
      <c r="BF231" s="41" t="str">
        <f t="shared" si="248"/>
        <v>2.36326690333227+6.8594897290873i</v>
      </c>
      <c r="BG231" s="20">
        <f t="shared" si="249"/>
        <v>17.212963253622505</v>
      </c>
      <c r="BH231" s="43">
        <f t="shared" si="250"/>
        <v>70.989880934450753</v>
      </c>
      <c r="BI231" s="41" t="str">
        <f t="shared" si="203"/>
        <v>6.39503457904265+30.5754946073854i</v>
      </c>
      <c r="BJ231" s="20">
        <f t="shared" si="251"/>
        <v>29.893418258859853</v>
      </c>
      <c r="BK231" s="43">
        <f t="shared" si="204"/>
        <v>78.186568237782438</v>
      </c>
      <c r="BL231">
        <f t="shared" si="252"/>
        <v>17.212963253622505</v>
      </c>
      <c r="BM231" s="43">
        <f t="shared" si="253"/>
        <v>70.989880934450753</v>
      </c>
    </row>
    <row r="232" spans="14:65" x14ac:dyDescent="0.25">
      <c r="N232" s="9">
        <v>14</v>
      </c>
      <c r="O232" s="34">
        <f t="shared" si="254"/>
        <v>1380.3842646028863</v>
      </c>
      <c r="P232" s="33" t="str">
        <f t="shared" si="206"/>
        <v>19.1021967526266</v>
      </c>
      <c r="Q232" s="4" t="str">
        <f t="shared" si="207"/>
        <v>1+1.9467090548801i</v>
      </c>
      <c r="R232" s="4">
        <f t="shared" si="219"/>
        <v>2.1885328748621009</v>
      </c>
      <c r="S232" s="4">
        <f t="shared" si="220"/>
        <v>1.0962588168459342</v>
      </c>
      <c r="T232" s="4" t="str">
        <f t="shared" si="208"/>
        <v>1+0.0326112700873514i</v>
      </c>
      <c r="U232" s="4">
        <f t="shared" si="221"/>
        <v>1.0005316061657974</v>
      </c>
      <c r="V232" s="4">
        <f t="shared" si="222"/>
        <v>3.2599716818355849E-2</v>
      </c>
      <c r="W232" t="str">
        <f t="shared" si="209"/>
        <v>1-0.0180691877700307i</v>
      </c>
      <c r="X232" s="4">
        <f t="shared" si="223"/>
        <v>1.0001632344505913</v>
      </c>
      <c r="Y232" s="4">
        <f t="shared" si="224"/>
        <v>-1.8067221652060643E-2</v>
      </c>
      <c r="Z232" t="str">
        <f t="shared" si="210"/>
        <v>0.999998094539282+0.0134434757009029i</v>
      </c>
      <c r="AA232" s="4">
        <f t="shared" si="225"/>
        <v>1.0000884541484896</v>
      </c>
      <c r="AB232" s="4">
        <f t="shared" si="226"/>
        <v>1.3442691533626672E-2</v>
      </c>
      <c r="AC232" s="47" t="str">
        <f t="shared" si="227"/>
        <v>3.99908453809707-7.76422381802778i</v>
      </c>
      <c r="AD232" s="20">
        <f t="shared" si="228"/>
        <v>18.82387048268621</v>
      </c>
      <c r="AE232" s="43">
        <f t="shared" si="229"/>
        <v>-62.748562310627186</v>
      </c>
      <c r="AF232" t="str">
        <f t="shared" si="211"/>
        <v>69.5520360182888</v>
      </c>
      <c r="AG232" t="str">
        <f t="shared" si="212"/>
        <v>1+1.55291762320721i</v>
      </c>
      <c r="AH232">
        <f t="shared" si="230"/>
        <v>1.8470390208296983</v>
      </c>
      <c r="AI232">
        <f t="shared" si="231"/>
        <v>0.99868653946345376</v>
      </c>
      <c r="AJ232" t="str">
        <f t="shared" si="213"/>
        <v>1+0.0326112700873514i</v>
      </c>
      <c r="AK232">
        <f t="shared" si="232"/>
        <v>1.0005316061657974</v>
      </c>
      <c r="AL232">
        <f t="shared" si="233"/>
        <v>3.2599716818355849E-2</v>
      </c>
      <c r="AM232" t="str">
        <f t="shared" si="214"/>
        <v>1-0.00395876069497693i</v>
      </c>
      <c r="AN232">
        <f t="shared" si="234"/>
        <v>1.0000078358624196</v>
      </c>
      <c r="AO232">
        <f t="shared" si="235"/>
        <v>-3.9587400148875899E-3</v>
      </c>
      <c r="AP232" s="41" t="str">
        <f t="shared" si="236"/>
        <v>21.2969662343777-31.0795938209413i</v>
      </c>
      <c r="AQ232">
        <f t="shared" si="237"/>
        <v>31.521359851592969</v>
      </c>
      <c r="AR232" s="43">
        <f t="shared" si="238"/>
        <v>-55.579516675810467</v>
      </c>
      <c r="AS232" t="str">
        <f t="shared" si="215"/>
        <v>-0.0000166666666666667</v>
      </c>
      <c r="AT232" t="str">
        <f t="shared" si="216"/>
        <v>0.0000294889144406902i</v>
      </c>
      <c r="AU232">
        <f t="shared" si="239"/>
        <v>2.9488914440690199E-5</v>
      </c>
      <c r="AV232">
        <f t="shared" si="240"/>
        <v>1.5707963267948966</v>
      </c>
      <c r="AW232" t="str">
        <f t="shared" si="217"/>
        <v>1+0.0299684919419747i</v>
      </c>
      <c r="AX232">
        <f t="shared" si="241"/>
        <v>1.000448954474578</v>
      </c>
      <c r="AY232">
        <f t="shared" si="242"/>
        <v>2.9959525100887421E-2</v>
      </c>
      <c r="AZ232" t="str">
        <f t="shared" si="218"/>
        <v>1+1.01892872602714i</v>
      </c>
      <c r="BA232">
        <f t="shared" si="243"/>
        <v>1.4276609361901342</v>
      </c>
      <c r="BB232">
        <f t="shared" si="244"/>
        <v>0.7947735173589231</v>
      </c>
      <c r="BC232" s="41" t="str">
        <f t="shared" si="245"/>
        <v>-0.558443093067484+0.581919834586888i</v>
      </c>
      <c r="BD232">
        <f t="shared" si="246"/>
        <v>-1.8675978802095337</v>
      </c>
      <c r="BE232" s="43">
        <f t="shared" si="247"/>
        <v>133.82061386893662</v>
      </c>
      <c r="BF232" s="41" t="str">
        <f t="shared" si="248"/>
        <v>2.28489470098902+6.66302377711609i</v>
      </c>
      <c r="BG232" s="20">
        <f t="shared" si="249"/>
        <v>16.956272602476673</v>
      </c>
      <c r="BH232" s="43">
        <f t="shared" si="250"/>
        <v>71.072051558309468</v>
      </c>
      <c r="BI232" s="41" t="str">
        <f t="shared" si="203"/>
        <v>6.19268839843018+29.7493115729591i</v>
      </c>
      <c r="BJ232" s="20">
        <f t="shared" si="251"/>
        <v>29.653761971383421</v>
      </c>
      <c r="BK232" s="43">
        <f t="shared" si="204"/>
        <v>78.241097193126166</v>
      </c>
      <c r="BL232">
        <f t="shared" si="252"/>
        <v>16.956272602476673</v>
      </c>
      <c r="BM232" s="43">
        <f t="shared" si="253"/>
        <v>71.072051558309468</v>
      </c>
    </row>
    <row r="233" spans="14:65" x14ac:dyDescent="0.25">
      <c r="N233" s="9">
        <v>15</v>
      </c>
      <c r="O233" s="34">
        <f t="shared" si="254"/>
        <v>1412.5375446227545</v>
      </c>
      <c r="P233" s="33" t="str">
        <f t="shared" si="206"/>
        <v>19.1021967526266</v>
      </c>
      <c r="Q233" s="4" t="str">
        <f t="shared" si="207"/>
        <v>1+1.9920537338683i</v>
      </c>
      <c r="R233" s="4">
        <f t="shared" si="219"/>
        <v>2.2289634538544227</v>
      </c>
      <c r="S233" s="4">
        <f t="shared" si="220"/>
        <v>1.1055543983596909</v>
      </c>
      <c r="T233" s="4" t="str">
        <f t="shared" si="208"/>
        <v>1+0.0333708841497617i</v>
      </c>
      <c r="U233" s="4">
        <f t="shared" si="221"/>
        <v>1.0005566530231744</v>
      </c>
      <c r="V233" s="4">
        <f t="shared" si="222"/>
        <v>3.3358504970938396E-2</v>
      </c>
      <c r="W233" t="str">
        <f t="shared" si="209"/>
        <v>1-0.0184900732212775i</v>
      </c>
      <c r="X233" s="4">
        <f t="shared" si="223"/>
        <v>1.0001709267958794</v>
      </c>
      <c r="Y233" s="4">
        <f t="shared" si="224"/>
        <v>-1.8487966507360849E-2</v>
      </c>
      <c r="Z233" t="str">
        <f t="shared" si="210"/>
        <v>0.999998004737685+0.0137566144766305i</v>
      </c>
      <c r="AA233" s="4">
        <f t="shared" si="225"/>
        <v>1.0000926226711253</v>
      </c>
      <c r="AB233" s="4">
        <f t="shared" si="226"/>
        <v>1.3755774230457858E-2</v>
      </c>
      <c r="AC233" s="47" t="str">
        <f t="shared" si="227"/>
        <v>3.85581502297682-7.65968275049168i</v>
      </c>
      <c r="AD233" s="20">
        <f t="shared" si="228"/>
        <v>18.665121055895554</v>
      </c>
      <c r="AE233" s="43">
        <f t="shared" si="229"/>
        <v>-63.279729762425397</v>
      </c>
      <c r="AF233" t="str">
        <f t="shared" si="211"/>
        <v>69.5520360182888</v>
      </c>
      <c r="AG233" t="str">
        <f t="shared" si="212"/>
        <v>1+1.58908972141723i</v>
      </c>
      <c r="AH233">
        <f t="shared" si="230"/>
        <v>1.8775532329907159</v>
      </c>
      <c r="AI233">
        <f t="shared" si="231"/>
        <v>1.0091172344716424</v>
      </c>
      <c r="AJ233" t="str">
        <f t="shared" si="213"/>
        <v>1+0.0333708841497617i</v>
      </c>
      <c r="AK233">
        <f t="shared" si="232"/>
        <v>1.0005566530231744</v>
      </c>
      <c r="AL233">
        <f t="shared" si="233"/>
        <v>3.3358504970938396E-2</v>
      </c>
      <c r="AM233" t="str">
        <f t="shared" si="214"/>
        <v>1-0.00405097207728638i</v>
      </c>
      <c r="AN233">
        <f t="shared" si="234"/>
        <v>1.0000082051537231</v>
      </c>
      <c r="AO233">
        <f t="shared" si="235"/>
        <v>-4.0509499181812384E-3</v>
      </c>
      <c r="AP233" s="41" t="str">
        <f t="shared" si="236"/>
        <v>20.6518432875363-30.7783723160255i</v>
      </c>
      <c r="AQ233">
        <f t="shared" si="237"/>
        <v>31.379256723155784</v>
      </c>
      <c r="AR233" s="43">
        <f t="shared" si="238"/>
        <v>-56.138959356768339</v>
      </c>
      <c r="AS233" t="str">
        <f t="shared" si="215"/>
        <v>-0.0000166666666666667</v>
      </c>
      <c r="AT233" t="str">
        <f t="shared" si="216"/>
        <v>0.0000301757994971249i</v>
      </c>
      <c r="AU233">
        <f t="shared" si="239"/>
        <v>3.0175799497124901E-5</v>
      </c>
      <c r="AV233">
        <f t="shared" si="240"/>
        <v>1.5707963267948966</v>
      </c>
      <c r="AW233" t="str">
        <f t="shared" si="217"/>
        <v>1+0.030666547793445i</v>
      </c>
      <c r="AX233">
        <f t="shared" si="241"/>
        <v>1.0004701080759824</v>
      </c>
      <c r="AY233">
        <f t="shared" si="242"/>
        <v>3.065693989393246E-2</v>
      </c>
      <c r="AZ233" t="str">
        <f t="shared" si="218"/>
        <v>1+1.04266262497713i</v>
      </c>
      <c r="BA233">
        <f t="shared" si="243"/>
        <v>1.4446955906086927</v>
      </c>
      <c r="BB233">
        <f t="shared" si="244"/>
        <v>0.80628091843568506</v>
      </c>
      <c r="BC233" s="41" t="str">
        <f t="shared" si="245"/>
        <v>-0.558419478253578+0.569443773235346i</v>
      </c>
      <c r="BD233">
        <f t="shared" si="246"/>
        <v>-1.9647561176832682</v>
      </c>
      <c r="BE233" s="43">
        <f t="shared" si="247"/>
        <v>134.43998045958793</v>
      </c>
      <c r="BF233" s="41" t="str">
        <f t="shared" si="248"/>
        <v>2.20859643385265+6.47298590069895i</v>
      </c>
      <c r="BG233" s="20">
        <f t="shared" si="249"/>
        <v>16.700364938212289</v>
      </c>
      <c r="BH233" s="43">
        <f t="shared" si="250"/>
        <v>71.160250697162553</v>
      </c>
      <c r="BI233" s="41" t="str">
        <f t="shared" si="203"/>
        <v>5.9941609120792+28.9473061761291i</v>
      </c>
      <c r="BJ233" s="20">
        <f t="shared" si="251"/>
        <v>29.414500605472526</v>
      </c>
      <c r="BK233" s="43">
        <f t="shared" si="204"/>
        <v>78.301021102819618</v>
      </c>
      <c r="BL233">
        <f t="shared" si="252"/>
        <v>16.700364938212289</v>
      </c>
      <c r="BM233" s="43">
        <f t="shared" si="253"/>
        <v>71.160250697162553</v>
      </c>
    </row>
    <row r="234" spans="14:65" x14ac:dyDescent="0.25">
      <c r="N234" s="9">
        <v>16</v>
      </c>
      <c r="O234" s="34">
        <f t="shared" si="254"/>
        <v>1445.4397707459289</v>
      </c>
      <c r="P234" s="33" t="str">
        <f t="shared" si="206"/>
        <v>19.1021967526266</v>
      </c>
      <c r="Q234" s="4" t="str">
        <f t="shared" si="207"/>
        <v>1+2.03845462611414i</v>
      </c>
      <c r="R234" s="4">
        <f t="shared" si="219"/>
        <v>2.2705279700382768</v>
      </c>
      <c r="S234" s="4">
        <f t="shared" si="220"/>
        <v>1.114722989624737</v>
      </c>
      <c r="T234" s="4" t="str">
        <f t="shared" si="208"/>
        <v>1+0.034148191896664i</v>
      </c>
      <c r="U234" s="4">
        <f t="shared" si="221"/>
        <v>1.0005828796305738</v>
      </c>
      <c r="V234" s="4">
        <f t="shared" si="222"/>
        <v>3.4134927784869352E-2</v>
      </c>
      <c r="W234" t="str">
        <f t="shared" si="209"/>
        <v>1-0.0189207623540914i</v>
      </c>
      <c r="X234" s="4">
        <f t="shared" si="223"/>
        <v>1.0001789816068221</v>
      </c>
      <c r="Y234" s="4">
        <f t="shared" si="224"/>
        <v>-1.8918504991275849E-2</v>
      </c>
      <c r="Z234" t="str">
        <f t="shared" si="210"/>
        <v>0.999997910703869+0.014077047191444i</v>
      </c>
      <c r="AA234" s="4">
        <f t="shared" si="225"/>
        <v>1.0000969876315664</v>
      </c>
      <c r="AB234" s="4">
        <f t="shared" si="226"/>
        <v>1.4076146856163941E-2</v>
      </c>
      <c r="AC234" s="47" t="str">
        <f t="shared" si="227"/>
        <v>3.71643289042115-7.55398356454082i</v>
      </c>
      <c r="AD234" s="20">
        <f t="shared" si="228"/>
        <v>18.504902600678285</v>
      </c>
      <c r="AE234" s="43">
        <f t="shared" si="229"/>
        <v>-63.803589633007817</v>
      </c>
      <c r="AF234" t="str">
        <f t="shared" si="211"/>
        <v>69.5520360182888</v>
      </c>
      <c r="AG234" t="str">
        <f t="shared" si="212"/>
        <v>1+1.62610437603162i</v>
      </c>
      <c r="AH234">
        <f t="shared" si="230"/>
        <v>1.9089828290870468</v>
      </c>
      <c r="AI234">
        <f t="shared" si="231"/>
        <v>1.0194445427211427</v>
      </c>
      <c r="AJ234" t="str">
        <f t="shared" si="213"/>
        <v>1+0.034148191896664i</v>
      </c>
      <c r="AK234">
        <f t="shared" si="232"/>
        <v>1.0005828796305738</v>
      </c>
      <c r="AL234">
        <f t="shared" si="233"/>
        <v>3.4134927784869352E-2</v>
      </c>
      <c r="AM234" t="str">
        <f t="shared" si="214"/>
        <v>1-0.00414533133861216i</v>
      </c>
      <c r="AN234">
        <f t="shared" si="234"/>
        <v>1.0000085918490436</v>
      </c>
      <c r="AO234">
        <f t="shared" si="235"/>
        <v>-4.1453075947142318E-3</v>
      </c>
      <c r="AP234" s="41" t="str">
        <f t="shared" si="236"/>
        <v>20.0194451432315-30.4669473149484i</v>
      </c>
      <c r="AQ234">
        <f t="shared" si="237"/>
        <v>31.235292495348006</v>
      </c>
      <c r="AR234" s="43">
        <f t="shared" si="238"/>
        <v>-56.691591079469426</v>
      </c>
      <c r="AS234" t="str">
        <f t="shared" si="215"/>
        <v>-0.0000166666666666667</v>
      </c>
      <c r="AT234" t="str">
        <f t="shared" si="216"/>
        <v>0.0000308786841618771i</v>
      </c>
      <c r="AU234">
        <f t="shared" si="239"/>
        <v>3.0878684161877099E-5</v>
      </c>
      <c r="AV234">
        <f t="shared" si="240"/>
        <v>1.5707963267948966</v>
      </c>
      <c r="AW234" t="str">
        <f t="shared" si="217"/>
        <v>1+0.0313808634544751i</v>
      </c>
      <c r="AX234">
        <f t="shared" si="241"/>
        <v>1.0004922581365376</v>
      </c>
      <c r="AY234">
        <f t="shared" si="242"/>
        <v>3.1370568678217671E-2</v>
      </c>
      <c r="AZ234" t="str">
        <f t="shared" si="218"/>
        <v>1+1.06694935745215i</v>
      </c>
      <c r="BA234">
        <f t="shared" si="243"/>
        <v>1.4623203928577195</v>
      </c>
      <c r="BB234">
        <f t="shared" si="244"/>
        <v>0.817777262996913</v>
      </c>
      <c r="BC234" s="41" t="str">
        <f t="shared" si="245"/>
        <v>-0.558394752648278+0.557269570299365i</v>
      </c>
      <c r="BD234">
        <f t="shared" si="246"/>
        <v>-2.0596246332810622</v>
      </c>
      <c r="BE234" s="43">
        <f t="shared" si="247"/>
        <v>135.05778456529595</v>
      </c>
      <c r="BF234" s="41" t="str">
        <f t="shared" si="248"/>
        <v>2.13436855047949+6.28915974392235i</v>
      </c>
      <c r="BG234" s="20">
        <f t="shared" si="249"/>
        <v>16.445277967397228</v>
      </c>
      <c r="BH234" s="43">
        <f t="shared" si="250"/>
        <v>71.254194932288101</v>
      </c>
      <c r="BI234" s="41" t="str">
        <f t="shared" si="203"/>
        <v>5.79954951962416+28.1688111024791i</v>
      </c>
      <c r="BJ234" s="20">
        <f t="shared" si="251"/>
        <v>29.175667862066955</v>
      </c>
      <c r="BK234" s="43">
        <f t="shared" si="204"/>
        <v>78.366193485826543</v>
      </c>
      <c r="BL234">
        <f t="shared" si="252"/>
        <v>16.445277967397228</v>
      </c>
      <c r="BM234" s="43">
        <f t="shared" si="253"/>
        <v>71.254194932288101</v>
      </c>
    </row>
    <row r="235" spans="14:65" x14ac:dyDescent="0.25">
      <c r="N235" s="9">
        <v>17</v>
      </c>
      <c r="O235" s="34">
        <f t="shared" si="254"/>
        <v>1479.1083881682086</v>
      </c>
      <c r="P235" s="33" t="str">
        <f t="shared" si="206"/>
        <v>19.1021967526266</v>
      </c>
      <c r="Q235" s="4" t="str">
        <f t="shared" si="207"/>
        <v>1+2.08593633398488i</v>
      </c>
      <c r="R235" s="4">
        <f t="shared" si="219"/>
        <v>2.3132510433237208</v>
      </c>
      <c r="S235" s="4">
        <f t="shared" si="220"/>
        <v>1.1237632850808699</v>
      </c>
      <c r="T235" s="4" t="str">
        <f t="shared" si="208"/>
        <v>1+0.0349436054669147i</v>
      </c>
      <c r="U235" s="4">
        <f t="shared" si="221"/>
        <v>1.0006103415231262</v>
      </c>
      <c r="V235" s="4">
        <f t="shared" si="222"/>
        <v>3.4929393183239517E-2</v>
      </c>
      <c r="W235" t="str">
        <f t="shared" si="209"/>
        <v>1-0.0193614835255512i</v>
      </c>
      <c r="X235" s="4">
        <f t="shared" si="223"/>
        <v>1.0001874159597841</v>
      </c>
      <c r="Y235" s="4">
        <f t="shared" si="224"/>
        <v>-1.9359064742193635E-2</v>
      </c>
      <c r="Z235" t="str">
        <f t="shared" si="210"/>
        <v>0.999997812238376+0.0144049437430101i</v>
      </c>
      <c r="AA235" s="4">
        <f t="shared" si="225"/>
        <v>1.0001015582858461</v>
      </c>
      <c r="AB235" s="4">
        <f t="shared" si="226"/>
        <v>1.4403979021666668E-2</v>
      </c>
      <c r="AC235" s="47" t="str">
        <f t="shared" si="227"/>
        <v>3.58092380317437-7.44728372705929i</v>
      </c>
      <c r="AD235" s="20">
        <f t="shared" si="228"/>
        <v>18.343256329892036</v>
      </c>
      <c r="AE235" s="43">
        <f t="shared" si="229"/>
        <v>-64.320066507722629</v>
      </c>
      <c r="AF235" t="str">
        <f t="shared" si="211"/>
        <v>69.5520360182888</v>
      </c>
      <c r="AG235" t="str">
        <f t="shared" si="212"/>
        <v>1+1.66398121271023i</v>
      </c>
      <c r="AH235">
        <f t="shared" si="230"/>
        <v>1.941348365505946</v>
      </c>
      <c r="AI235">
        <f t="shared" si="231"/>
        <v>1.0296651279939661</v>
      </c>
      <c r="AJ235" t="str">
        <f t="shared" si="213"/>
        <v>1+0.0349436054669147i</v>
      </c>
      <c r="AK235">
        <f t="shared" si="232"/>
        <v>1.0006103415231262</v>
      </c>
      <c r="AL235">
        <f t="shared" si="233"/>
        <v>3.4929393183239517E-2</v>
      </c>
      <c r="AM235" t="str">
        <f t="shared" si="214"/>
        <v>1-0.00424188850948362i</v>
      </c>
      <c r="AN235">
        <f t="shared" si="234"/>
        <v>1.0000089967685926</v>
      </c>
      <c r="AO235">
        <f t="shared" si="235"/>
        <v>-4.2418630674509704E-3</v>
      </c>
      <c r="AP235" s="41" t="str">
        <f t="shared" si="236"/>
        <v>19.4000494857024-30.1459509462111i</v>
      </c>
      <c r="AQ235">
        <f t="shared" si="237"/>
        <v>31.089505353350155</v>
      </c>
      <c r="AR235" s="43">
        <f t="shared" si="238"/>
        <v>-57.237200186536761</v>
      </c>
      <c r="AS235" t="str">
        <f t="shared" si="215"/>
        <v>-0.0000166666666666667</v>
      </c>
      <c r="AT235" t="str">
        <f t="shared" si="216"/>
        <v>0.0000315979411136995i</v>
      </c>
      <c r="AU235">
        <f t="shared" si="239"/>
        <v>3.1597941113699499E-5</v>
      </c>
      <c r="AV235">
        <f t="shared" si="240"/>
        <v>1.5707963267948966</v>
      </c>
      <c r="AW235" t="str">
        <f t="shared" si="217"/>
        <v>1+0.0321118176646836i</v>
      </c>
      <c r="AX235">
        <f t="shared" si="241"/>
        <v>1.0005154515717036</v>
      </c>
      <c r="AY235">
        <f t="shared" si="242"/>
        <v>3.2100786920092349E-2</v>
      </c>
      <c r="AZ235" t="str">
        <f t="shared" si="218"/>
        <v>1+1.09180180059924i</v>
      </c>
      <c r="BA235">
        <f t="shared" si="243"/>
        <v>1.4805509689949019</v>
      </c>
      <c r="BB235">
        <f t="shared" si="244"/>
        <v>0.82925649220604603</v>
      </c>
      <c r="BC235" s="41" t="str">
        <f t="shared" si="245"/>
        <v>-0.558368864107808+0.545390765986761i</v>
      </c>
      <c r="BD235">
        <f t="shared" si="246"/>
        <v>-2.152209460229856</v>
      </c>
      <c r="BE235" s="43">
        <f t="shared" si="247"/>
        <v>135.67365752765957</v>
      </c>
      <c r="BF235" s="41" t="str">
        <f t="shared" si="248"/>
        <v>2.06220341998652+6.11133413132015i</v>
      </c>
      <c r="BG235" s="20">
        <f t="shared" si="249"/>
        <v>16.191046869662177</v>
      </c>
      <c r="BH235" s="43">
        <f t="shared" si="250"/>
        <v>71.353591019936957</v>
      </c>
      <c r="BI235" s="41" t="str">
        <f t="shared" si="203"/>
        <v>5.60893968298648+27.4131682364739i</v>
      </c>
      <c r="BJ235" s="20">
        <f t="shared" si="251"/>
        <v>28.937295893120304</v>
      </c>
      <c r="BK235" s="43">
        <f t="shared" si="204"/>
        <v>78.436457341122832</v>
      </c>
      <c r="BL235">
        <f t="shared" si="252"/>
        <v>16.191046869662177</v>
      </c>
      <c r="BM235" s="43">
        <f t="shared" si="253"/>
        <v>71.353591019936957</v>
      </c>
    </row>
    <row r="236" spans="14:65" x14ac:dyDescent="0.25">
      <c r="N236" s="9">
        <v>18</v>
      </c>
      <c r="O236" s="34">
        <f t="shared" si="254"/>
        <v>1513.5612484362093</v>
      </c>
      <c r="P236" s="33" t="str">
        <f t="shared" si="206"/>
        <v>19.1021967526266</v>
      </c>
      <c r="Q236" s="4" t="str">
        <f t="shared" si="207"/>
        <v>1+2.13452403291054i</v>
      </c>
      <c r="R236" s="4">
        <f t="shared" si="219"/>
        <v>2.3571577900243921</v>
      </c>
      <c r="S236" s="4">
        <f t="shared" si="220"/>
        <v>1.1326741663475302</v>
      </c>
      <c r="T236" s="4" t="str">
        <f t="shared" si="208"/>
        <v>1+0.0357575465993173i</v>
      </c>
      <c r="U236" s="4">
        <f t="shared" si="221"/>
        <v>1.0006390968470111</v>
      </c>
      <c r="V236" s="4">
        <f t="shared" si="222"/>
        <v>3.5742318388251836E-2</v>
      </c>
      <c r="W236" t="str">
        <f t="shared" si="209"/>
        <v>1-0.0198124704118558i</v>
      </c>
      <c r="X236" s="4">
        <f t="shared" si="223"/>
        <v>1.0001962477353235</v>
      </c>
      <c r="Y236" s="4">
        <f t="shared" si="224"/>
        <v>-1.9809878666257327E-2</v>
      </c>
      <c r="Z236" t="str">
        <f t="shared" si="210"/>
        <v>0.999997709132347+0.0147404779864207i</v>
      </c>
      <c r="AA236" s="4">
        <f t="shared" si="225"/>
        <v>1.0001063443260472</v>
      </c>
      <c r="AB236" s="4">
        <f t="shared" si="226"/>
        <v>1.4739444274812819E-2</v>
      </c>
      <c r="AC236" s="47" t="str">
        <f t="shared" si="227"/>
        <v>3.44926622652946-7.3397362139293i</v>
      </c>
      <c r="AD236" s="20">
        <f t="shared" si="228"/>
        <v>18.180223293914487</v>
      </c>
      <c r="AE236" s="43">
        <f t="shared" si="229"/>
        <v>-64.829095691110595</v>
      </c>
      <c r="AF236" t="str">
        <f t="shared" si="211"/>
        <v>69.5520360182888</v>
      </c>
      <c r="AG236" t="str">
        <f t="shared" si="212"/>
        <v>1+1.70274031425321i</v>
      </c>
      <c r="AH236">
        <f t="shared" si="230"/>
        <v>1.9746707517414444</v>
      </c>
      <c r="AI236">
        <f t="shared" si="231"/>
        <v>1.039775867766932</v>
      </c>
      <c r="AJ236" t="str">
        <f t="shared" si="213"/>
        <v>1+0.0357575465993173i</v>
      </c>
      <c r="AK236">
        <f t="shared" si="232"/>
        <v>1.0006390968470111</v>
      </c>
      <c r="AL236">
        <f t="shared" si="233"/>
        <v>3.5742318388251836E-2</v>
      </c>
      <c r="AM236" t="str">
        <f t="shared" si="214"/>
        <v>1-0.00434069478579084i</v>
      </c>
      <c r="AN236">
        <f t="shared" si="234"/>
        <v>1.0000094207712362</v>
      </c>
      <c r="AO236">
        <f t="shared" si="235"/>
        <v>-4.3406675241755626E-3</v>
      </c>
      <c r="AP236" s="41" t="str">
        <f t="shared" si="236"/>
        <v>18.7938957121448-29.8160178820239i</v>
      </c>
      <c r="AQ236">
        <f t="shared" si="237"/>
        <v>30.941934262565912</v>
      </c>
      <c r="AR236" s="43">
        <f t="shared" si="238"/>
        <v>-57.775586798343099</v>
      </c>
      <c r="AS236" t="str">
        <f t="shared" si="215"/>
        <v>-0.0000166666666666667</v>
      </c>
      <c r="AT236" t="str">
        <f t="shared" si="216"/>
        <v>0.0000323339517121487i</v>
      </c>
      <c r="AU236">
        <f t="shared" si="239"/>
        <v>3.2333951712148702E-5</v>
      </c>
      <c r="AV236">
        <f t="shared" si="240"/>
        <v>1.5707963267948966</v>
      </c>
      <c r="AW236" t="str">
        <f t="shared" si="217"/>
        <v>1+0.032859797985668i</v>
      </c>
      <c r="AX236">
        <f t="shared" si="241"/>
        <v>1.000539737503543</v>
      </c>
      <c r="AY236">
        <f t="shared" si="242"/>
        <v>3.2847978674224565E-2</v>
      </c>
      <c r="AZ236" t="str">
        <f t="shared" si="218"/>
        <v>1+1.11723313151271i</v>
      </c>
      <c r="BA236">
        <f t="shared" si="243"/>
        <v>1.4994031713150724</v>
      </c>
      <c r="BB236">
        <f t="shared" si="244"/>
        <v>0.84071259233207851</v>
      </c>
      <c r="BC236" s="41" t="str">
        <f t="shared" si="245"/>
        <v>-0.558341758050765+0.533801056782574i</v>
      </c>
      <c r="BD236">
        <f t="shared" si="246"/>
        <v>-2.2425190500267753</v>
      </c>
      <c r="BE236" s="43">
        <f t="shared" si="247"/>
        <v>136.28723278056194</v>
      </c>
      <c r="BF236" s="41" t="str">
        <f t="shared" si="248"/>
        <v>1.9920895785952+5.93930317816002i</v>
      </c>
      <c r="BG236" s="20">
        <f t="shared" si="249"/>
        <v>15.937704243887714</v>
      </c>
      <c r="BH236" s="43">
        <f t="shared" si="250"/>
        <v>71.45813708945137</v>
      </c>
      <c r="BI236" s="41" t="str">
        <f t="shared" si="203"/>
        <v>5.42240508193082+26.6797292345267i</v>
      </c>
      <c r="BJ236" s="20">
        <f t="shared" si="251"/>
        <v>28.699415212539151</v>
      </c>
      <c r="BK236" s="43">
        <f t="shared" si="204"/>
        <v>78.511645982218866</v>
      </c>
      <c r="BL236">
        <f t="shared" si="252"/>
        <v>15.937704243887714</v>
      </c>
      <c r="BM236" s="43">
        <f t="shared" si="253"/>
        <v>71.45813708945137</v>
      </c>
    </row>
    <row r="237" spans="14:65" x14ac:dyDescent="0.25">
      <c r="N237" s="9">
        <v>19</v>
      </c>
      <c r="O237" s="34">
        <f t="shared" si="254"/>
        <v>1548.8166189124822</v>
      </c>
      <c r="P237" s="33" t="str">
        <f t="shared" si="206"/>
        <v>19.1021967526266</v>
      </c>
      <c r="Q237" s="4" t="str">
        <f t="shared" si="207"/>
        <v>1+2.18424348473221i</v>
      </c>
      <c r="R237" s="4">
        <f t="shared" si="219"/>
        <v>2.4022738396350878</v>
      </c>
      <c r="S237" s="4">
        <f t="shared" si="220"/>
        <v>1.1414546966253334</v>
      </c>
      <c r="T237" s="4" t="str">
        <f t="shared" si="208"/>
        <v>1+0.0365904468562339i</v>
      </c>
      <c r="U237" s="4">
        <f t="shared" si="221"/>
        <v>1.0006692064819118</v>
      </c>
      <c r="V237" s="4">
        <f t="shared" si="222"/>
        <v>3.6574130123399398E-2</v>
      </c>
      <c r="W237" t="str">
        <f t="shared" si="209"/>
        <v>1-0.0202739621322218i</v>
      </c>
      <c r="X237" s="4">
        <f t="shared" si="223"/>
        <v>1.0002054956560371</v>
      </c>
      <c r="Y237" s="4">
        <f t="shared" si="224"/>
        <v>-2.0271185057593472E-2</v>
      </c>
      <c r="Z237" t="str">
        <f t="shared" si="210"/>
        <v>0.999997601167081+0.015083827826373i</v>
      </c>
      <c r="AA237" s="4">
        <f t="shared" si="225"/>
        <v>1.0001113559008377</v>
      </c>
      <c r="AB237" s="4">
        <f t="shared" si="226"/>
        <v>1.5082720191089062E-2</v>
      </c>
      <c r="AC237" s="47" t="str">
        <f t="shared" si="227"/>
        <v>3.32143189862197-7.2314892206534i</v>
      </c>
      <c r="AD237" s="20">
        <f t="shared" si="228"/>
        <v>18.015844308898025</v>
      </c>
      <c r="AE237" s="43">
        <f t="shared" si="229"/>
        <v>-65.33062288663919</v>
      </c>
      <c r="AF237" t="str">
        <f t="shared" si="211"/>
        <v>69.5520360182888</v>
      </c>
      <c r="AG237" t="str">
        <f t="shared" si="212"/>
        <v>1+1.74240223124924i</v>
      </c>
      <c r="AH237">
        <f t="shared" si="230"/>
        <v>2.0089712629757375</v>
      </c>
      <c r="AI237">
        <f t="shared" si="231"/>
        <v>1.0497738536360899</v>
      </c>
      <c r="AJ237" t="str">
        <f t="shared" si="213"/>
        <v>1+0.0365904468562339i</v>
      </c>
      <c r="AK237">
        <f t="shared" si="232"/>
        <v>1.0006692064819118</v>
      </c>
      <c r="AL237">
        <f t="shared" si="233"/>
        <v>3.6574130123399398E-2</v>
      </c>
      <c r="AM237" t="str">
        <f t="shared" si="214"/>
        <v>1-0.00444180255592938i</v>
      </c>
      <c r="AN237">
        <f t="shared" si="234"/>
        <v>1.0000098647563163</v>
      </c>
      <c r="AO237">
        <f t="shared" si="235"/>
        <v>-4.441773344597881E-3</v>
      </c>
      <c r="AP237" s="41" t="str">
        <f t="shared" si="236"/>
        <v>18.2011856323948-29.4777827909523i</v>
      </c>
      <c r="AQ237">
        <f t="shared" si="237"/>
        <v>30.792618858498976</v>
      </c>
      <c r="AR237" s="43">
        <f t="shared" si="238"/>
        <v>-58.306562827298194</v>
      </c>
      <c r="AS237" t="str">
        <f t="shared" si="215"/>
        <v>-0.0000166666666666667</v>
      </c>
      <c r="AT237" t="str">
        <f t="shared" si="216"/>
        <v>0.000033087106199786i</v>
      </c>
      <c r="AU237">
        <f t="shared" si="239"/>
        <v>3.3087106199786002E-5</v>
      </c>
      <c r="AV237">
        <f t="shared" si="240"/>
        <v>1.5707963267948966</v>
      </c>
      <c r="AW237" t="str">
        <f t="shared" si="217"/>
        <v>1+0.0336252010064953i</v>
      </c>
      <c r="AX237">
        <f t="shared" si="241"/>
        <v>1.0005651673642888</v>
      </c>
      <c r="AY237">
        <f t="shared" si="242"/>
        <v>3.3612536772434337E-2</v>
      </c>
      <c r="AZ237" t="str">
        <f t="shared" si="218"/>
        <v>1+1.14325683422084i</v>
      </c>
      <c r="BA237">
        <f t="shared" si="243"/>
        <v>1.5188930801714311</v>
      </c>
      <c r="BB237">
        <f t="shared" si="244"/>
        <v>0.85213961034209618</v>
      </c>
      <c r="BC237" s="41" t="str">
        <f t="shared" si="245"/>
        <v>-0.558313377345166+0.522494292082221i</v>
      </c>
      <c r="BD237">
        <f t="shared" si="246"/>
        <v>-2.3305642396309647</v>
      </c>
      <c r="BE237" s="43">
        <f t="shared" si="247"/>
        <v>136.89814673273582</v>
      </c>
      <c r="BF237" s="41" t="str">
        <f t="shared" si="248"/>
        <v>1.92401198010391+5.77286637858796i</v>
      </c>
      <c r="BG237" s="20">
        <f t="shared" si="249"/>
        <v>15.685280069267067</v>
      </c>
      <c r="BH237" s="43">
        <f t="shared" si="250"/>
        <v>71.567523846096663</v>
      </c>
      <c r="BI237" s="41" t="str">
        <f t="shared" si="203"/>
        <v>5.24000782940345+25.967856068719i</v>
      </c>
      <c r="BJ237" s="20">
        <f t="shared" si="251"/>
        <v>28.462054618868009</v>
      </c>
      <c r="BK237" s="43">
        <f t="shared" si="204"/>
        <v>78.591583905437631</v>
      </c>
      <c r="BL237">
        <f t="shared" si="252"/>
        <v>15.685280069267067</v>
      </c>
      <c r="BM237" s="43">
        <f t="shared" si="253"/>
        <v>71.567523846096663</v>
      </c>
    </row>
    <row r="238" spans="14:65" x14ac:dyDescent="0.25">
      <c r="N238" s="9">
        <v>20</v>
      </c>
      <c r="O238" s="34">
        <f t="shared" si="254"/>
        <v>1584.8931924611156</v>
      </c>
      <c r="P238" s="33" t="str">
        <f t="shared" si="206"/>
        <v>19.1021967526266</v>
      </c>
      <c r="Q238" s="4" t="str">
        <f t="shared" si="207"/>
        <v>1+2.23512105136136i</v>
      </c>
      <c r="R238" s="4">
        <f t="shared" si="219"/>
        <v>2.4486253519554007</v>
      </c>
      <c r="S238" s="4">
        <f t="shared" si="220"/>
        <v>1.150104114774702</v>
      </c>
      <c r="T238" s="4" t="str">
        <f t="shared" si="208"/>
        <v>1+0.0374427478524055i</v>
      </c>
      <c r="U238" s="4">
        <f t="shared" si="221"/>
        <v>1.0007007341691816</v>
      </c>
      <c r="V238" s="4">
        <f t="shared" si="222"/>
        <v>3.7425264819329368E-2</v>
      </c>
      <c r="W238" t="str">
        <f t="shared" si="209"/>
        <v>1-0.020746203375668i</v>
      </c>
      <c r="X238" s="4">
        <f t="shared" si="223"/>
        <v>1.0002151793261811</v>
      </c>
      <c r="Y238" s="4">
        <f t="shared" si="224"/>
        <v>-2.0743227721165394E-2</v>
      </c>
      <c r="Z238" t="str">
        <f t="shared" si="210"/>
        <v>0.999997488113568+0.015435175311497i</v>
      </c>
      <c r="AA238" s="4">
        <f t="shared" si="225"/>
        <v>1.0001166036369673</v>
      </c>
      <c r="AB238" s="4">
        <f t="shared" si="226"/>
        <v>1.5433988466379592E-2</v>
      </c>
      <c r="AC238" s="47" t="str">
        <f t="shared" si="227"/>
        <v>3.1973863041804-7.12268591618522i</v>
      </c>
      <c r="AD238" s="20">
        <f t="shared" si="228"/>
        <v>17.850159890028628</v>
      </c>
      <c r="AE238" s="43">
        <f t="shared" si="229"/>
        <v>-65.824603857991676</v>
      </c>
      <c r="AF238" t="str">
        <f t="shared" si="211"/>
        <v>69.5520360182888</v>
      </c>
      <c r="AG238" t="str">
        <f t="shared" si="212"/>
        <v>1+1.78298799297169i</v>
      </c>
      <c r="AH238">
        <f t="shared" si="230"/>
        <v>2.0442715531653848</v>
      </c>
      <c r="AI238">
        <f t="shared" si="231"/>
        <v>1.0596563909029957</v>
      </c>
      <c r="AJ238" t="str">
        <f t="shared" si="213"/>
        <v>1+0.0374427478524055i</v>
      </c>
      <c r="AK238">
        <f t="shared" si="232"/>
        <v>1.0007007341691816</v>
      </c>
      <c r="AL238">
        <f t="shared" si="233"/>
        <v>3.7425264819329368E-2</v>
      </c>
      <c r="AM238" t="str">
        <f t="shared" si="214"/>
        <v>1-0.00454526542857728i</v>
      </c>
      <c r="AN238">
        <f t="shared" si="234"/>
        <v>1.0000103296655571</v>
      </c>
      <c r="AO238">
        <f t="shared" si="235"/>
        <v>-4.5452341280891092E-3</v>
      </c>
      <c r="AP238" s="41" t="str">
        <f t="shared" si="236"/>
        <v>17.6220843461579-29.1318779178807i</v>
      </c>
      <c r="AQ238">
        <f t="shared" si="237"/>
        <v>30.641599338993615</v>
      </c>
      <c r="AR238" s="43">
        <f t="shared" si="238"/>
        <v>-58.829951943937857</v>
      </c>
      <c r="AS238" t="str">
        <f t="shared" si="215"/>
        <v>-0.0000166666666666667</v>
      </c>
      <c r="AT238" t="str">
        <f t="shared" si="216"/>
        <v>0.0000338578039090901i</v>
      </c>
      <c r="AU238">
        <f t="shared" si="239"/>
        <v>3.3857803909090099E-5</v>
      </c>
      <c r="AV238">
        <f t="shared" si="240"/>
        <v>1.5707963267948966</v>
      </c>
      <c r="AW238" t="str">
        <f t="shared" si="217"/>
        <v>1+0.0344084325539784i</v>
      </c>
      <c r="AX238">
        <f t="shared" si="241"/>
        <v>1.0005917950047469</v>
      </c>
      <c r="AY238">
        <f t="shared" si="242"/>
        <v>3.439486301612793E-2</v>
      </c>
      <c r="AZ238" t="str">
        <f t="shared" si="218"/>
        <v>1+1.16988670683527i</v>
      </c>
      <c r="BA238">
        <f t="shared" si="243"/>
        <v>1.539037006322419</v>
      </c>
      <c r="BB238">
        <f t="shared" si="244"/>
        <v>0.86353166910718493</v>
      </c>
      <c r="BC238" s="41" t="str">
        <f t="shared" si="245"/>
        <v>-0.558283662190326+0.511464470903909i</v>
      </c>
      <c r="BD238">
        <f t="shared" si="246"/>
        <v>-2.4163582090285134</v>
      </c>
      <c r="BE238" s="43">
        <f t="shared" si="247"/>
        <v>137.50603962797447</v>
      </c>
      <c r="BF238" s="41" t="str">
        <f t="shared" si="248"/>
        <v>1.85795224820137+5.61182867226237i</v>
      </c>
      <c r="BG238" s="20">
        <f t="shared" si="249"/>
        <v>15.433801681000109</v>
      </c>
      <c r="BH238" s="43">
        <f t="shared" si="250"/>
        <v>71.681435769982798</v>
      </c>
      <c r="BI238" s="41" t="str">
        <f t="shared" si="203"/>
        <v>5.06179874150627+25.2769215368076i</v>
      </c>
      <c r="BJ238" s="20">
        <f t="shared" si="251"/>
        <v>28.225241129965092</v>
      </c>
      <c r="BK238" s="43">
        <f t="shared" si="204"/>
        <v>78.676087684036602</v>
      </c>
      <c r="BL238">
        <f t="shared" si="252"/>
        <v>15.433801681000109</v>
      </c>
      <c r="BM238" s="43">
        <f t="shared" si="253"/>
        <v>71.681435769982798</v>
      </c>
    </row>
    <row r="239" spans="14:65" x14ac:dyDescent="0.25">
      <c r="N239" s="9">
        <v>21</v>
      </c>
      <c r="O239" s="34">
        <f t="shared" si="254"/>
        <v>1621.8100973589308</v>
      </c>
      <c r="P239" s="33" t="str">
        <f t="shared" si="206"/>
        <v>19.1021967526266</v>
      </c>
      <c r="Q239" s="4" t="str">
        <f t="shared" si="207"/>
        <v>1+2.28718370875727i</v>
      </c>
      <c r="R239" s="4">
        <f t="shared" si="219"/>
        <v>2.4962390345487071</v>
      </c>
      <c r="S239" s="4">
        <f t="shared" si="220"/>
        <v>1.1586218291227839</v>
      </c>
      <c r="T239" s="4" t="str">
        <f t="shared" si="208"/>
        <v>1+0.0383149014891017i</v>
      </c>
      <c r="U239" s="4">
        <f t="shared" si="221"/>
        <v>1.0007337466459896</v>
      </c>
      <c r="V239" s="4">
        <f t="shared" si="222"/>
        <v>3.8296168823405648E-2</v>
      </c>
      <c r="W239" t="str">
        <f t="shared" si="209"/>
        <v>1-0.0212294445307523i</v>
      </c>
      <c r="X239" s="4">
        <f t="shared" si="223"/>
        <v>1.0002253192731547</v>
      </c>
      <c r="Y239" s="4">
        <f t="shared" si="224"/>
        <v>-2.1226256098298302E-2</v>
      </c>
      <c r="Z239" t="str">
        <f t="shared" si="210"/>
        <v>0.999997369732008+0.0157947067308797i</v>
      </c>
      <c r="AA239" s="4">
        <f t="shared" si="225"/>
        <v>1.0001220986617827</v>
      </c>
      <c r="AB239" s="4">
        <f t="shared" si="226"/>
        <v>1.5793435011808202E-2</v>
      </c>
      <c r="AC239" s="47" t="str">
        <f t="shared" si="227"/>
        <v>3.07708914811952-7.01346423841609i</v>
      </c>
      <c r="AD239" s="20">
        <f t="shared" si="228"/>
        <v>17.683210189809444</v>
      </c>
      <c r="AE239" s="43">
        <f t="shared" si="229"/>
        <v>-66.311004074848682</v>
      </c>
      <c r="AF239" t="str">
        <f t="shared" si="211"/>
        <v>69.5520360182888</v>
      </c>
      <c r="AG239" t="str">
        <f t="shared" si="212"/>
        <v>1+1.82451911852866i</v>
      </c>
      <c r="AH239">
        <f t="shared" si="230"/>
        <v>2.0805936686139845</v>
      </c>
      <c r="AI239">
        <f t="shared" si="231"/>
        <v>1.0694209973678328</v>
      </c>
      <c r="AJ239" t="str">
        <f t="shared" si="213"/>
        <v>1+0.0383149014891017i</v>
      </c>
      <c r="AK239">
        <f t="shared" si="232"/>
        <v>1.0007337466459896</v>
      </c>
      <c r="AL239">
        <f t="shared" si="233"/>
        <v>3.8296168823405648E-2</v>
      </c>
      <c r="AM239" t="str">
        <f t="shared" si="214"/>
        <v>1-0.00465113826111909i</v>
      </c>
      <c r="AN239">
        <f t="shared" si="234"/>
        <v>1.0000108164850638</v>
      </c>
      <c r="AO239">
        <f t="shared" si="235"/>
        <v>-4.6511047220613444E-3</v>
      </c>
      <c r="AP239" s="41" t="str">
        <f t="shared" si="236"/>
        <v>17.0567212803195-28.7789308028137i</v>
      </c>
      <c r="AQ239">
        <f t="shared" si="237"/>
        <v>30.488916359335757</v>
      </c>
      <c r="AR239" s="43">
        <f t="shared" si="238"/>
        <v>-59.345589497393725</v>
      </c>
      <c r="AS239" t="str">
        <f t="shared" si="215"/>
        <v>-0.0000166666666666667</v>
      </c>
      <c r="AT239" t="str">
        <f t="shared" si="216"/>
        <v>0.0000346464534741878i</v>
      </c>
      <c r="AU239">
        <f t="shared" si="239"/>
        <v>3.46464534741878E-5</v>
      </c>
      <c r="AV239">
        <f t="shared" si="240"/>
        <v>1.5707963267948966</v>
      </c>
      <c r="AW239" t="str">
        <f t="shared" si="217"/>
        <v>1+0.035209907907851i</v>
      </c>
      <c r="AX239">
        <f t="shared" si="241"/>
        <v>1.0006196768077666</v>
      </c>
      <c r="AY239">
        <f t="shared" si="242"/>
        <v>3.5195368372361799E-2</v>
      </c>
      <c r="AZ239" t="str">
        <f t="shared" si="218"/>
        <v>1+1.19713686886693i</v>
      </c>
      <c r="BA239">
        <f t="shared" si="243"/>
        <v>1.5598514938289854</v>
      </c>
      <c r="BB239">
        <f t="shared" si="244"/>
        <v>0.87488298212875837</v>
      </c>
      <c r="BC239" s="41" t="str">
        <f t="shared" si="245"/>
        <v>-0.558252549993369+0.500705738678568i</v>
      </c>
      <c r="BD239">
        <f t="shared" si="246"/>
        <v>-2.4999164295533722</v>
      </c>
      <c r="BE239" s="43">
        <f t="shared" si="247"/>
        <v>138.11055637765267</v>
      </c>
      <c r="BF239" s="41" t="str">
        <f t="shared" si="248"/>
        <v>1.7938889286972+5.45600049027207i</v>
      </c>
      <c r="BG239" s="20">
        <f t="shared" si="249"/>
        <v>15.18329376025606</v>
      </c>
      <c r="BH239" s="43">
        <f t="shared" si="250"/>
        <v>71.799552302804017</v>
      </c>
      <c r="BI239" s="41" t="str">
        <f t="shared" si="203"/>
        <v>4.88781765673771+24.6063097348503i</v>
      </c>
      <c r="BJ239" s="20">
        <f t="shared" si="251"/>
        <v>27.988999929782391</v>
      </c>
      <c r="BK239" s="43">
        <f t="shared" si="204"/>
        <v>78.764966880258925</v>
      </c>
      <c r="BL239">
        <f t="shared" si="252"/>
        <v>15.18329376025606</v>
      </c>
      <c r="BM239" s="43">
        <f t="shared" si="253"/>
        <v>71.799552302804017</v>
      </c>
    </row>
    <row r="240" spans="14:65" x14ac:dyDescent="0.25">
      <c r="N240" s="9">
        <v>22</v>
      </c>
      <c r="O240" s="34">
        <f t="shared" si="254"/>
        <v>1659.5869074375626</v>
      </c>
      <c r="P240" s="33" t="str">
        <f t="shared" si="206"/>
        <v>19.1021967526266</v>
      </c>
      <c r="Q240" s="4" t="str">
        <f t="shared" si="207"/>
        <v>1+2.34045906123002i</v>
      </c>
      <c r="R240" s="4">
        <f t="shared" si="219"/>
        <v>2.5451421605273259</v>
      </c>
      <c r="S240" s="4">
        <f t="shared" si="220"/>
        <v>1.1670074110478488</v>
      </c>
      <c r="T240" s="4" t="str">
        <f t="shared" si="208"/>
        <v>1+0.0392073701937253i</v>
      </c>
      <c r="U240" s="4">
        <f t="shared" si="221"/>
        <v>1.0007683137857173</v>
      </c>
      <c r="V240" s="4">
        <f t="shared" si="222"/>
        <v>3.9187298612980544E-2</v>
      </c>
      <c r="W240" t="str">
        <f t="shared" si="209"/>
        <v>1-0.0217239418183319i</v>
      </c>
      <c r="X240" s="4">
        <f t="shared" si="223"/>
        <v>1.0002359369909313</v>
      </c>
      <c r="Y240" s="4">
        <f t="shared" si="224"/>
        <v>-2.172052539492722E-2</v>
      </c>
      <c r="Z240" t="str">
        <f t="shared" si="210"/>
        <v>0.999997245771297+0.0161626127128389i</v>
      </c>
      <c r="AA240" s="4">
        <f t="shared" si="225"/>
        <v>1.0001278526267954</v>
      </c>
      <c r="AB240" s="4">
        <f t="shared" si="226"/>
        <v>1.6161250050709952E-2</v>
      </c>
      <c r="AC240" s="47" t="str">
        <f t="shared" si="227"/>
        <v>2.96049482568063-6.90395672951241i</v>
      </c>
      <c r="AD240" s="20">
        <f t="shared" si="228"/>
        <v>17.51503494135234</v>
      </c>
      <c r="AE240" s="43">
        <f t="shared" si="229"/>
        <v>-66.789798345985247</v>
      </c>
      <c r="AF240" t="str">
        <f t="shared" si="211"/>
        <v>69.5520360182888</v>
      </c>
      <c r="AG240" t="str">
        <f t="shared" si="212"/>
        <v>1+1.86701762827264i</v>
      </c>
      <c r="AH240">
        <f t="shared" si="230"/>
        <v>2.1179600620126888</v>
      </c>
      <c r="AI240">
        <f t="shared" si="231"/>
        <v>1.0790654013777992</v>
      </c>
      <c r="AJ240" t="str">
        <f t="shared" si="213"/>
        <v>1+0.0392073701937253i</v>
      </c>
      <c r="AK240">
        <f t="shared" si="232"/>
        <v>1.0007683137857173</v>
      </c>
      <c r="AL240">
        <f t="shared" si="233"/>
        <v>3.9187298612980544E-2</v>
      </c>
      <c r="AM240" t="str">
        <f t="shared" si="214"/>
        <v>1-0.00475947718873207i</v>
      </c>
      <c r="AN240">
        <f t="shared" si="234"/>
        <v>1.0000113262474131</v>
      </c>
      <c r="AO240">
        <f t="shared" si="235"/>
        <v>-4.7594412510061999E-3</v>
      </c>
      <c r="AP240" s="41" t="str">
        <f t="shared" si="236"/>
        <v>16.5051913684117-28.4195621478005i</v>
      </c>
      <c r="AQ240">
        <f t="shared" si="237"/>
        <v>30.33461093065992</v>
      </c>
      <c r="AR240" s="43">
        <f t="shared" si="238"/>
        <v>-59.853322393018431</v>
      </c>
      <c r="AS240" t="str">
        <f t="shared" si="215"/>
        <v>-0.0000166666666666667</v>
      </c>
      <c r="AT240" t="str">
        <f t="shared" si="216"/>
        <v>0.0000354534730475176i</v>
      </c>
      <c r="AU240">
        <f t="shared" si="239"/>
        <v>3.5453473047517601E-5</v>
      </c>
      <c r="AV240">
        <f t="shared" si="240"/>
        <v>1.5707963267948966</v>
      </c>
      <c r="AW240" t="str">
        <f t="shared" si="217"/>
        <v>1+0.0360300520209547i</v>
      </c>
      <c r="AX240">
        <f t="shared" si="241"/>
        <v>1.0006488718070055</v>
      </c>
      <c r="AY240">
        <f t="shared" si="242"/>
        <v>3.6014473173560331E-2</v>
      </c>
      <c r="AZ240" t="str">
        <f t="shared" si="218"/>
        <v>1+1.22502176871246i</v>
      </c>
      <c r="BA240">
        <f t="shared" si="243"/>
        <v>1.5813533235236847</v>
      </c>
      <c r="BB240">
        <f t="shared" si="244"/>
        <v>0.88618786769794022</v>
      </c>
      <c r="BC240" s="41" t="str">
        <f t="shared" si="245"/>
        <v>-0.558219975240185+0.490212384115376i</v>
      </c>
      <c r="BD240">
        <f t="shared" si="246"/>
        <v>-2.5812566034256044</v>
      </c>
      <c r="BE240" s="43">
        <f t="shared" si="247"/>
        <v>138.71134736055768</v>
      </c>
      <c r="BF240" s="41" t="str">
        <f t="shared" si="248"/>
        <v>1.73179773991354+5.30519778126586i</v>
      </c>
      <c r="BG240" s="20">
        <f t="shared" si="249"/>
        <v>14.933778337926737</v>
      </c>
      <c r="BH240" s="43">
        <f t="shared" si="250"/>
        <v>71.921549014572378</v>
      </c>
      <c r="BI240" s="41" t="str">
        <f t="shared" si="203"/>
        <v>4.71809379897909+23.9554164894717i</v>
      </c>
      <c r="BJ240" s="20">
        <f t="shared" si="251"/>
        <v>27.753354327234309</v>
      </c>
      <c r="BK240" s="43">
        <f t="shared" si="204"/>
        <v>78.858024967539222</v>
      </c>
      <c r="BL240">
        <f t="shared" si="252"/>
        <v>14.933778337926737</v>
      </c>
      <c r="BM240" s="43">
        <f t="shared" si="253"/>
        <v>71.921549014572378</v>
      </c>
    </row>
    <row r="241" spans="14:65" x14ac:dyDescent="0.25">
      <c r="N241" s="9">
        <v>23</v>
      </c>
      <c r="O241" s="34">
        <f t="shared" si="254"/>
        <v>1698.2436524617447</v>
      </c>
      <c r="P241" s="33" t="str">
        <f t="shared" si="206"/>
        <v>19.1021967526266</v>
      </c>
      <c r="Q241" s="4" t="str">
        <f t="shared" si="207"/>
        <v>1+2.39497535607667i</v>
      </c>
      <c r="R241" s="4">
        <f t="shared" si="219"/>
        <v>2.5953625866561638</v>
      </c>
      <c r="S241" s="4">
        <f t="shared" si="220"/>
        <v>1.175260588388042</v>
      </c>
      <c r="T241" s="4" t="str">
        <f t="shared" si="208"/>
        <v>1+0.0401206271649963i</v>
      </c>
      <c r="U241" s="4">
        <f t="shared" si="221"/>
        <v>1.000804508744896</v>
      </c>
      <c r="V241" s="4">
        <f t="shared" si="222"/>
        <v>4.0099121012376657E-2</v>
      </c>
      <c r="W241" t="str">
        <f t="shared" si="209"/>
        <v>1-0.0222299574274138i</v>
      </c>
      <c r="X241" s="4">
        <f t="shared" si="223"/>
        <v>1.0002470549855293</v>
      </c>
      <c r="Y241" s="4">
        <f t="shared" si="224"/>
        <v>-2.2226296712613166E-2</v>
      </c>
      <c r="Z241" t="str">
        <f t="shared" si="210"/>
        <v>0.999997115968497+0.0165390883259958i</v>
      </c>
      <c r="AA241" s="4">
        <f t="shared" si="225"/>
        <v>1.0001338777323598</v>
      </c>
      <c r="AB241" s="4">
        <f t="shared" si="226"/>
        <v>1.6537628217772781E-2</v>
      </c>
      <c r="AC241" s="47" t="str">
        <f t="shared" si="227"/>
        <v>2.84755288614809-6.79429040909277i</v>
      </c>
      <c r="AD241" s="20">
        <f t="shared" si="228"/>
        <v>17.345673406627377</v>
      </c>
      <c r="AE241" s="43">
        <f t="shared" si="229"/>
        <v>-67.260970442376205</v>
      </c>
      <c r="AF241" t="str">
        <f t="shared" si="211"/>
        <v>69.5520360182888</v>
      </c>
      <c r="AG241" t="str">
        <f t="shared" si="212"/>
        <v>1+1.91050605547602i</v>
      </c>
      <c r="AH241">
        <f t="shared" si="230"/>
        <v>2.1563936069304561</v>
      </c>
      <c r="AI241">
        <f t="shared" si="231"/>
        <v>1.0885875391820186</v>
      </c>
      <c r="AJ241" t="str">
        <f t="shared" si="213"/>
        <v>1+0.0401206271649963i</v>
      </c>
      <c r="AK241">
        <f t="shared" si="232"/>
        <v>1.000804508744896</v>
      </c>
      <c r="AL241">
        <f t="shared" si="233"/>
        <v>4.0099121012376657E-2</v>
      </c>
      <c r="AM241" t="str">
        <f t="shared" si="214"/>
        <v>1-0.00487033965414962i</v>
      </c>
      <c r="AN241">
        <f t="shared" si="234"/>
        <v>1.0000118600338432</v>
      </c>
      <c r="AO241">
        <f t="shared" si="235"/>
        <v>-4.87030114620723E-3</v>
      </c>
      <c r="AP241" s="41" t="str">
        <f t="shared" si="236"/>
        <v>15.9675563541178-28.0543838390872i</v>
      </c>
      <c r="AQ241">
        <f t="shared" si="237"/>
        <v>30.178724322053888</v>
      </c>
      <c r="AR241" s="43">
        <f t="shared" si="238"/>
        <v>-60.353008930103648</v>
      </c>
      <c r="AS241" t="str">
        <f t="shared" si="215"/>
        <v>-0.0000166666666666667</v>
      </c>
      <c r="AT241" t="str">
        <f t="shared" si="216"/>
        <v>0.0000362792905215393i</v>
      </c>
      <c r="AU241">
        <f t="shared" si="239"/>
        <v>3.6279290521539303E-5</v>
      </c>
      <c r="AV241">
        <f t="shared" si="240"/>
        <v>1.5707963267948966</v>
      </c>
      <c r="AW241" t="str">
        <f t="shared" si="217"/>
        <v>1+0.0368692997445539i</v>
      </c>
      <c r="AX241">
        <f t="shared" si="241"/>
        <v>1.0006794418112395</v>
      </c>
      <c r="AY241">
        <f t="shared" si="242"/>
        <v>3.6852607320906526E-2</v>
      </c>
      <c r="AZ241" t="str">
        <f t="shared" si="218"/>
        <v>1+1.25355619131483i</v>
      </c>
      <c r="BA241">
        <f t="shared" si="243"/>
        <v>1.6035595170693673</v>
      </c>
      <c r="BB241">
        <f t="shared" si="244"/>
        <v>0.89744076240703052</v>
      </c>
      <c r="BC241" s="41" t="str">
        <f t="shared" si="245"/>
        <v>-0.558185869360446+0.479978836141128i</v>
      </c>
      <c r="BD241">
        <f t="shared" si="246"/>
        <v>-2.6603985950391937</v>
      </c>
      <c r="BE241" s="43">
        <f t="shared" si="247"/>
        <v>139.30806918538482</v>
      </c>
      <c r="BF241" s="41" t="str">
        <f t="shared" si="248"/>
        <v>1.67165181965676+5.15924201883046i</v>
      </c>
      <c r="BG241" s="20">
        <f t="shared" si="249"/>
        <v>14.685274811588187</v>
      </c>
      <c r="BH241" s="43">
        <f t="shared" si="250"/>
        <v>72.047098743008632</v>
      </c>
      <c r="BI241" s="41" t="str">
        <f t="shared" si="203"/>
        <v>4.55264617865639+23.3236497474599i</v>
      </c>
      <c r="BJ241" s="20">
        <f t="shared" si="251"/>
        <v>27.518325727014709</v>
      </c>
      <c r="BK241" s="43">
        <f t="shared" si="204"/>
        <v>78.955060255281197</v>
      </c>
      <c r="BL241">
        <f t="shared" si="252"/>
        <v>14.685274811588187</v>
      </c>
      <c r="BM241" s="43">
        <f t="shared" si="253"/>
        <v>72.047098743008632</v>
      </c>
    </row>
    <row r="242" spans="14:65" x14ac:dyDescent="0.25">
      <c r="N242" s="9">
        <v>24</v>
      </c>
      <c r="O242" s="34">
        <f t="shared" si="254"/>
        <v>1737.8008287493772</v>
      </c>
      <c r="P242" s="33" t="str">
        <f t="shared" si="206"/>
        <v>19.1021967526266</v>
      </c>
      <c r="Q242" s="4" t="str">
        <f t="shared" si="207"/>
        <v>1+2.45076149855837i</v>
      </c>
      <c r="R242" s="4">
        <f t="shared" si="219"/>
        <v>2.6469287717685317</v>
      </c>
      <c r="S242" s="4">
        <f t="shared" si="220"/>
        <v>1.1833812387188449</v>
      </c>
      <c r="T242" s="4" t="str">
        <f t="shared" si="208"/>
        <v>1+0.0410551566238497i</v>
      </c>
      <c r="U242" s="4">
        <f t="shared" si="221"/>
        <v>1.0008424081169867</v>
      </c>
      <c r="V242" s="4">
        <f t="shared" si="222"/>
        <v>4.1032113413581255E-2</v>
      </c>
      <c r="W242" t="str">
        <f t="shared" si="209"/>
        <v>1-0.0227477596541721i</v>
      </c>
      <c r="X242" s="4">
        <f t="shared" si="223"/>
        <v>1.000258696822619</v>
      </c>
      <c r="Y242" s="4">
        <f t="shared" si="224"/>
        <v>-2.2743837182381262E-2</v>
      </c>
      <c r="Z242" t="str">
        <f t="shared" si="210"/>
        <v>0.99999698004828+0.016924333182704i</v>
      </c>
      <c r="AA242" s="4">
        <f t="shared" si="225"/>
        <v>1.0001401867535167</v>
      </c>
      <c r="AB242" s="4">
        <f t="shared" si="226"/>
        <v>1.6922768660397613E-2</v>
      </c>
      <c r="AC242" s="47" t="str">
        <f t="shared" si="227"/>
        <v>2.73820848750041-6.68458668307393i</v>
      </c>
      <c r="AD242" s="20">
        <f t="shared" si="228"/>
        <v>17.175164329592764</v>
      </c>
      <c r="AE242" s="43">
        <f t="shared" si="229"/>
        <v>-67.724512712853041</v>
      </c>
      <c r="AF242" t="str">
        <f t="shared" si="211"/>
        <v>69.5520360182888</v>
      </c>
      <c r="AG242" t="str">
        <f t="shared" si="212"/>
        <v>1+1.95500745827856i</v>
      </c>
      <c r="AH242">
        <f t="shared" si="230"/>
        <v>2.1959176127361415</v>
      </c>
      <c r="AI242">
        <f t="shared" si="231"/>
        <v>1.0979855516462222</v>
      </c>
      <c r="AJ242" t="str">
        <f t="shared" si="213"/>
        <v>1+0.0410551566238497i</v>
      </c>
      <c r="AK242">
        <f t="shared" si="232"/>
        <v>1.0008424081169867</v>
      </c>
      <c r="AL242">
        <f t="shared" si="233"/>
        <v>4.1032113413581255E-2</v>
      </c>
      <c r="AM242" t="str">
        <f t="shared" si="214"/>
        <v>1-0.0049837844381184i</v>
      </c>
      <c r="AN242">
        <f t="shared" si="234"/>
        <v>1.0000124189765474</v>
      </c>
      <c r="AO242">
        <f t="shared" si="235"/>
        <v>-4.983743176142399E-3</v>
      </c>
      <c r="AP242" s="41" t="str">
        <f t="shared" si="236"/>
        <v>15.4438462007612-27.6839971295041i</v>
      </c>
      <c r="AQ242">
        <f t="shared" si="237"/>
        <v>30.021297966701024</v>
      </c>
      <c r="AR242" s="43">
        <f t="shared" si="238"/>
        <v>-60.844518602741786</v>
      </c>
      <c r="AS242" t="str">
        <f t="shared" si="215"/>
        <v>-0.0000166666666666667</v>
      </c>
      <c r="AT242" t="str">
        <f t="shared" si="216"/>
        <v>0.0000371243437556088i</v>
      </c>
      <c r="AU242">
        <f t="shared" si="239"/>
        <v>3.7124343755608802E-5</v>
      </c>
      <c r="AV242">
        <f t="shared" si="240"/>
        <v>1.5707963267948966</v>
      </c>
      <c r="AW242" t="str">
        <f t="shared" si="217"/>
        <v>1+0.0377280960589007i</v>
      </c>
      <c r="AX242">
        <f t="shared" si="241"/>
        <v>1.0007114515344719</v>
      </c>
      <c r="AY242">
        <f t="shared" si="242"/>
        <v>3.7710210491425186E-2</v>
      </c>
      <c r="AZ242" t="str">
        <f t="shared" si="218"/>
        <v>1+1.28275526600263i</v>
      </c>
      <c r="BA242">
        <f t="shared" si="243"/>
        <v>1.62648734162227</v>
      </c>
      <c r="BB242">
        <f t="shared" si="244"/>
        <v>0.90863623393969528</v>
      </c>
      <c r="BC242" s="41" t="str">
        <f t="shared" si="245"/>
        <v>-0.558150160586655+0.469999660911646i</v>
      </c>
      <c r="BD242">
        <f t="shared" si="246"/>
        <v>-2.7373643545916071</v>
      </c>
      <c r="BE242" s="43">
        <f t="shared" si="247"/>
        <v>139.90038541169758</v>
      </c>
      <c r="BF242" s="41" t="str">
        <f t="shared" si="248"/>
        <v>1.61342196736116+5.01796019124371i</v>
      </c>
      <c r="BG242" s="20">
        <f t="shared" si="249"/>
        <v>14.437799975001155</v>
      </c>
      <c r="BH242" s="43">
        <f t="shared" si="250"/>
        <v>72.175872698844515</v>
      </c>
      <c r="BI242" s="41" t="str">
        <f t="shared" ref="BI242:BI305" si="255">IMPRODUCT(AP242,BC242)</f>
        <v>4.39148402651544+22.7104299210426i</v>
      </c>
      <c r="BJ242" s="20">
        <f t="shared" si="251"/>
        <v>27.283933612109422</v>
      </c>
      <c r="BK242" s="43">
        <f t="shared" ref="BK242:BK305" si="256">(180/PI())*IMARGUMENT(BI242)</f>
        <v>79.055866808955841</v>
      </c>
      <c r="BL242">
        <f t="shared" si="252"/>
        <v>14.437799975001155</v>
      </c>
      <c r="BM242" s="43">
        <f t="shared" si="253"/>
        <v>72.175872698844515</v>
      </c>
    </row>
    <row r="243" spans="14:65" x14ac:dyDescent="0.25">
      <c r="N243" s="9">
        <v>25</v>
      </c>
      <c r="O243" s="34">
        <f t="shared" si="254"/>
        <v>1778.2794100389244</v>
      </c>
      <c r="P243" s="33" t="str">
        <f t="shared" si="206"/>
        <v>19.1021967526266</v>
      </c>
      <c r="Q243" s="4" t="str">
        <f t="shared" si="207"/>
        <v>1+2.50784706722627i</v>
      </c>
      <c r="R243" s="4">
        <f t="shared" si="219"/>
        <v>2.6998697954892941</v>
      </c>
      <c r="S243" s="4">
        <f t="shared" si="220"/>
        <v>1.1913693825408791</v>
      </c>
      <c r="T243" s="4" t="str">
        <f t="shared" si="208"/>
        <v>1+0.0420114540701744i</v>
      </c>
      <c r="U243" s="4">
        <f t="shared" si="221"/>
        <v>1.0008820920933146</v>
      </c>
      <c r="V243" s="4">
        <f t="shared" si="222"/>
        <v>4.1986764000639436E-2</v>
      </c>
      <c r="W243" t="str">
        <f t="shared" si="209"/>
        <v>1-0.0232776230442013i</v>
      </c>
      <c r="X243" s="4">
        <f t="shared" si="223"/>
        <v>1.0002708871773625</v>
      </c>
      <c r="Y243" s="4">
        <f t="shared" si="224"/>
        <v>-2.3273420101425357E-2</v>
      </c>
      <c r="Z243" t="str">
        <f t="shared" si="210"/>
        <v>0.99999683772234+0.0173185515448857i</v>
      </c>
      <c r="AA243" s="4">
        <f t="shared" si="225"/>
        <v>1.000146793067044</v>
      </c>
      <c r="AB243" s="4">
        <f t="shared" si="226"/>
        <v>1.7316875142317983E-2</v>
      </c>
      <c r="AC243" s="47" t="str">
        <f t="shared" si="227"/>
        <v>2.63240283967742-6.57496128589338i</v>
      </c>
      <c r="AD243" s="20">
        <f t="shared" si="228"/>
        <v>17.003545894100085</v>
      </c>
      <c r="AE243" s="43">
        <f t="shared" si="229"/>
        <v>-68.18042569470721</v>
      </c>
      <c r="AF243" t="str">
        <f t="shared" si="211"/>
        <v>69.5520360182888</v>
      </c>
      <c r="AG243" t="str">
        <f t="shared" si="212"/>
        <v>1+2.00054543191307i</v>
      </c>
      <c r="AH243">
        <f t="shared" si="230"/>
        <v>2.236555839935201</v>
      </c>
      <c r="AI243">
        <f t="shared" si="231"/>
        <v>1.1072577803817856</v>
      </c>
      <c r="AJ243" t="str">
        <f t="shared" si="213"/>
        <v>1+0.0420114540701744i</v>
      </c>
      <c r="AK243">
        <f t="shared" si="232"/>
        <v>1.0008820920933146</v>
      </c>
      <c r="AL243">
        <f t="shared" si="233"/>
        <v>4.1986764000639436E-2</v>
      </c>
      <c r="AM243" t="str">
        <f t="shared" si="214"/>
        <v>1-0.00509987169056445i</v>
      </c>
      <c r="AN243">
        <f t="shared" si="234"/>
        <v>1.0000130042610746</v>
      </c>
      <c r="AO243">
        <f t="shared" si="235"/>
        <v>-5.0998274775916454E-3</v>
      </c>
      <c r="AP243" s="41" t="str">
        <f t="shared" si="236"/>
        <v>14.9340605890136-27.3089909841054i</v>
      </c>
      <c r="AQ243">
        <f t="shared" si="237"/>
        <v>29.862373372347161</v>
      </c>
      <c r="AR243" s="43">
        <f t="shared" si="238"/>
        <v>-61.327731866962019</v>
      </c>
      <c r="AS243" t="str">
        <f t="shared" si="215"/>
        <v>-0.0000166666666666667</v>
      </c>
      <c r="AT243" t="str">
        <f t="shared" si="216"/>
        <v>0.0000379890808081363i</v>
      </c>
      <c r="AU243">
        <f t="shared" si="239"/>
        <v>3.7989080808136297E-5</v>
      </c>
      <c r="AV243">
        <f t="shared" si="240"/>
        <v>1.5707963267948966</v>
      </c>
      <c r="AW243" t="str">
        <f t="shared" si="217"/>
        <v>1+0.0386068963091684i</v>
      </c>
      <c r="AX243">
        <f t="shared" si="241"/>
        <v>1.0007449687321075</v>
      </c>
      <c r="AY243">
        <f t="shared" si="242"/>
        <v>3.8587732348766786E-2</v>
      </c>
      <c r="AZ243" t="str">
        <f t="shared" si="218"/>
        <v>1+1.31263447451173i</v>
      </c>
      <c r="BA243">
        <f t="shared" si="243"/>
        <v>1.6501543151101614</v>
      </c>
      <c r="BB243">
        <f t="shared" si="244"/>
        <v>0.91976899307418702</v>
      </c>
      <c r="BC243" s="41" t="str">
        <f t="shared" si="245"/>
        <v>-0.558112773806713+0.460269558893508i</v>
      </c>
      <c r="BD243">
        <f t="shared" si="246"/>
        <v>-2.8121778347051798</v>
      </c>
      <c r="BE243" s="43">
        <f t="shared" si="247"/>
        <v>140.4879672255835</v>
      </c>
      <c r="BF243" s="41" t="str">
        <f t="shared" si="248"/>
        <v>1.55707688017101+4.88118477479005i</v>
      </c>
      <c r="BG243" s="20">
        <f t="shared" si="249"/>
        <v>14.191368059394909</v>
      </c>
      <c r="BH243" s="43">
        <f t="shared" si="250"/>
        <v>72.30754153087625</v>
      </c>
      <c r="BI243" s="41" t="str">
        <f t="shared" si="255"/>
        <v>4.23460725454908+22.1151901877958i</v>
      </c>
      <c r="BJ243" s="20">
        <f t="shared" si="251"/>
        <v>27.050195537641983</v>
      </c>
      <c r="BK243" s="43">
        <f t="shared" si="256"/>
        <v>79.160235358621506</v>
      </c>
      <c r="BL243">
        <f t="shared" si="252"/>
        <v>14.191368059394909</v>
      </c>
      <c r="BM243" s="43">
        <f t="shared" si="253"/>
        <v>72.30754153087625</v>
      </c>
    </row>
    <row r="244" spans="14:65" x14ac:dyDescent="0.25">
      <c r="N244" s="9">
        <v>26</v>
      </c>
      <c r="O244" s="34">
        <f t="shared" si="254"/>
        <v>1819.7008586099832</v>
      </c>
      <c r="P244" s="33" t="str">
        <f t="shared" si="206"/>
        <v>19.1021967526266</v>
      </c>
      <c r="Q244" s="4" t="str">
        <f t="shared" si="207"/>
        <v>1+2.56626232960446i</v>
      </c>
      <c r="R244" s="4">
        <f t="shared" si="219"/>
        <v>2.7542153772620819</v>
      </c>
      <c r="S244" s="4">
        <f t="shared" si="220"/>
        <v>1.1992251764169124</v>
      </c>
      <c r="T244" s="4" t="str">
        <f t="shared" si="208"/>
        <v>1+0.0429900265455339i</v>
      </c>
      <c r="U244" s="4">
        <f t="shared" si="221"/>
        <v>1.0009236446314902</v>
      </c>
      <c r="V244" s="4">
        <f t="shared" si="222"/>
        <v>4.2963571977735579E-2</v>
      </c>
      <c r="W244" t="str">
        <f t="shared" si="209"/>
        <v>1-0.023819828538084i</v>
      </c>
      <c r="X244" s="4">
        <f t="shared" si="223"/>
        <v>1.0002836518865954</v>
      </c>
      <c r="Y244" s="4">
        <f t="shared" si="224"/>
        <v>-2.3815325072731239E-2</v>
      </c>
      <c r="Z244" t="str">
        <f t="shared" si="210"/>
        <v>0.999996688688785+0.0177219524323345i</v>
      </c>
      <c r="AA244" s="4">
        <f t="shared" si="225"/>
        <v>1.000153710679788</v>
      </c>
      <c r="AB244" s="4">
        <f t="shared" si="226"/>
        <v>1.7720156149527874E-2</v>
      </c>
      <c r="AC244" s="47" t="str">
        <f t="shared" si="227"/>
        <v>2.53007363446324-6.46552425373564i</v>
      </c>
      <c r="AD244" s="20">
        <f t="shared" si="228"/>
        <v>16.830855686447997</v>
      </c>
      <c r="AE244" s="43">
        <f t="shared" si="229"/>
        <v>-68.628717721470181</v>
      </c>
      <c r="AF244" t="str">
        <f t="shared" si="211"/>
        <v>69.5520360182888</v>
      </c>
      <c r="AG244" t="str">
        <f t="shared" si="212"/>
        <v>1+2.0471441212159i</v>
      </c>
      <c r="AH244">
        <f t="shared" si="230"/>
        <v>2.2783325159047392</v>
      </c>
      <c r="AI244">
        <f t="shared" si="231"/>
        <v>1.1164027633444658</v>
      </c>
      <c r="AJ244" t="str">
        <f t="shared" si="213"/>
        <v>1+0.0429900265455339i</v>
      </c>
      <c r="AK244">
        <f t="shared" si="232"/>
        <v>1.0009236446314902</v>
      </c>
      <c r="AL244">
        <f t="shared" si="233"/>
        <v>4.2963571977735579E-2</v>
      </c>
      <c r="AM244" t="str">
        <f t="shared" si="214"/>
        <v>1-0.00521866296248557i</v>
      </c>
      <c r="AN244">
        <f t="shared" si="234"/>
        <v>1.000013617128845</v>
      </c>
      <c r="AO244">
        <f t="shared" si="235"/>
        <v>-5.2186155874665097E-3</v>
      </c>
      <c r="AP244" s="41" t="str">
        <f t="shared" si="236"/>
        <v>14.4381704855509-26.9299405902204i</v>
      </c>
      <c r="AQ244">
        <f t="shared" si="237"/>
        <v>29.701992036328026</v>
      </c>
      <c r="AR244" s="43">
        <f t="shared" si="238"/>
        <v>-61.80253987731259</v>
      </c>
      <c r="AS244" t="str">
        <f t="shared" si="215"/>
        <v>-0.0000166666666666667</v>
      </c>
      <c r="AT244" t="str">
        <f t="shared" si="216"/>
        <v>0.0000388739601741531i</v>
      </c>
      <c r="AU244">
        <f t="shared" si="239"/>
        <v>3.8873960174153103E-5</v>
      </c>
      <c r="AV244">
        <f t="shared" si="240"/>
        <v>1.5707963267948966</v>
      </c>
      <c r="AW244" t="str">
        <f t="shared" si="217"/>
        <v>1+0.0395061664468815i</v>
      </c>
      <c r="AX244">
        <f t="shared" si="241"/>
        <v>1.0007800643434743</v>
      </c>
      <c r="AY244">
        <f t="shared" si="242"/>
        <v>3.9485632757702317E-2</v>
      </c>
      <c r="AZ244" t="str">
        <f t="shared" si="218"/>
        <v>1+1.34320965919397i</v>
      </c>
      <c r="BA244">
        <f t="shared" si="243"/>
        <v>1.6745782121334256</v>
      </c>
      <c r="BB244">
        <f t="shared" si="244"/>
        <v>0.93083390484281181</v>
      </c>
      <c r="BC244" s="41" t="str">
        <f t="shared" si="245"/>
        <v>-0.558073630409951+0.450783362014359i</v>
      </c>
      <c r="BD244">
        <f t="shared" si="246"/>
        <v>-2.8848649007317122</v>
      </c>
      <c r="BE244" s="43">
        <f t="shared" si="247"/>
        <v>141.07049406675532</v>
      </c>
      <c r="BF244" s="41" t="str">
        <f t="shared" si="248"/>
        <v>1.50258338189493+4.74875369187307i</v>
      </c>
      <c r="BG244" s="20">
        <f t="shared" si="249"/>
        <v>13.945990785716294</v>
      </c>
      <c r="BH244" s="43">
        <f t="shared" si="250"/>
        <v>72.441776345285191</v>
      </c>
      <c r="BI244" s="41" t="str">
        <f t="shared" si="255"/>
        <v>4.08200693875731+21.5373767447217i</v>
      </c>
      <c r="BJ244" s="20">
        <f t="shared" si="251"/>
        <v>26.817127135596309</v>
      </c>
      <c r="BK244" s="43">
        <f t="shared" si="256"/>
        <v>79.267954189442733</v>
      </c>
      <c r="BL244">
        <f t="shared" si="252"/>
        <v>13.945990785716294</v>
      </c>
      <c r="BM244" s="43">
        <f t="shared" si="253"/>
        <v>72.441776345285191</v>
      </c>
    </row>
    <row r="245" spans="14:65" x14ac:dyDescent="0.25">
      <c r="N245" s="9">
        <v>27</v>
      </c>
      <c r="O245" s="34">
        <f t="shared" si="254"/>
        <v>1862.0871366628687</v>
      </c>
      <c r="P245" s="33" t="str">
        <f t="shared" si="206"/>
        <v>19.1021967526266</v>
      </c>
      <c r="Q245" s="4" t="str">
        <f t="shared" si="207"/>
        <v>1+2.62603825823833i</v>
      </c>
      <c r="R245" s="4">
        <f t="shared" si="219"/>
        <v>2.809995895678747</v>
      </c>
      <c r="S245" s="4">
        <f t="shared" si="220"/>
        <v>1.2069489060940106</v>
      </c>
      <c r="T245" s="4" t="str">
        <f t="shared" si="208"/>
        <v>1+0.0439913929020084i</v>
      </c>
      <c r="U245" s="4">
        <f t="shared" si="221"/>
        <v>1.0009671536316558</v>
      </c>
      <c r="V245" s="4">
        <f t="shared" si="222"/>
        <v>4.3963047800940992E-2</v>
      </c>
      <c r="W245" t="str">
        <f t="shared" si="209"/>
        <v>1-0.0243746636203504i</v>
      </c>
      <c r="X245" s="4">
        <f t="shared" si="223"/>
        <v>1.0002970180034554</v>
      </c>
      <c r="Y245" s="4">
        <f t="shared" si="224"/>
        <v>-2.4369838147667706E-2</v>
      </c>
      <c r="Z245" t="str">
        <f t="shared" si="210"/>
        <v>0.999996532631495+0.0181347497335407i</v>
      </c>
      <c r="AA245" s="4">
        <f t="shared" si="225"/>
        <v>1.0001609542583187</v>
      </c>
      <c r="AB245" s="4">
        <f t="shared" si="226"/>
        <v>1.8132824998562481E-2</v>
      </c>
      <c r="AC245" s="47" t="str">
        <f t="shared" si="227"/>
        <v>2.43115546029094-6.35637992634325i</v>
      </c>
      <c r="AD245" s="20">
        <f t="shared" si="228"/>
        <v>16.657130662438441</v>
      </c>
      <c r="AE245" s="43">
        <f t="shared" si="229"/>
        <v>-69.069404529937714</v>
      </c>
      <c r="AF245" t="str">
        <f t="shared" si="211"/>
        <v>69.5520360182888</v>
      </c>
      <c r="AG245" t="str">
        <f t="shared" si="212"/>
        <v>1+2.09482823342897i</v>
      </c>
      <c r="AH245">
        <f t="shared" si="230"/>
        <v>2.3212723510116469</v>
      </c>
      <c r="AI245">
        <f t="shared" si="231"/>
        <v>1.1254192299582566</v>
      </c>
      <c r="AJ245" t="str">
        <f t="shared" si="213"/>
        <v>1+0.0439913929020084i</v>
      </c>
      <c r="AK245">
        <f t="shared" si="232"/>
        <v>1.0009671536316558</v>
      </c>
      <c r="AL245">
        <f t="shared" si="233"/>
        <v>4.3963047800940992E-2</v>
      </c>
      <c r="AM245" t="str">
        <f t="shared" si="214"/>
        <v>1-0.0053402212385866i</v>
      </c>
      <c r="AN245">
        <f t="shared" si="234"/>
        <v>1.0000142588797807</v>
      </c>
      <c r="AO245">
        <f t="shared" si="235"/>
        <v>-5.340170475378183E-3</v>
      </c>
      <c r="AP245" s="41" t="str">
        <f t="shared" si="236"/>
        <v>13.956119766053-26.5474060313605i</v>
      </c>
      <c r="AQ245">
        <f t="shared" si="237"/>
        <v>29.54019536534225</v>
      </c>
      <c r="AR245" s="43">
        <f t="shared" si="238"/>
        <v>-62.268844196064855</v>
      </c>
      <c r="AS245" t="str">
        <f t="shared" si="215"/>
        <v>-0.0000166666666666667</v>
      </c>
      <c r="AT245" t="str">
        <f t="shared" si="216"/>
        <v>0.000039779451028412i</v>
      </c>
      <c r="AU245">
        <f t="shared" si="239"/>
        <v>3.9779451028411999E-5</v>
      </c>
      <c r="AV245">
        <f t="shared" si="240"/>
        <v>1.5707963267948966</v>
      </c>
      <c r="AW245" t="str">
        <f t="shared" si="217"/>
        <v>1+0.0404263832769708i</v>
      </c>
      <c r="AX245">
        <f t="shared" si="241"/>
        <v>1.0008168126409831</v>
      </c>
      <c r="AY245">
        <f t="shared" si="242"/>
        <v>4.0404382002331429E-2</v>
      </c>
      <c r="AZ245" t="str">
        <f t="shared" si="218"/>
        <v>1+1.37449703141701i</v>
      </c>
      <c r="BA245">
        <f t="shared" si="243"/>
        <v>1.6997770704931201</v>
      </c>
      <c r="BB245">
        <f t="shared" si="244"/>
        <v>0.94182599879956275</v>
      </c>
      <c r="BC245" s="41" t="str">
        <f t="shared" si="245"/>
        <v>-0.558032648126224+0.441536030880126i</v>
      </c>
      <c r="BD245">
        <f t="shared" si="246"/>
        <v>-2.9554532354700642</v>
      </c>
      <c r="BE245" s="43">
        <f t="shared" si="247"/>
        <v>141.64765420434034</v>
      </c>
      <c r="BF245" s="41" t="str">
        <f t="shared" si="248"/>
        <v>1.44990664393102+4.6205102551831i</v>
      </c>
      <c r="BG245" s="20">
        <f t="shared" si="249"/>
        <v>13.70167742696837</v>
      </c>
      <c r="BH245" s="43">
        <f t="shared" si="250"/>
        <v>72.578249674402642</v>
      </c>
      <c r="BI245" s="41" t="str">
        <f t="shared" si="255"/>
        <v>3.93366581863274+20.9764490165529i</v>
      </c>
      <c r="BJ245" s="20">
        <f t="shared" si="251"/>
        <v>26.584742129872183</v>
      </c>
      <c r="BK245" s="43">
        <f t="shared" si="256"/>
        <v>79.37881000827548</v>
      </c>
      <c r="BL245">
        <f t="shared" si="252"/>
        <v>13.70167742696837</v>
      </c>
      <c r="BM245" s="43">
        <f t="shared" si="253"/>
        <v>72.578249674402642</v>
      </c>
    </row>
    <row r="246" spans="14:65" x14ac:dyDescent="0.25">
      <c r="N246" s="9">
        <v>28</v>
      </c>
      <c r="O246" s="34">
        <f t="shared" si="254"/>
        <v>1905.4607179632501</v>
      </c>
      <c r="P246" s="33" t="str">
        <f t="shared" si="206"/>
        <v>19.1021967526266</v>
      </c>
      <c r="Q246" s="4" t="str">
        <f t="shared" si="207"/>
        <v>1+2.68720654711646i</v>
      </c>
      <c r="R246" s="4">
        <f t="shared" si="219"/>
        <v>2.8672424081101981</v>
      </c>
      <c r="S246" s="4">
        <f t="shared" si="220"/>
        <v>1.2145409796438</v>
      </c>
      <c r="T246" s="4" t="str">
        <f t="shared" si="208"/>
        <v>1+0.0450160840772948i</v>
      </c>
      <c r="U246" s="4">
        <f t="shared" si="221"/>
        <v>1.0010127111209197</v>
      </c>
      <c r="V246" s="4">
        <f t="shared" si="222"/>
        <v>4.4985713413591588E-2</v>
      </c>
      <c r="W246" t="str">
        <f t="shared" si="209"/>
        <v>1-0.0249424224719054i</v>
      </c>
      <c r="X246" s="4">
        <f t="shared" si="223"/>
        <v>1.0003110138545745</v>
      </c>
      <c r="Y246" s="4">
        <f t="shared" si="224"/>
        <v>-2.4937251971591041E-2</v>
      </c>
      <c r="Z246" t="str">
        <f t="shared" si="210"/>
        <v>0.999996369219452+0.0185571623190976i</v>
      </c>
      <c r="AA246" s="4">
        <f t="shared" si="225"/>
        <v>1.0001685391599877</v>
      </c>
      <c r="AB246" s="4">
        <f t="shared" si="226"/>
        <v>1.8555099947178289E-2</v>
      </c>
      <c r="AC246" s="47" t="str">
        <f t="shared" si="227"/>
        <v>2.33558020056803-6.24762697497895i</v>
      </c>
      <c r="AD246" s="20">
        <f t="shared" si="228"/>
        <v>16.48240711877359</v>
      </c>
      <c r="AE246" s="43">
        <f t="shared" si="229"/>
        <v>-69.502508868333493</v>
      </c>
      <c r="AF246" t="str">
        <f t="shared" si="211"/>
        <v>69.5520360182888</v>
      </c>
      <c r="AG246" t="str">
        <f t="shared" si="212"/>
        <v>1+2.14362305129976i</v>
      </c>
      <c r="AH246">
        <f t="shared" si="230"/>
        <v>2.3654005550992188</v>
      </c>
      <c r="AI246">
        <f t="shared" si="231"/>
        <v>1.1343060958192517</v>
      </c>
      <c r="AJ246" t="str">
        <f t="shared" si="213"/>
        <v>1+0.0450160840772948i</v>
      </c>
      <c r="AK246">
        <f t="shared" si="232"/>
        <v>1.0010127111209197</v>
      </c>
      <c r="AL246">
        <f t="shared" si="233"/>
        <v>4.4985713413591588E-2</v>
      </c>
      <c r="AM246" t="str">
        <f t="shared" si="214"/>
        <v>1-0.00546461097067456i</v>
      </c>
      <c r="AN246">
        <f t="shared" si="234"/>
        <v>1.0000149308750648</v>
      </c>
      <c r="AO246">
        <f t="shared" si="235"/>
        <v>-5.4645565769606075E-3</v>
      </c>
      <c r="AP246" s="41" t="str">
        <f t="shared" si="236"/>
        <v>13.4878268767649-26.1619311228857i</v>
      </c>
      <c r="AQ246">
        <f t="shared" si="237"/>
        <v>29.377024600110914</v>
      </c>
      <c r="AR246" s="43">
        <f t="shared" si="238"/>
        <v>-62.726556478191561</v>
      </c>
      <c r="AS246" t="str">
        <f t="shared" si="215"/>
        <v>-0.0000166666666666667</v>
      </c>
      <c r="AT246" t="str">
        <f t="shared" si="216"/>
        <v>0.0000407060334741495i</v>
      </c>
      <c r="AU246">
        <f t="shared" si="239"/>
        <v>4.0706033474149498E-5</v>
      </c>
      <c r="AV246">
        <f t="shared" si="240"/>
        <v>1.5707963267948966</v>
      </c>
      <c r="AW246" t="str">
        <f t="shared" si="217"/>
        <v>1+0.0413680347105804i</v>
      </c>
      <c r="AX246">
        <f t="shared" si="241"/>
        <v>1.0008552913862303</v>
      </c>
      <c r="AY246">
        <f t="shared" si="242"/>
        <v>4.1344461007995714E-2</v>
      </c>
      <c r="AZ246" t="str">
        <f t="shared" si="218"/>
        <v>1+1.40651318015973i</v>
      </c>
      <c r="BA246">
        <f t="shared" si="243"/>
        <v>1.7257691983469392</v>
      </c>
      <c r="BB246">
        <f t="shared" si="244"/>
        <v>0.95274047835712106</v>
      </c>
      <c r="BC246" s="41" t="str">
        <f t="shared" si="245"/>
        <v>-0.557989740857753+0.432522652057436i</v>
      </c>
      <c r="BD246">
        <f t="shared" si="246"/>
        <v>-3.0239722390522301</v>
      </c>
      <c r="BE246" s="43">
        <f t="shared" si="247"/>
        <v>142.21914525913678</v>
      </c>
      <c r="BF246" s="41" t="str">
        <f t="shared" si="248"/>
        <v>1.39901039741602+4.49630309918693i</v>
      </c>
      <c r="BG246" s="20">
        <f t="shared" si="249"/>
        <v>13.45843487972135</v>
      </c>
      <c r="BH246" s="43">
        <f t="shared" si="250"/>
        <v>72.716636390803245</v>
      </c>
      <c r="BI246" s="41" t="str">
        <f t="shared" si="255"/>
        <v>3.78955880851421+20.4318798188273i</v>
      </c>
      <c r="BJ246" s="20">
        <f t="shared" si="251"/>
        <v>26.353052361058683</v>
      </c>
      <c r="BK246" s="43">
        <f t="shared" si="256"/>
        <v>79.492588780945241</v>
      </c>
      <c r="BL246">
        <f t="shared" si="252"/>
        <v>13.45843487972135</v>
      </c>
      <c r="BM246" s="43">
        <f t="shared" si="253"/>
        <v>72.716636390803245</v>
      </c>
    </row>
    <row r="247" spans="14:65" x14ac:dyDescent="0.25">
      <c r="N247" s="9">
        <v>29</v>
      </c>
      <c r="O247" s="34">
        <f t="shared" si="254"/>
        <v>1949.8445997580463</v>
      </c>
      <c r="P247" s="33" t="str">
        <f t="shared" si="206"/>
        <v>19.1021967526266</v>
      </c>
      <c r="Q247" s="4" t="str">
        <f t="shared" si="207"/>
        <v>1+2.74979962847522i</v>
      </c>
      <c r="R247" s="4">
        <f t="shared" si="219"/>
        <v>2.9259866706399156</v>
      </c>
      <c r="S247" s="4">
        <f t="shared" si="220"/>
        <v>1.2220019206509825</v>
      </c>
      <c r="T247" s="4" t="str">
        <f t="shared" si="208"/>
        <v>1+0.0460646433762168i</v>
      </c>
      <c r="U247" s="4">
        <f t="shared" si="221"/>
        <v>1.0010604134463503</v>
      </c>
      <c r="V247" s="4">
        <f t="shared" si="222"/>
        <v>4.6032102485262703E-2</v>
      </c>
      <c r="W247" t="str">
        <f t="shared" si="209"/>
        <v>1-0.0255234061260067i</v>
      </c>
      <c r="X247" s="4">
        <f t="shared" si="223"/>
        <v>1.0003256690999551</v>
      </c>
      <c r="Y247" s="4">
        <f t="shared" si="224"/>
        <v>-2.5517865932514081E-2</v>
      </c>
      <c r="Z247" t="str">
        <f t="shared" si="210"/>
        <v>0.999996198106037+0.018989414157749i</v>
      </c>
      <c r="AA247" s="4">
        <f t="shared" si="225"/>
        <v>1.0001764814654377</v>
      </c>
      <c r="AB247" s="4">
        <f t="shared" si="226"/>
        <v>1.8987204307479678E-2</v>
      </c>
      <c r="AC247" s="47" t="str">
        <f t="shared" si="227"/>
        <v>2.24327741439712-6.13935845411864i</v>
      </c>
      <c r="AD247" s="20">
        <f t="shared" si="228"/>
        <v>16.306720668617476</v>
      </c>
      <c r="AE247" s="43">
        <f t="shared" si="229"/>
        <v>-69.928060107347463</v>
      </c>
      <c r="AF247" t="str">
        <f t="shared" si="211"/>
        <v>69.5520360182888</v>
      </c>
      <c r="AG247" t="str">
        <f t="shared" si="212"/>
        <v>1+2.19355444648652i</v>
      </c>
      <c r="AH247">
        <f t="shared" si="230"/>
        <v>2.410742854329508</v>
      </c>
      <c r="AI247">
        <f t="shared" si="231"/>
        <v>1.1430624570335834</v>
      </c>
      <c r="AJ247" t="str">
        <f t="shared" si="213"/>
        <v>1+0.0460646433762168i</v>
      </c>
      <c r="AK247">
        <f t="shared" si="232"/>
        <v>1.0010604134463503</v>
      </c>
      <c r="AL247">
        <f t="shared" si="233"/>
        <v>4.6032102485262703E-2</v>
      </c>
      <c r="AM247" t="str">
        <f t="shared" si="214"/>
        <v>1-0.00559189811183177i</v>
      </c>
      <c r="AN247">
        <f t="shared" si="234"/>
        <v>1.0000156345400271</v>
      </c>
      <c r="AO247">
        <f t="shared" si="235"/>
        <v>-5.5918398279664007E-3</v>
      </c>
      <c r="AP247" s="41" t="str">
        <f t="shared" si="236"/>
        <v>13.0331865197689-25.7740424059397i</v>
      </c>
      <c r="AQ247">
        <f t="shared" si="237"/>
        <v>29.212520745016185</v>
      </c>
      <c r="AR247" s="43">
        <f t="shared" si="238"/>
        <v>-63.175598135214742</v>
      </c>
      <c r="AS247" t="str">
        <f t="shared" si="215"/>
        <v>-0.0000166666666666667</v>
      </c>
      <c r="AT247" t="str">
        <f t="shared" si="216"/>
        <v>0.0000416541987976429i</v>
      </c>
      <c r="AU247">
        <f t="shared" si="239"/>
        <v>4.1654198797642903E-5</v>
      </c>
      <c r="AV247">
        <f t="shared" si="240"/>
        <v>1.5707963267948966</v>
      </c>
      <c r="AW247" t="str">
        <f t="shared" si="217"/>
        <v>1+0.0423316200237637i</v>
      </c>
      <c r="AX247">
        <f t="shared" si="241"/>
        <v>1.0008955819933647</v>
      </c>
      <c r="AY247">
        <f t="shared" si="242"/>
        <v>4.2306361566889945E-2</v>
      </c>
      <c r="AZ247" t="str">
        <f t="shared" si="218"/>
        <v>1+1.43927508080797i</v>
      </c>
      <c r="BA247">
        <f t="shared" si="243"/>
        <v>1.752573181991208</v>
      </c>
      <c r="BB247">
        <f t="shared" si="244"/>
        <v>0.96357272916383629</v>
      </c>
      <c r="BC247" s="41" t="str">
        <f t="shared" si="245"/>
        <v>-0.557944818503531+0.423738435419631i</v>
      </c>
      <c r="BD247">
        <f t="shared" si="246"/>
        <v>-3.0904529247680115</v>
      </c>
      <c r="BE247" s="43">
        <f t="shared" si="247"/>
        <v>142.78467467065295</v>
      </c>
      <c r="BF247" s="41" t="str">
        <f t="shared" si="248"/>
        <v>1.34985713599965+4.37598610020017i</v>
      </c>
      <c r="BG247" s="20">
        <f t="shared" si="249"/>
        <v>13.216267743849459</v>
      </c>
      <c r="BH247" s="43">
        <f t="shared" si="250"/>
        <v>72.856614563305428</v>
      </c>
      <c r="BI247" s="41" t="str">
        <f t="shared" si="255"/>
        <v>3.64965351623699+19.9031554767034i</v>
      </c>
      <c r="BJ247" s="20">
        <f t="shared" si="251"/>
        <v>26.122067820248155</v>
      </c>
      <c r="BK247" s="43">
        <f t="shared" si="256"/>
        <v>79.609076535438163</v>
      </c>
      <c r="BL247">
        <f t="shared" si="252"/>
        <v>13.216267743849459</v>
      </c>
      <c r="BM247" s="43">
        <f t="shared" si="253"/>
        <v>72.856614563305428</v>
      </c>
    </row>
    <row r="248" spans="14:65" x14ac:dyDescent="0.25">
      <c r="N248" s="9">
        <v>30</v>
      </c>
      <c r="O248" s="34">
        <f t="shared" si="254"/>
        <v>1995.2623149688804</v>
      </c>
      <c r="P248" s="33" t="str">
        <f t="shared" si="206"/>
        <v>19.1021967526266</v>
      </c>
      <c r="Q248" s="4" t="str">
        <f t="shared" si="207"/>
        <v>1+2.81385068999492i</v>
      </c>
      <c r="R248" s="4">
        <f t="shared" si="219"/>
        <v>2.9862611583022818</v>
      </c>
      <c r="S248" s="4">
        <f t="shared" si="220"/>
        <v>1.2293323614772758</v>
      </c>
      <c r="T248" s="4" t="str">
        <f t="shared" si="208"/>
        <v>1+0.0471376267587948i</v>
      </c>
      <c r="U248" s="4">
        <f t="shared" si="221"/>
        <v>1.001110361476921</v>
      </c>
      <c r="V248" s="4">
        <f t="shared" si="222"/>
        <v>4.7102760654292919E-2</v>
      </c>
      <c r="W248" t="str">
        <f t="shared" si="209"/>
        <v>1-0.0261179226278783i</v>
      </c>
      <c r="X248" s="4">
        <f t="shared" si="223"/>
        <v>1.0003410147956524</v>
      </c>
      <c r="Y248" s="4">
        <f t="shared" si="224"/>
        <v>-2.6111986312889534E-2</v>
      </c>
      <c r="Z248" t="str">
        <f t="shared" si="210"/>
        <v>0.999996018928294+0.0194317344351415i</v>
      </c>
      <c r="AA248" s="4">
        <f t="shared" si="225"/>
        <v>1.0001847980126448</v>
      </c>
      <c r="AB248" s="4">
        <f t="shared" si="226"/>
        <v>1.9429366561541827E-2</v>
      </c>
      <c r="AC248" s="47" t="str">
        <f t="shared" si="227"/>
        <v>2.15417469882527-6.03166187449335i</v>
      </c>
      <c r="AD248" s="20">
        <f t="shared" si="228"/>
        <v>16.130106221136643</v>
      </c>
      <c r="AE248" s="43">
        <f t="shared" si="229"/>
        <v>-70.346093855613859</v>
      </c>
      <c r="AF248" t="str">
        <f t="shared" si="211"/>
        <v>69.5520360182888</v>
      </c>
      <c r="AG248" t="str">
        <f t="shared" si="212"/>
        <v>1+2.24464889327594i</v>
      </c>
      <c r="AH248">
        <f t="shared" si="230"/>
        <v>2.4573255083698009</v>
      </c>
      <c r="AI248">
        <f t="shared" si="231"/>
        <v>1.1516875842420848</v>
      </c>
      <c r="AJ248" t="str">
        <f t="shared" si="213"/>
        <v>1+0.0471376267587948i</v>
      </c>
      <c r="AK248">
        <f t="shared" si="232"/>
        <v>1.001110361476921</v>
      </c>
      <c r="AL248">
        <f t="shared" si="233"/>
        <v>4.7102760654292919E-2</v>
      </c>
      <c r="AM248" t="str">
        <f t="shared" si="214"/>
        <v>1-0.00572215015138544i</v>
      </c>
      <c r="AN248">
        <f t="shared" si="234"/>
        <v>1.0000163713671666</v>
      </c>
      <c r="AO248">
        <f t="shared" si="235"/>
        <v>-5.7220876991537321E-3</v>
      </c>
      <c r="AP248" s="41" t="str">
        <f t="shared" si="236"/>
        <v>12.5920713481477-25.3842482949583i</v>
      </c>
      <c r="AQ248">
        <f t="shared" si="237"/>
        <v>29.046724502770836</v>
      </c>
      <c r="AR248" s="43">
        <f t="shared" si="238"/>
        <v>-63.615899980948321</v>
      </c>
      <c r="AS248" t="str">
        <f t="shared" si="215"/>
        <v>-0.0000166666666666667</v>
      </c>
      <c r="AT248" t="str">
        <f t="shared" si="216"/>
        <v>0.0000426244497286974i</v>
      </c>
      <c r="AU248">
        <f t="shared" si="239"/>
        <v>4.2624449728697402E-5</v>
      </c>
      <c r="AV248">
        <f t="shared" si="240"/>
        <v>1.5707963267948966</v>
      </c>
      <c r="AW248" t="str">
        <f t="shared" si="217"/>
        <v>1+0.0433176501222091i</v>
      </c>
      <c r="AX248">
        <f t="shared" si="241"/>
        <v>1.0009377697000499</v>
      </c>
      <c r="AY248">
        <f t="shared" si="242"/>
        <v>4.3290586567357396E-2</v>
      </c>
      <c r="AZ248" t="str">
        <f t="shared" si="218"/>
        <v>1+1.47280010415511i</v>
      </c>
      <c r="BA248">
        <f t="shared" si="243"/>
        <v>1.7802078942638424</v>
      </c>
      <c r="BB248">
        <f t="shared" si="244"/>
        <v>0.97431832650042716</v>
      </c>
      <c r="BC248" s="41" t="str">
        <f t="shared" si="245"/>
        <v>-0.557897786775861+0.415178711554713i</v>
      </c>
      <c r="BD248">
        <f t="shared" si="246"/>
        <v>-3.154927811608403</v>
      </c>
      <c r="BE248" s="43">
        <f t="shared" si="247"/>
        <v>143.34396010776851</v>
      </c>
      <c r="BF248" s="41" t="str">
        <f t="shared" si="248"/>
        <v>1.30240830878266+4.25941828628222i</v>
      </c>
      <c r="BG248" s="20">
        <f t="shared" si="249"/>
        <v>12.975178409528246</v>
      </c>
      <c r="BH248" s="43">
        <f t="shared" si="250"/>
        <v>72.997866252154665</v>
      </c>
      <c r="BI248" s="41" t="str">
        <f t="shared" si="255"/>
        <v>3.51391076483037+19.3897759008551i</v>
      </c>
      <c r="BJ248" s="20">
        <f t="shared" si="251"/>
        <v>25.891796691162416</v>
      </c>
      <c r="BK248" s="43">
        <f t="shared" si="256"/>
        <v>79.728060126820196</v>
      </c>
      <c r="BL248">
        <f t="shared" si="252"/>
        <v>12.975178409528246</v>
      </c>
      <c r="BM248" s="43">
        <f t="shared" si="253"/>
        <v>72.997866252154665</v>
      </c>
    </row>
    <row r="249" spans="14:65" x14ac:dyDescent="0.25">
      <c r="N249" s="9">
        <v>31</v>
      </c>
      <c r="O249" s="34">
        <f t="shared" si="254"/>
        <v>2041.7379446695318</v>
      </c>
      <c r="P249" s="33" t="str">
        <f t="shared" si="206"/>
        <v>19.1021967526266</v>
      </c>
      <c r="Q249" s="4" t="str">
        <f t="shared" si="207"/>
        <v>1+2.87939369239615i</v>
      </c>
      <c r="R249" s="4">
        <f t="shared" si="219"/>
        <v>3.0480990856287358</v>
      </c>
      <c r="S249" s="4">
        <f t="shared" si="220"/>
        <v>1.236533036625068</v>
      </c>
      <c r="T249" s="4" t="str">
        <f t="shared" si="208"/>
        <v>1+0.0482356031350203i</v>
      </c>
      <c r="U249" s="4">
        <f t="shared" si="221"/>
        <v>1.0011626608148143</v>
      </c>
      <c r="V249" s="4">
        <f t="shared" si="222"/>
        <v>4.8198245773790317E-2</v>
      </c>
      <c r="W249" t="str">
        <f t="shared" si="209"/>
        <v>1-0.0267262871980387i</v>
      </c>
      <c r="X249" s="4">
        <f t="shared" si="223"/>
        <v>1.0003570834593976</v>
      </c>
      <c r="Y249" s="4">
        <f t="shared" si="224"/>
        <v>-2.6719926444549895E-2</v>
      </c>
      <c r="Z249" t="str">
        <f t="shared" si="210"/>
        <v>0.999995831306165+0.0198843576753408i</v>
      </c>
      <c r="AA249" s="4">
        <f t="shared" si="225"/>
        <v>1.0001935064325647</v>
      </c>
      <c r="AB249" s="4">
        <f t="shared" si="226"/>
        <v>1.988182047957408E-2</v>
      </c>
      <c r="AC249" s="47" t="str">
        <f t="shared" si="227"/>
        <v>2.0681980319954-5.9246192951589i</v>
      </c>
      <c r="AD249" s="20">
        <f t="shared" si="228"/>
        <v>15.952597964828147</v>
      </c>
      <c r="AE249" s="43">
        <f t="shared" si="229"/>
        <v>-70.756651581028649</v>
      </c>
      <c r="AF249" t="str">
        <f t="shared" si="211"/>
        <v>69.5520360182888</v>
      </c>
      <c r="AG249" t="str">
        <f t="shared" si="212"/>
        <v>1+2.29693348262002i</v>
      </c>
      <c r="AH249">
        <f t="shared" si="230"/>
        <v>2.5051753279123865</v>
      </c>
      <c r="AI249">
        <f t="shared" si="231"/>
        <v>1.160180916382437</v>
      </c>
      <c r="AJ249" t="str">
        <f t="shared" si="213"/>
        <v>1+0.0482356031350203i</v>
      </c>
      <c r="AK249">
        <f t="shared" si="232"/>
        <v>1.0011626608148143</v>
      </c>
      <c r="AL249">
        <f t="shared" si="233"/>
        <v>4.8198245773790317E-2</v>
      </c>
      <c r="AM249" t="str">
        <f t="shared" si="214"/>
        <v>1-0.00585543615069096i</v>
      </c>
      <c r="AN249">
        <f t="shared" si="234"/>
        <v>1.0000171429193176</v>
      </c>
      <c r="AO249">
        <f t="shared" si="235"/>
        <v>-5.8553692319809865E-3</v>
      </c>
      <c r="AP249" s="41" t="str">
        <f t="shared" si="236"/>
        <v>12.164333658328-24.99303837302i</v>
      </c>
      <c r="AQ249">
        <f t="shared" si="237"/>
        <v>28.879676214134037</v>
      </c>
      <c r="AR249" s="43">
        <f t="shared" si="238"/>
        <v>-64.047401862044651</v>
      </c>
      <c r="AS249" t="str">
        <f t="shared" si="215"/>
        <v>-0.0000166666666666667</v>
      </c>
      <c r="AT249" t="str">
        <f t="shared" si="216"/>
        <v>0.0000436173007071994i</v>
      </c>
      <c r="AU249">
        <f t="shared" si="239"/>
        <v>4.3617300707199402E-5</v>
      </c>
      <c r="AV249">
        <f t="shared" si="240"/>
        <v>1.5707963267948966</v>
      </c>
      <c r="AW249" t="str">
        <f t="shared" si="217"/>
        <v>1+0.044326647812126i</v>
      </c>
      <c r="AX249">
        <f t="shared" si="241"/>
        <v>1.0009819437463696</v>
      </c>
      <c r="AY249">
        <f t="shared" si="242"/>
        <v>4.4297650226834656E-2</v>
      </c>
      <c r="AZ249" t="str">
        <f t="shared" si="218"/>
        <v>1+1.50710602561228i</v>
      </c>
      <c r="BA249">
        <f t="shared" si="243"/>
        <v>1.8086925035607468</v>
      </c>
      <c r="BB249">
        <f t="shared" si="244"/>
        <v>0.98497304168531841</v>
      </c>
      <c r="BC249" s="41" t="str">
        <f t="shared" si="245"/>
        <v>-0.557848547008773+0.406838929233611i</v>
      </c>
      <c r="BD249">
        <f t="shared" si="246"/>
        <v>-3.2174308143038162</v>
      </c>
      <c r="BE249" s="43">
        <f t="shared" si="247"/>
        <v>143.8967298223877</v>
      </c>
      <c r="BF249" s="41" t="str">
        <f t="shared" si="248"/>
        <v>1.2566245030842+4.1464637381646i</v>
      </c>
      <c r="BG249" s="20">
        <f t="shared" si="249"/>
        <v>12.735167150524326</v>
      </c>
      <c r="BH249" s="43">
        <f t="shared" si="250"/>
        <v>73.140078241359049</v>
      </c>
      <c r="BI249" s="41" t="str">
        <f t="shared" si="255"/>
        <v>3.38228511334582+18.8912546221183i</v>
      </c>
      <c r="BJ249" s="20">
        <f t="shared" si="251"/>
        <v>25.66224539983024</v>
      </c>
      <c r="BK249" s="43">
        <f t="shared" si="256"/>
        <v>79.849327960343075</v>
      </c>
      <c r="BL249">
        <f t="shared" si="252"/>
        <v>12.735167150524326</v>
      </c>
      <c r="BM249" s="43">
        <f t="shared" si="253"/>
        <v>73.140078241359049</v>
      </c>
    </row>
    <row r="250" spans="14:65" x14ac:dyDescent="0.25">
      <c r="N250" s="9">
        <v>32</v>
      </c>
      <c r="O250" s="34">
        <f t="shared" si="254"/>
        <v>2089.2961308540398</v>
      </c>
      <c r="P250" s="33" t="str">
        <f t="shared" si="206"/>
        <v>19.1021967526266</v>
      </c>
      <c r="Q250" s="4" t="str">
        <f t="shared" si="207"/>
        <v>1+2.9464633874464i</v>
      </c>
      <c r="R250" s="4">
        <f t="shared" si="219"/>
        <v>3.1115344275071286</v>
      </c>
      <c r="S250" s="4">
        <f t="shared" si="220"/>
        <v>1.2436047762224613</v>
      </c>
      <c r="T250" s="4" t="str">
        <f t="shared" si="208"/>
        <v>1+0.0493591546665021i</v>
      </c>
      <c r="U250" s="4">
        <f t="shared" si="221"/>
        <v>1.0012174220165126</v>
      </c>
      <c r="V250" s="4">
        <f t="shared" si="222"/>
        <v>4.9319128161062001E-2</v>
      </c>
      <c r="W250" t="str">
        <f t="shared" si="209"/>
        <v>1-0.027348822399436i</v>
      </c>
      <c r="X250" s="4">
        <f t="shared" si="223"/>
        <v>1.0003739091392958</v>
      </c>
      <c r="Y250" s="4">
        <f t="shared" si="224"/>
        <v>-2.7342006866856394E-2</v>
      </c>
      <c r="Z250" t="str">
        <f t="shared" si="210"/>
        <v>0.999995634841678+0.0203475238651804i</v>
      </c>
      <c r="AA250" s="4">
        <f t="shared" si="225"/>
        <v>1.0002026251864442</v>
      </c>
      <c r="AB250" s="4">
        <f t="shared" si="226"/>
        <v>2.0344805240676538E-2</v>
      </c>
      <c r="AC250" s="47" t="str">
        <f t="shared" si="227"/>
        <v>1.98527209679015-5.81830743234709i</v>
      </c>
      <c r="AD250" s="20">
        <f t="shared" si="228"/>
        <v>15.774229354434578</v>
      </c>
      <c r="AE250" s="43">
        <f t="shared" si="229"/>
        <v>-71.159780239159531</v>
      </c>
      <c r="AF250" t="str">
        <f t="shared" si="211"/>
        <v>69.5520360182888</v>
      </c>
      <c r="AG250" t="str">
        <f t="shared" si="212"/>
        <v>1+2.35043593650011i</v>
      </c>
      <c r="AH250">
        <f t="shared" si="230"/>
        <v>2.5543196925191545</v>
      </c>
      <c r="AI250">
        <f t="shared" si="231"/>
        <v>1.1685420542376721</v>
      </c>
      <c r="AJ250" t="str">
        <f t="shared" si="213"/>
        <v>1+0.0493591546665021i</v>
      </c>
      <c r="AK250">
        <f t="shared" si="232"/>
        <v>1.0012174220165126</v>
      </c>
      <c r="AL250">
        <f t="shared" si="233"/>
        <v>4.9319128161062001E-2</v>
      </c>
      <c r="AM250" t="str">
        <f t="shared" si="214"/>
        <v>1-0.00599182677974949i</v>
      </c>
      <c r="AN250">
        <f t="shared" si="234"/>
        <v>1.0000179508329632</v>
      </c>
      <c r="AO250">
        <f t="shared" si="235"/>
        <v>-5.9917550751293885E-3</v>
      </c>
      <c r="AP250" s="41" t="str">
        <f t="shared" si="236"/>
        <v>11.7498070680248-24.6008828284321i</v>
      </c>
      <c r="AQ250">
        <f t="shared" si="237"/>
        <v>28.711415802649473</v>
      </c>
      <c r="AR250" s="43">
        <f t="shared" si="238"/>
        <v>-64.470052276153282</v>
      </c>
      <c r="AS250" t="str">
        <f t="shared" si="215"/>
        <v>-0.0000166666666666667</v>
      </c>
      <c r="AT250" t="str">
        <f t="shared" si="216"/>
        <v>0.0000446332781558795i</v>
      </c>
      <c r="AU250">
        <f t="shared" si="239"/>
        <v>4.4633278155879499E-5</v>
      </c>
      <c r="AV250">
        <f t="shared" si="240"/>
        <v>1.5707963267948966</v>
      </c>
      <c r="AW250" t="str">
        <f t="shared" si="217"/>
        <v>1+0.0453591480774458i</v>
      </c>
      <c r="AX250">
        <f t="shared" si="241"/>
        <v>1.0010281975620425</v>
      </c>
      <c r="AY250">
        <f t="shared" si="242"/>
        <v>4.5328078328423817E-2</v>
      </c>
      <c r="AZ250" t="str">
        <f t="shared" si="218"/>
        <v>1+1.54221103463316i</v>
      </c>
      <c r="BA250">
        <f t="shared" si="243"/>
        <v>1.8380464834558135</v>
      </c>
      <c r="BB250">
        <f t="shared" si="244"/>
        <v>0.99553284748635462</v>
      </c>
      <c r="BC250" s="41" t="str">
        <f t="shared" si="245"/>
        <v>-0.557796995957955+0.398714652937194i</v>
      </c>
      <c r="BD250">
        <f t="shared" si="246"/>
        <v>-3.2779971316235876</v>
      </c>
      <c r="BE250" s="43">
        <f t="shared" si="247"/>
        <v>144.44272294595217</v>
      </c>
      <c r="BF250" s="41" t="str">
        <f t="shared" si="248"/>
        <v>1.21246561682147+4.03699148238063i</v>
      </c>
      <c r="BG250" s="20">
        <f t="shared" si="249"/>
        <v>12.496232222810992</v>
      </c>
      <c r="BH250" s="43">
        <f t="shared" si="250"/>
        <v>73.282942706792653</v>
      </c>
      <c r="BI250" s="41" t="str">
        <f t="shared" si="255"/>
        <v>3.2547253732571+18.4071187868196i</v>
      </c>
      <c r="BJ250" s="20">
        <f t="shared" si="251"/>
        <v>25.433418671025901</v>
      </c>
      <c r="BK250" s="43">
        <f t="shared" si="256"/>
        <v>79.97267066979893</v>
      </c>
      <c r="BL250">
        <f t="shared" si="252"/>
        <v>12.496232222810992</v>
      </c>
      <c r="BM250" s="43">
        <f t="shared" si="253"/>
        <v>73.282942706792653</v>
      </c>
    </row>
    <row r="251" spans="14:65" x14ac:dyDescent="0.25">
      <c r="N251" s="9">
        <v>33</v>
      </c>
      <c r="O251" s="34">
        <f t="shared" si="254"/>
        <v>2137.9620895022344</v>
      </c>
      <c r="P251" s="33" t="str">
        <f t="shared" si="206"/>
        <v>19.1021967526266</v>
      </c>
      <c r="Q251" s="4" t="str">
        <f t="shared" si="207"/>
        <v>1+3.01509533638571i</v>
      </c>
      <c r="R251" s="4">
        <f t="shared" si="219"/>
        <v>3.1766019403593613</v>
      </c>
      <c r="S251" s="4">
        <f t="shared" si="220"/>
        <v>1.2505484996485527</v>
      </c>
      <c r="T251" s="4" t="str">
        <f t="shared" si="208"/>
        <v>1+0.0505088770751334i</v>
      </c>
      <c r="U251" s="4">
        <f t="shared" si="221"/>
        <v>1.0012747608241162</v>
      </c>
      <c r="V251" s="4">
        <f t="shared" si="222"/>
        <v>5.0465990850374329E-2</v>
      </c>
      <c r="W251" t="str">
        <f t="shared" si="209"/>
        <v>1-0.0279858583084737i</v>
      </c>
      <c r="X251" s="4">
        <f t="shared" si="223"/>
        <v>1.0003915274857449</v>
      </c>
      <c r="Y251" s="4">
        <f t="shared" si="224"/>
        <v>-2.7978555488098331E-2</v>
      </c>
      <c r="Z251" t="str">
        <f t="shared" si="210"/>
        <v>0.999995429118104+0.0208214785815045i</v>
      </c>
      <c r="AA251" s="4">
        <f t="shared" si="225"/>
        <v>1.0002121736048912</v>
      </c>
      <c r="AB251" s="4">
        <f t="shared" si="226"/>
        <v>2.0818565556234396E-2</v>
      </c>
      <c r="AC251" s="47" t="str">
        <f t="shared" si="227"/>
        <v>1.9053205847595-5.71279778294562i</v>
      </c>
      <c r="AD251" s="20">
        <f t="shared" si="228"/>
        <v>15.595033101245736</v>
      </c>
      <c r="AE251" s="43">
        <f t="shared" si="229"/>
        <v>-71.55553190983639</v>
      </c>
      <c r="AF251" t="str">
        <f t="shared" si="211"/>
        <v>69.5520360182888</v>
      </c>
      <c r="AG251" t="str">
        <f t="shared" si="212"/>
        <v>1+2.4051846226254i</v>
      </c>
      <c r="AH251">
        <f t="shared" si="230"/>
        <v>2.6047865687832634</v>
      </c>
      <c r="AI251">
        <f t="shared" si="231"/>
        <v>1.1767707538173995</v>
      </c>
      <c r="AJ251" t="str">
        <f t="shared" si="213"/>
        <v>1+0.0505088770751334i</v>
      </c>
      <c r="AK251">
        <f t="shared" si="232"/>
        <v>1.0012747608241162</v>
      </c>
      <c r="AL251">
        <f t="shared" si="233"/>
        <v>5.0465990850374329E-2</v>
      </c>
      <c r="AM251" t="str">
        <f t="shared" si="214"/>
        <v>1-0.00613139435467779i</v>
      </c>
      <c r="AN251">
        <f t="shared" si="234"/>
        <v>1.000018796821706</v>
      </c>
      <c r="AO251">
        <f t="shared" si="235"/>
        <v>-6.1313175218710748E-3</v>
      </c>
      <c r="AP251" s="41" t="str">
        <f t="shared" si="236"/>
        <v>11.3483081693857-24.2082320252466i</v>
      </c>
      <c r="AQ251">
        <f t="shared" si="237"/>
        <v>28.541982724353019</v>
      </c>
      <c r="AR251" s="43">
        <f t="shared" si="238"/>
        <v>-64.883807980350966</v>
      </c>
      <c r="AS251" t="str">
        <f t="shared" si="215"/>
        <v>-0.0000166666666666667</v>
      </c>
      <c r="AT251" t="str">
        <f t="shared" si="216"/>
        <v>0.0000456729207594292i</v>
      </c>
      <c r="AU251">
        <f t="shared" si="239"/>
        <v>4.5672920759429197E-5</v>
      </c>
      <c r="AV251">
        <f t="shared" si="240"/>
        <v>1.5707963267948966</v>
      </c>
      <c r="AW251" t="str">
        <f t="shared" si="217"/>
        <v>1+0.0464156983634752i</v>
      </c>
      <c r="AX251">
        <f t="shared" si="241"/>
        <v>1.0010766289623232</v>
      </c>
      <c r="AY251">
        <f t="shared" si="242"/>
        <v>4.6382408461040296E-2</v>
      </c>
      <c r="AZ251" t="str">
        <f t="shared" si="218"/>
        <v>1+1.57813374435816i</v>
      </c>
      <c r="BA251">
        <f t="shared" si="243"/>
        <v>1.8682896229123327</v>
      </c>
      <c r="BB251">
        <f t="shared" si="244"/>
        <v>1.0059939225449506</v>
      </c>
      <c r="BC251" s="41" t="str">
        <f t="shared" si="245"/>
        <v>-0.5577430255918+0.390801560440416i</v>
      </c>
      <c r="BD251">
        <f t="shared" si="246"/>
        <v>-3.3366631336853998</v>
      </c>
      <c r="BE251" s="43">
        <f t="shared" si="247"/>
        <v>144.98168972916676</v>
      </c>
      <c r="BF251" s="41" t="str">
        <f t="shared" si="248"/>
        <v>1.1698910203896+3.93087537771748i</v>
      </c>
      <c r="BG251" s="20">
        <f t="shared" si="249"/>
        <v>12.25836996756035</v>
      </c>
      <c r="BH251" s="43">
        <f t="shared" si="250"/>
        <v>73.426157819330328</v>
      </c>
      <c r="BI251" s="41" t="str">
        <f t="shared" si="255"/>
        <v>3.1311751172287+17.936909114944i</v>
      </c>
      <c r="BJ251" s="20">
        <f t="shared" si="251"/>
        <v>25.205319590667621</v>
      </c>
      <c r="BK251" s="43">
        <f t="shared" si="256"/>
        <v>80.097881748815809</v>
      </c>
      <c r="BL251">
        <f t="shared" si="252"/>
        <v>12.25836996756035</v>
      </c>
      <c r="BM251" s="43">
        <f t="shared" si="253"/>
        <v>73.426157819330328</v>
      </c>
    </row>
    <row r="252" spans="14:65" x14ac:dyDescent="0.25">
      <c r="N252" s="9">
        <v>34</v>
      </c>
      <c r="O252" s="34">
        <f t="shared" si="254"/>
        <v>2187.7616239495528</v>
      </c>
      <c r="P252" s="33" t="str">
        <f t="shared" si="206"/>
        <v>19.1021967526266</v>
      </c>
      <c r="Q252" s="4" t="str">
        <f t="shared" si="207"/>
        <v>1+3.08532592878188i</v>
      </c>
      <c r="R252" s="4">
        <f t="shared" si="219"/>
        <v>3.2433371836449214</v>
      </c>
      <c r="S252" s="4">
        <f t="shared" si="220"/>
        <v>1.2573652093154266</v>
      </c>
      <c r="T252" s="4" t="str">
        <f t="shared" si="208"/>
        <v>1+0.051685379958954i</v>
      </c>
      <c r="U252" s="4">
        <f t="shared" si="221"/>
        <v>1.0013347984073566</v>
      </c>
      <c r="V252" s="4">
        <f t="shared" si="222"/>
        <v>5.163942984895941E-2</v>
      </c>
      <c r="W252" t="str">
        <f t="shared" si="209"/>
        <v>1-0.0286377326900233i</v>
      </c>
      <c r="X252" s="4">
        <f t="shared" si="223"/>
        <v>1.0004099758267233</v>
      </c>
      <c r="Y252" s="4">
        <f t="shared" si="224"/>
        <v>-2.862990775019331E-2</v>
      </c>
      <c r="Z252" t="str">
        <f t="shared" si="210"/>
        <v>0.999995213699077+0.0213064731213773i</v>
      </c>
      <c r="AA252" s="4">
        <f t="shared" si="225"/>
        <v>1.0002221719287843</v>
      </c>
      <c r="AB252" s="4">
        <f t="shared" si="226"/>
        <v>2.1303351796003851E-2</v>
      </c>
      <c r="AC252" s="47" t="str">
        <f t="shared" si="227"/>
        <v>1.82826648029998-5.60815676055678i</v>
      </c>
      <c r="AD252" s="20">
        <f t="shared" si="228"/>
        <v>15.415041166584096</v>
      </c>
      <c r="AE252" s="43">
        <f t="shared" si="229"/>
        <v>-71.943963442878498</v>
      </c>
      <c r="AF252" t="str">
        <f t="shared" si="211"/>
        <v>69.5520360182888</v>
      </c>
      <c r="AG252" t="str">
        <f t="shared" si="212"/>
        <v>1+2.46120856947401i</v>
      </c>
      <c r="AH252">
        <f t="shared" si="230"/>
        <v>2.6566045288021893</v>
      </c>
      <c r="AI252">
        <f t="shared" si="231"/>
        <v>1.1848669196156696</v>
      </c>
      <c r="AJ252" t="str">
        <f t="shared" si="213"/>
        <v>1+0.051685379958954i</v>
      </c>
      <c r="AK252">
        <f t="shared" si="232"/>
        <v>1.0013347984073566</v>
      </c>
      <c r="AL252">
        <f t="shared" si="233"/>
        <v>5.163942984895941E-2</v>
      </c>
      <c r="AM252" t="str">
        <f t="shared" si="214"/>
        <v>1-0.00627421287605156i</v>
      </c>
      <c r="AN252">
        <f t="shared" si="234"/>
        <v>1.000019682679903</v>
      </c>
      <c r="AO252">
        <f t="shared" si="235"/>
        <v>-6.2741305483034054E-3</v>
      </c>
      <c r="AP252" s="41" t="str">
        <f t="shared" si="236"/>
        <v>10.9596381480964-23.8155161998465i</v>
      </c>
      <c r="AQ252">
        <f t="shared" si="237"/>
        <v>28.371415922365944</v>
      </c>
      <c r="AR252" s="43">
        <f t="shared" si="238"/>
        <v>-65.288633592369024</v>
      </c>
      <c r="AS252" t="str">
        <f t="shared" si="215"/>
        <v>-0.0000166666666666667</v>
      </c>
      <c r="AT252" t="str">
        <f t="shared" si="216"/>
        <v>0.000046736779750118i</v>
      </c>
      <c r="AU252">
        <f t="shared" si="239"/>
        <v>4.6736779750117998E-5</v>
      </c>
      <c r="AV252">
        <f t="shared" si="240"/>
        <v>1.5707963267948966</v>
      </c>
      <c r="AW252" t="str">
        <f t="shared" si="217"/>
        <v>1+0.0474968588671615i</v>
      </c>
      <c r="AX252">
        <f t="shared" si="241"/>
        <v>1.0011273403529879</v>
      </c>
      <c r="AY252">
        <f t="shared" si="242"/>
        <v>4.7461190263093811E-2</v>
      </c>
      <c r="AZ252" t="str">
        <f t="shared" si="218"/>
        <v>1+1.61489320148349i</v>
      </c>
      <c r="BA252">
        <f t="shared" si="243"/>
        <v>1.8994420370723597</v>
      </c>
      <c r="BB252">
        <f t="shared" si="244"/>
        <v>1.0163526548268333</v>
      </c>
      <c r="BC252" s="41" t="str">
        <f t="shared" si="245"/>
        <v>-0.557686522873375+0.383095440452041i</v>
      </c>
      <c r="BD252">
        <f t="shared" si="246"/>
        <v>-3.3934662489949274</v>
      </c>
      <c r="BE252" s="43">
        <f t="shared" si="247"/>
        <v>145.5133917257514</v>
      </c>
      <c r="BF252" s="41" t="str">
        <f t="shared" si="248"/>
        <v>1.12885970802515+3.82799399605794i</v>
      </c>
      <c r="BG252" s="20">
        <f t="shared" si="249"/>
        <v>12.021574917589156</v>
      </c>
      <c r="BH252" s="43">
        <f t="shared" si="250"/>
        <v>73.569428282872906</v>
      </c>
      <c r="BI252" s="41" t="str">
        <f t="shared" si="255"/>
        <v>3.01157317741064+17.4801798234669i</v>
      </c>
      <c r="BJ252" s="20">
        <f t="shared" si="251"/>
        <v>24.977949673371015</v>
      </c>
      <c r="BK252" s="43">
        <f t="shared" si="256"/>
        <v>80.224758133382366</v>
      </c>
      <c r="BL252">
        <f t="shared" si="252"/>
        <v>12.021574917589156</v>
      </c>
      <c r="BM252" s="43">
        <f t="shared" si="253"/>
        <v>73.569428282872906</v>
      </c>
    </row>
    <row r="253" spans="14:65" x14ac:dyDescent="0.25">
      <c r="N253" s="9">
        <v>35</v>
      </c>
      <c r="O253" s="34">
        <f t="shared" si="254"/>
        <v>2238.7211385683418</v>
      </c>
      <c r="P253" s="33" t="str">
        <f t="shared" si="206"/>
        <v>19.1021967526266</v>
      </c>
      <c r="Q253" s="4" t="str">
        <f t="shared" si="207"/>
        <v>1+3.15719240182462i</v>
      </c>
      <c r="R253" s="4">
        <f t="shared" si="219"/>
        <v>3.3117765416976899</v>
      </c>
      <c r="S253" s="4">
        <f t="shared" si="220"/>
        <v>1.2640559846207924</v>
      </c>
      <c r="T253" s="4" t="str">
        <f t="shared" si="208"/>
        <v>1+0.0528892871153659i</v>
      </c>
      <c r="U253" s="4">
        <f t="shared" si="221"/>
        <v>1.0013976616167883</v>
      </c>
      <c r="V253" s="4">
        <f t="shared" si="222"/>
        <v>5.2840054396149756E-2</v>
      </c>
      <c r="W253" t="str">
        <f t="shared" si="209"/>
        <v>1-0.0293047911765104i</v>
      </c>
      <c r="X253" s="4">
        <f t="shared" si="223"/>
        <v>1.0004292932466037</v>
      </c>
      <c r="Y253" s="4">
        <f t="shared" si="224"/>
        <v>-2.9296406796726415E-2</v>
      </c>
      <c r="Z253" t="str">
        <f t="shared" si="210"/>
        <v>0.999994988127664+0.0218027646353237i</v>
      </c>
      <c r="AA253" s="4">
        <f t="shared" si="225"/>
        <v>1.0002326413520957</v>
      </c>
      <c r="AB253" s="4">
        <f t="shared" si="226"/>
        <v>2.1799420116935388E-2</v>
      </c>
      <c r="AC253" s="47" t="str">
        <f t="shared" si="227"/>
        <v>1.75403232521251-5.50444584219678i</v>
      </c>
      <c r="AD253" s="20">
        <f t="shared" si="228"/>
        <v>15.234284758271965</v>
      </c>
      <c r="AE253" s="43">
        <f t="shared" si="229"/>
        <v>-72.32513611376784</v>
      </c>
      <c r="AF253" t="str">
        <f t="shared" si="211"/>
        <v>69.5520360182888</v>
      </c>
      <c r="AG253" t="str">
        <f t="shared" si="212"/>
        <v>1+2.5185374816841i</v>
      </c>
      <c r="AH253">
        <f t="shared" si="230"/>
        <v>2.7098027689571222</v>
      </c>
      <c r="AI253">
        <f t="shared" si="231"/>
        <v>1.1928305977865359</v>
      </c>
      <c r="AJ253" t="str">
        <f t="shared" si="213"/>
        <v>1+0.0528892871153659i</v>
      </c>
      <c r="AK253">
        <f t="shared" si="232"/>
        <v>1.0013976616167883</v>
      </c>
      <c r="AL253">
        <f t="shared" si="233"/>
        <v>5.2840054396149756E-2</v>
      </c>
      <c r="AM253" t="str">
        <f t="shared" si="214"/>
        <v>1-0.00642035806814126i</v>
      </c>
      <c r="AN253">
        <f t="shared" si="234"/>
        <v>1.0000206102864697</v>
      </c>
      <c r="AO253">
        <f t="shared" si="235"/>
        <v>-6.4202698524679497E-3</v>
      </c>
      <c r="AP253" s="41" t="str">
        <f t="shared" si="236"/>
        <v>10.5835843603756-23.4231452753477i</v>
      </c>
      <c r="AQ253">
        <f t="shared" si="237"/>
        <v>28.199753786267756</v>
      </c>
      <c r="AR253" s="43">
        <f t="shared" si="238"/>
        <v>-65.68450118697595</v>
      </c>
      <c r="AS253" t="str">
        <f t="shared" si="215"/>
        <v>-0.0000166666666666667</v>
      </c>
      <c r="AT253" t="str">
        <f t="shared" si="216"/>
        <v>0.0000478254192000649i</v>
      </c>
      <c r="AU253">
        <f t="shared" si="239"/>
        <v>4.7825419200064903E-5</v>
      </c>
      <c r="AV253">
        <f t="shared" si="240"/>
        <v>1.5707963267948966</v>
      </c>
      <c r="AW253" t="str">
        <f t="shared" si="217"/>
        <v>1+0.0486032028341145i</v>
      </c>
      <c r="AX253">
        <f t="shared" si="241"/>
        <v>1.0011804389448158</v>
      </c>
      <c r="AY253">
        <f t="shared" si="242"/>
        <v>4.8564985669630759E-2</v>
      </c>
      <c r="AZ253" t="str">
        <f t="shared" si="218"/>
        <v>1+1.65250889635989i</v>
      </c>
      <c r="BA253">
        <f t="shared" si="243"/>
        <v>1.9315241786083293</v>
      </c>
      <c r="BB253">
        <f t="shared" si="244"/>
        <v>1.0266056441205882</v>
      </c>
      <c r="BC253" s="41" t="str">
        <f t="shared" si="245"/>
        <v>-0.55762736953271+0.375592190308379i</v>
      </c>
      <c r="BD253">
        <f t="shared" si="246"/>
        <v>-3.4484448519080462</v>
      </c>
      <c r="BE253" s="43">
        <f t="shared" si="247"/>
        <v>146.03760192143591</v>
      </c>
      <c r="BF253" s="41" t="str">
        <f t="shared" si="248"/>
        <v>1.08933043872094+3.72823049861772i</v>
      </c>
      <c r="BG253" s="20">
        <f t="shared" si="249"/>
        <v>11.78583990636392</v>
      </c>
      <c r="BH253" s="43">
        <f t="shared" si="250"/>
        <v>73.712465807668124</v>
      </c>
      <c r="BI253" s="41" t="str">
        <f t="shared" si="255"/>
        <v>2.89585413077543+17.0364985173016i</v>
      </c>
      <c r="BJ253" s="20">
        <f t="shared" si="251"/>
        <v>24.751308934359688</v>
      </c>
      <c r="BK253" s="43">
        <f t="shared" si="256"/>
        <v>80.353100734459943</v>
      </c>
      <c r="BL253">
        <f t="shared" si="252"/>
        <v>11.78583990636392</v>
      </c>
      <c r="BM253" s="43">
        <f t="shared" si="253"/>
        <v>73.712465807668124</v>
      </c>
    </row>
    <row r="254" spans="14:65" x14ac:dyDescent="0.25">
      <c r="N254" s="9">
        <v>36</v>
      </c>
      <c r="O254" s="34">
        <f t="shared" si="254"/>
        <v>2290.8676527677749</v>
      </c>
      <c r="P254" s="33" t="str">
        <f t="shared" si="206"/>
        <v>19.1021967526266</v>
      </c>
      <c r="Q254" s="4" t="str">
        <f t="shared" si="207"/>
        <v>1+3.23073286006917i</v>
      </c>
      <c r="R254" s="4">
        <f t="shared" si="219"/>
        <v>3.381957245905205</v>
      </c>
      <c r="S254" s="4">
        <f t="shared" si="220"/>
        <v>1.2706219760830164</v>
      </c>
      <c r="T254" s="4" t="str">
        <f t="shared" si="208"/>
        <v>1+0.0541212368718787i</v>
      </c>
      <c r="U254" s="4">
        <f t="shared" si="221"/>
        <v>1.0014634832486615</v>
      </c>
      <c r="V254" s="4">
        <f t="shared" si="222"/>
        <v>5.4068487225522065E-2</v>
      </c>
      <c r="W254" t="str">
        <f t="shared" si="209"/>
        <v>1-0.029987387451174i</v>
      </c>
      <c r="X254" s="4">
        <f t="shared" si="223"/>
        <v>1.0004495206686577</v>
      </c>
      <c r="Y254" s="4">
        <f t="shared" si="224"/>
        <v>-2.9978403644375817E-2</v>
      </c>
      <c r="Z254" t="str">
        <f t="shared" si="210"/>
        <v>0.999994751925398+0.0223106162636734i</v>
      </c>
      <c r="AA254" s="4">
        <f t="shared" si="225"/>
        <v>1.0002436040667309</v>
      </c>
      <c r="AB254" s="4">
        <f t="shared" si="226"/>
        <v>2.2307032594785094E-2</v>
      </c>
      <c r="AC254" s="47" t="str">
        <f t="shared" si="227"/>
        <v>1.68254046390414-5.40172172381661i</v>
      </c>
      <c r="AD254" s="20">
        <f t="shared" si="228"/>
        <v>15.052794329881085</v>
      </c>
      <c r="AE254" s="43">
        <f t="shared" si="229"/>
        <v>-72.699115289954349</v>
      </c>
      <c r="AF254" t="str">
        <f t="shared" si="211"/>
        <v>69.5520360182888</v>
      </c>
      <c r="AG254" t="str">
        <f t="shared" si="212"/>
        <v>1+2.57720175580375i</v>
      </c>
      <c r="AH254">
        <f t="shared" si="230"/>
        <v>2.7644111289961795</v>
      </c>
      <c r="AI254">
        <f t="shared" si="231"/>
        <v>1.2006619692757039</v>
      </c>
      <c r="AJ254" t="str">
        <f t="shared" si="213"/>
        <v>1+0.0541212368718787i</v>
      </c>
      <c r="AK254">
        <f t="shared" si="232"/>
        <v>1.0014634832486615</v>
      </c>
      <c r="AL254">
        <f t="shared" si="233"/>
        <v>5.4068487225522065E-2</v>
      </c>
      <c r="AM254" t="str">
        <f t="shared" si="214"/>
        <v>1-0.00656990741906214i</v>
      </c>
      <c r="AN254">
        <f t="shared" si="234"/>
        <v>1.0000215816088647</v>
      </c>
      <c r="AO254">
        <f t="shared" si="235"/>
        <v>-6.5698128943753389E-3</v>
      </c>
      <c r="AP254" s="41" t="str">
        <f t="shared" si="236"/>
        <v>10.2199218609063-23.0315087852851i</v>
      </c>
      <c r="AQ254">
        <f t="shared" si="237"/>
        <v>28.027034116116788</v>
      </c>
      <c r="AR254" s="43">
        <f t="shared" si="238"/>
        <v>-66.071389889722923</v>
      </c>
      <c r="AS254" t="str">
        <f t="shared" si="215"/>
        <v>-0.0000166666666666667</v>
      </c>
      <c r="AT254" t="str">
        <f t="shared" si="216"/>
        <v>0.0000489394163203158i</v>
      </c>
      <c r="AU254">
        <f t="shared" si="239"/>
        <v>4.89394163203158E-5</v>
      </c>
      <c r="AV254">
        <f t="shared" si="240"/>
        <v>1.5707963267948966</v>
      </c>
      <c r="AW254" t="str">
        <f t="shared" si="217"/>
        <v>1+0.0497353168625494i</v>
      </c>
      <c r="AX254">
        <f t="shared" si="241"/>
        <v>1.0012360369780036</v>
      </c>
      <c r="AY254">
        <f t="shared" si="242"/>
        <v>4.9694369162871295E-2</v>
      </c>
      <c r="AZ254" t="str">
        <f t="shared" si="218"/>
        <v>1+1.69100077332668i</v>
      </c>
      <c r="BA254">
        <f t="shared" si="243"/>
        <v>1.9645568496206545</v>
      </c>
      <c r="BB254">
        <f t="shared" si="244"/>
        <v>1.0367497036121367</v>
      </c>
      <c r="BC254" s="41" t="str">
        <f t="shared" si="245"/>
        <v>-0.557565441829225+0.368287813719489i</v>
      </c>
      <c r="BD254">
        <f t="shared" si="246"/>
        <v>-3.5016381511656016</v>
      </c>
      <c r="BE254" s="43">
        <f t="shared" si="247"/>
        <v>146.55410480981683</v>
      </c>
      <c r="BF254" s="41" t="str">
        <f t="shared" si="248"/>
        <v>1.05126186683323+3.63147250852416i</v>
      </c>
      <c r="BG254" s="20">
        <f t="shared" si="249"/>
        <v>11.551156178715482</v>
      </c>
      <c r="BH254" s="43">
        <f t="shared" si="250"/>
        <v>73.854989519862471</v>
      </c>
      <c r="BI254" s="41" t="str">
        <f t="shared" si="255"/>
        <v>2.78394876935748+16.6054460503984i</v>
      </c>
      <c r="BJ254" s="20">
        <f t="shared" si="251"/>
        <v>24.525395964951208</v>
      </c>
      <c r="BK254" s="43">
        <f t="shared" si="256"/>
        <v>80.48271492009394</v>
      </c>
      <c r="BL254">
        <f t="shared" si="252"/>
        <v>11.551156178715482</v>
      </c>
      <c r="BM254" s="43">
        <f t="shared" si="253"/>
        <v>73.854989519862471</v>
      </c>
    </row>
    <row r="255" spans="14:65" x14ac:dyDescent="0.25">
      <c r="N255" s="9">
        <v>37</v>
      </c>
      <c r="O255" s="34">
        <f t="shared" si="254"/>
        <v>2344.2288153199238</v>
      </c>
      <c r="P255" s="33" t="str">
        <f t="shared" si="206"/>
        <v>19.1021967526266</v>
      </c>
      <c r="Q255" s="4" t="str">
        <f t="shared" si="207"/>
        <v>1+3.30598629563994i</v>
      </c>
      <c r="R255" s="4">
        <f t="shared" si="219"/>
        <v>3.453917397240283</v>
      </c>
      <c r="S255" s="4">
        <f t="shared" si="220"/>
        <v>1.277064399668167</v>
      </c>
      <c r="T255" s="4" t="str">
        <f t="shared" si="208"/>
        <v>1+0.0553818824245603i</v>
      </c>
      <c r="U255" s="4">
        <f t="shared" si="221"/>
        <v>1.0015324023220058</v>
      </c>
      <c r="V255" s="4">
        <f t="shared" si="222"/>
        <v>5.5325364829909851E-2</v>
      </c>
      <c r="W255" t="str">
        <f t="shared" si="209"/>
        <v>1-0.0306858834355942i</v>
      </c>
      <c r="X255" s="4">
        <f t="shared" si="223"/>
        <v>1.0004707009414233</v>
      </c>
      <c r="Y255" s="4">
        <f t="shared" si="224"/>
        <v>-3.0676257357764126E-2</v>
      </c>
      <c r="Z255" t="str">
        <f t="shared" si="210"/>
        <v>0.999994504591261+0.022830297276082i</v>
      </c>
      <c r="AA255" s="4">
        <f t="shared" si="225"/>
        <v>1.0002550833094703</v>
      </c>
      <c r="AB255" s="4">
        <f t="shared" si="226"/>
        <v>2.2826457358565325E-2</v>
      </c>
      <c r="AC255" s="47" t="str">
        <f t="shared" si="227"/>
        <v>1.61371326961883-5.3000364829473i</v>
      </c>
      <c r="AD255" s="20">
        <f t="shared" si="228"/>
        <v>14.870599582568131</v>
      </c>
      <c r="AE255" s="43">
        <f t="shared" si="229"/>
        <v>-73.065970108356922</v>
      </c>
      <c r="AF255" t="str">
        <f t="shared" si="211"/>
        <v>69.5520360182888</v>
      </c>
      <c r="AG255" t="str">
        <f t="shared" si="212"/>
        <v>1+2.63723249640764i</v>
      </c>
      <c r="AH255">
        <f t="shared" si="230"/>
        <v>2.8204601114194956</v>
      </c>
      <c r="AI255">
        <f t="shared" si="231"/>
        <v>1.208361342943628</v>
      </c>
      <c r="AJ255" t="str">
        <f t="shared" si="213"/>
        <v>1+0.0553818824245603i</v>
      </c>
      <c r="AK255">
        <f t="shared" si="232"/>
        <v>1.0015324023220058</v>
      </c>
      <c r="AL255">
        <f t="shared" si="233"/>
        <v>5.5325364829909851E-2</v>
      </c>
      <c r="AM255" t="str">
        <f t="shared" si="214"/>
        <v>1-0.00672294022185963i</v>
      </c>
      <c r="AN255">
        <f t="shared" si="234"/>
        <v>1.0000225987072626</v>
      </c>
      <c r="AO255">
        <f t="shared" si="235"/>
        <v>-6.7228389369565194E-3</v>
      </c>
      <c r="AP255" s="41" t="str">
        <f t="shared" si="236"/>
        <v>9.86841487584497-22.6409758979168i</v>
      </c>
      <c r="AQ255">
        <f t="shared" si="237"/>
        <v>27.853294090971392</v>
      </c>
      <c r="AR255" s="43">
        <f t="shared" si="238"/>
        <v>-66.449285470088583</v>
      </c>
      <c r="AS255" t="str">
        <f t="shared" si="215"/>
        <v>-0.0000166666666666667</v>
      </c>
      <c r="AT255" t="str">
        <f t="shared" si="216"/>
        <v>0.0000500793617668895i</v>
      </c>
      <c r="AU255">
        <f t="shared" si="239"/>
        <v>5.0079361766889502E-5</v>
      </c>
      <c r="AV255">
        <f t="shared" si="240"/>
        <v>1.5707963267948966</v>
      </c>
      <c r="AW255" t="str">
        <f t="shared" si="217"/>
        <v>1+0.0508938012143097i</v>
      </c>
      <c r="AX255">
        <f t="shared" si="241"/>
        <v>1.0012942519569568</v>
      </c>
      <c r="AY255">
        <f t="shared" si="242"/>
        <v>5.0849928026052746E-2</v>
      </c>
      <c r="AZ255" t="str">
        <f t="shared" si="218"/>
        <v>1+1.73038924128653i</v>
      </c>
      <c r="BA255">
        <f t="shared" si="243"/>
        <v>1.9985612140638009</v>
      </c>
      <c r="BB255">
        <f t="shared" si="244"/>
        <v>1.0467818605691335</v>
      </c>
      <c r="BC255" s="41" t="str">
        <f t="shared" si="245"/>
        <v>-0.55750061030377+0.361178418566262i</v>
      </c>
      <c r="BD255">
        <f t="shared" si="246"/>
        <v>-3.5530860801119282</v>
      </c>
      <c r="BE255" s="43">
        <f t="shared" si="247"/>
        <v>147.06269641702639</v>
      </c>
      <c r="BF255" s="41" t="str">
        <f t="shared" si="248"/>
        <v>1.01461266258661+3.53761198061569i</v>
      </c>
      <c r="BG255" s="20">
        <f t="shared" si="249"/>
        <v>11.317513502456208</v>
      </c>
      <c r="BH255" s="43">
        <f t="shared" si="250"/>
        <v>73.996726308669466</v>
      </c>
      <c r="BI255" s="41" t="str">
        <f t="shared" si="255"/>
        <v>2.67578455359207+16.186616359575i</v>
      </c>
      <c r="BJ255" s="20">
        <f t="shared" si="251"/>
        <v>24.300208010859453</v>
      </c>
      <c r="BK255" s="43">
        <f t="shared" si="256"/>
        <v>80.61341094693779</v>
      </c>
      <c r="BL255">
        <f t="shared" si="252"/>
        <v>11.317513502456208</v>
      </c>
      <c r="BM255" s="43">
        <f t="shared" si="253"/>
        <v>73.996726308669466</v>
      </c>
    </row>
    <row r="256" spans="14:65" x14ac:dyDescent="0.25">
      <c r="N256" s="9">
        <v>38</v>
      </c>
      <c r="O256" s="34">
        <f t="shared" si="254"/>
        <v>2398.8329190194918</v>
      </c>
      <c r="P256" s="33" t="str">
        <f t="shared" si="206"/>
        <v>19.1021967526266</v>
      </c>
      <c r="Q256" s="4" t="str">
        <f t="shared" si="207"/>
        <v>1+3.38299260890456i</v>
      </c>
      <c r="R256" s="4">
        <f t="shared" si="219"/>
        <v>3.5276959891553696</v>
      </c>
      <c r="S256" s="4">
        <f t="shared" si="220"/>
        <v>1.2833845313166663</v>
      </c>
      <c r="T256" s="4" t="str">
        <f t="shared" si="208"/>
        <v>1+0.056671892184369i</v>
      </c>
      <c r="U256" s="4">
        <f t="shared" si="221"/>
        <v>1.0016045643684721</v>
      </c>
      <c r="V256" s="4">
        <f t="shared" si="222"/>
        <v>5.6611337729123537E-2</v>
      </c>
      <c r="W256" t="str">
        <f t="shared" si="209"/>
        <v>1-0.0314006494815875i</v>
      </c>
      <c r="X256" s="4">
        <f t="shared" si="223"/>
        <v>1.0004928789291134</v>
      </c>
      <c r="Y256" s="4">
        <f t="shared" si="224"/>
        <v>-3.1390335227774901E-2</v>
      </c>
      <c r="Z256" t="str">
        <f t="shared" si="210"/>
        <v>0.999994245600627+0.0233620832143011i</v>
      </c>
      <c r="AA256" s="4">
        <f t="shared" si="225"/>
        <v>1.0002671034111235</v>
      </c>
      <c r="AB256" s="4">
        <f t="shared" si="226"/>
        <v>2.3357968727882584E-2</v>
      </c>
      <c r="AC256" s="47" t="str">
        <f t="shared" si="227"/>
        <v>1.54747335218502-5.19943774689751i</v>
      </c>
      <c r="AD256" s="20">
        <f t="shared" si="228"/>
        <v>14.687729469305379</v>
      </c>
      <c r="AE256" s="43">
        <f t="shared" si="229"/>
        <v>-73.425773164510289</v>
      </c>
      <c r="AF256" t="str">
        <f t="shared" si="211"/>
        <v>69.5520360182888</v>
      </c>
      <c r="AG256" t="str">
        <f t="shared" si="212"/>
        <v>1+2.69866153258901i</v>
      </c>
      <c r="AH256">
        <f t="shared" si="230"/>
        <v>2.8779809011658966</v>
      </c>
      <c r="AI256">
        <f t="shared" si="231"/>
        <v>1.2159291487125108</v>
      </c>
      <c r="AJ256" t="str">
        <f t="shared" si="213"/>
        <v>1+0.056671892184369i</v>
      </c>
      <c r="AK256">
        <f t="shared" si="232"/>
        <v>1.0016045643684721</v>
      </c>
      <c r="AL256">
        <f t="shared" si="233"/>
        <v>5.6611337729123537E-2</v>
      </c>
      <c r="AM256" t="str">
        <f t="shared" si="214"/>
        <v>1-0.00687953761655136i</v>
      </c>
      <c r="AN256">
        <f t="shared" si="234"/>
        <v>1.0000236637389224</v>
      </c>
      <c r="AO256">
        <f t="shared" si="235"/>
        <v>-6.8794290879610493E-3</v>
      </c>
      <c r="AP256" s="41" t="str">
        <f t="shared" si="236"/>
        <v>9.52881821608478-22.2518955324452i</v>
      </c>
      <c r="AQ256">
        <f t="shared" si="237"/>
        <v>27.678570241748197</v>
      </c>
      <c r="AR256" s="43">
        <f t="shared" si="238"/>
        <v>-66.818179935893141</v>
      </c>
      <c r="AS256" t="str">
        <f t="shared" si="215"/>
        <v>-0.0000166666666666667</v>
      </c>
      <c r="AT256" t="str">
        <f t="shared" si="216"/>
        <v>0.0000512458599539508i</v>
      </c>
      <c r="AU256">
        <f t="shared" si="239"/>
        <v>5.1245859953950797E-5</v>
      </c>
      <c r="AV256">
        <f t="shared" si="240"/>
        <v>1.5707963267948966</v>
      </c>
      <c r="AW256" t="str">
        <f t="shared" si="217"/>
        <v>1+0.0520792701331327i</v>
      </c>
      <c r="AX256">
        <f t="shared" si="241"/>
        <v>1.0013552068959346</v>
      </c>
      <c r="AY256">
        <f t="shared" si="242"/>
        <v>5.2032262600477754E-2</v>
      </c>
      <c r="AZ256" t="str">
        <f t="shared" si="218"/>
        <v>1+1.77069518452651i</v>
      </c>
      <c r="BA256">
        <f t="shared" si="243"/>
        <v>2.0335588106827327</v>
      </c>
      <c r="BB256">
        <f t="shared" si="244"/>
        <v>1.0566993561745228</v>
      </c>
      <c r="BC256" s="41" t="str">
        <f t="shared" si="245"/>
        <v>-0.557432739519951+0.354260214746897i</v>
      </c>
      <c r="BD256">
        <f t="shared" si="246"/>
        <v>-3.6028291891590909</v>
      </c>
      <c r="BE256" s="43">
        <f t="shared" si="247"/>
        <v>147.56318427746777</v>
      </c>
      <c r="BF256" s="41" t="str">
        <f t="shared" si="248"/>
        <v>0.979341622736417+3.44654506927669i</v>
      </c>
      <c r="BG256" s="20">
        <f t="shared" si="249"/>
        <v>11.084900280146297</v>
      </c>
      <c r="BH256" s="43">
        <f t="shared" si="250"/>
        <v>74.13741111295748</v>
      </c>
      <c r="BI256" s="41" t="str">
        <f t="shared" si="255"/>
        <v>2.5712860472698+15.779616273677i</v>
      </c>
      <c r="BJ256" s="20">
        <f t="shared" si="251"/>
        <v>24.075741052589091</v>
      </c>
      <c r="BK256" s="43">
        <f t="shared" si="256"/>
        <v>80.745004341574628</v>
      </c>
      <c r="BL256">
        <f t="shared" si="252"/>
        <v>11.084900280146297</v>
      </c>
      <c r="BM256" s="43">
        <f t="shared" si="253"/>
        <v>74.13741111295748</v>
      </c>
    </row>
    <row r="257" spans="14:65" x14ac:dyDescent="0.25">
      <c r="N257" s="9">
        <v>39</v>
      </c>
      <c r="O257" s="34">
        <f t="shared" si="254"/>
        <v>2454.7089156850338</v>
      </c>
      <c r="P257" s="33" t="str">
        <f t="shared" si="206"/>
        <v>19.1021967526266</v>
      </c>
      <c r="Q257" s="4" t="str">
        <f t="shared" si="207"/>
        <v>1+3.46179262962961i</v>
      </c>
      <c r="R257" s="4">
        <f t="shared" si="219"/>
        <v>3.6033329308513657</v>
      </c>
      <c r="S257" s="4">
        <f t="shared" si="220"/>
        <v>1.2895837016753968</v>
      </c>
      <c r="T257" s="4" t="str">
        <f t="shared" si="208"/>
        <v>1+0.0579919501315551i</v>
      </c>
      <c r="U257" s="4">
        <f t="shared" si="221"/>
        <v>1.0016801217355074</v>
      </c>
      <c r="V257" s="4">
        <f t="shared" si="222"/>
        <v>5.7927070740205561E-2</v>
      </c>
      <c r="W257" t="str">
        <f t="shared" si="209"/>
        <v>1-0.0321320645675727i</v>
      </c>
      <c r="X257" s="4">
        <f t="shared" si="223"/>
        <v>1.0005161016062534</v>
      </c>
      <c r="Y257" s="4">
        <f t="shared" si="224"/>
        <v>-3.2121012953373287E-2</v>
      </c>
      <c r="Z257" t="str">
        <f t="shared" si="210"/>
        <v>0.999993974404139+0.0239062560382741i</v>
      </c>
      <c r="AA257" s="4">
        <f t="shared" si="225"/>
        <v>1.0002796898479713</v>
      </c>
      <c r="AB257" s="4">
        <f t="shared" si="226"/>
        <v>2.3901847353213834E-2</v>
      </c>
      <c r="AC257" s="47" t="str">
        <f t="shared" si="227"/>
        <v>1.4837437478528-5.09996886505584i</v>
      </c>
      <c r="AD257" s="20">
        <f t="shared" si="228"/>
        <v>14.504212201320662</v>
      </c>
      <c r="AE257" s="43">
        <f t="shared" si="229"/>
        <v>-73.778600213706937</v>
      </c>
      <c r="AF257" t="str">
        <f t="shared" si="211"/>
        <v>69.5520360182888</v>
      </c>
      <c r="AG257" t="str">
        <f t="shared" si="212"/>
        <v>1+2.76152143483597i</v>
      </c>
      <c r="AH257">
        <f t="shared" si="230"/>
        <v>2.9370053856025722</v>
      </c>
      <c r="AI257">
        <f t="shared" si="231"/>
        <v>1.2233659307667988</v>
      </c>
      <c r="AJ257" t="str">
        <f t="shared" si="213"/>
        <v>1+0.0579919501315551i</v>
      </c>
      <c r="AK257">
        <f t="shared" si="232"/>
        <v>1.0016801217355074</v>
      </c>
      <c r="AL257">
        <f t="shared" si="233"/>
        <v>5.7927070740205561E-2</v>
      </c>
      <c r="AM257" t="str">
        <f t="shared" si="214"/>
        <v>1-0.00703978263314884i</v>
      </c>
      <c r="AN257">
        <f t="shared" si="234"/>
        <v>1.0000247789627625</v>
      </c>
      <c r="AO257">
        <f t="shared" si="235"/>
        <v>-7.0396663428247772E-3</v>
      </c>
      <c r="AP257" s="41" t="str">
        <f t="shared" si="236"/>
        <v>9.20087862692413-21.8645965585161i</v>
      </c>
      <c r="AQ257">
        <f t="shared" si="237"/>
        <v>27.50289842823971</v>
      </c>
      <c r="AR257" s="43">
        <f t="shared" si="238"/>
        <v>-67.178071130685851</v>
      </c>
      <c r="AS257" t="str">
        <f t="shared" si="215"/>
        <v>-0.0000166666666666667</v>
      </c>
      <c r="AT257" t="str">
        <f t="shared" si="216"/>
        <v>0.0000524395293742788i</v>
      </c>
      <c r="AU257">
        <f t="shared" si="239"/>
        <v>5.2439529374278798E-5</v>
      </c>
      <c r="AV257">
        <f t="shared" si="240"/>
        <v>1.5707963267948966</v>
      </c>
      <c r="AW257" t="str">
        <f t="shared" si="217"/>
        <v>1+0.0532923521703309i</v>
      </c>
      <c r="AX257">
        <f t="shared" si="241"/>
        <v>1.0014190305760353</v>
      </c>
      <c r="AY257">
        <f t="shared" si="242"/>
        <v>5.3241986545657781E-2</v>
      </c>
      <c r="AZ257" t="str">
        <f t="shared" si="218"/>
        <v>1+1.81193997379125i</v>
      </c>
      <c r="BA257">
        <f t="shared" si="243"/>
        <v>2.0695715664413821</v>
      </c>
      <c r="BB257">
        <f t="shared" si="244"/>
        <v>1.0664996445530306</v>
      </c>
      <c r="BC257" s="41" t="str">
        <f t="shared" si="245"/>
        <v>-0.557361687794294+0.347529512071174i</v>
      </c>
      <c r="BD257">
        <f t="shared" si="246"/>
        <v>-3.6509085410114572</v>
      </c>
      <c r="BE257" s="43">
        <f t="shared" si="247"/>
        <v>148.05538736313258</v>
      </c>
      <c r="BF257" s="41" t="str">
        <f t="shared" si="248"/>
        <v>0.945407771693567+3.35817199505581i</v>
      </c>
      <c r="BG257" s="20">
        <f t="shared" si="249"/>
        <v>10.853303660309203</v>
      </c>
      <c r="BH257" s="43">
        <f t="shared" si="250"/>
        <v>74.276787149425644</v>
      </c>
      <c r="BI257" s="41" t="str">
        <f t="shared" si="255"/>
        <v>2.47037533292129+15.3840653006369i</v>
      </c>
      <c r="BJ257" s="20">
        <f t="shared" si="251"/>
        <v>23.851989887228264</v>
      </c>
      <c r="BK257" s="43">
        <f t="shared" si="256"/>
        <v>80.877316232446745</v>
      </c>
      <c r="BL257">
        <f t="shared" si="252"/>
        <v>10.853303660309203</v>
      </c>
      <c r="BM257" s="43">
        <f t="shared" si="253"/>
        <v>74.276787149425644</v>
      </c>
    </row>
    <row r="258" spans="14:65" x14ac:dyDescent="0.25">
      <c r="N258" s="9">
        <v>40</v>
      </c>
      <c r="O258" s="34">
        <f t="shared" si="254"/>
        <v>2511.8864315095811</v>
      </c>
      <c r="P258" s="33" t="str">
        <f t="shared" si="206"/>
        <v>19.1021967526266</v>
      </c>
      <c r="Q258" s="4" t="str">
        <f t="shared" si="207"/>
        <v>1+3.54242813862916i</v>
      </c>
      <c r="R258" s="4">
        <f t="shared" si="219"/>
        <v>3.6808690709330656</v>
      </c>
      <c r="S258" s="4">
        <f t="shared" si="220"/>
        <v>1.2956632910393853</v>
      </c>
      <c r="T258" s="4" t="str">
        <f t="shared" si="208"/>
        <v>1+0.0593427561783156i</v>
      </c>
      <c r="U258" s="4">
        <f t="shared" si="221"/>
        <v>1.001759233903456</v>
      </c>
      <c r="V258" s="4">
        <f t="shared" si="222"/>
        <v>5.9273243250018953E-2</v>
      </c>
      <c r="W258" t="str">
        <f t="shared" si="209"/>
        <v>1-0.03288051649951i</v>
      </c>
      <c r="X258" s="4">
        <f t="shared" si="223"/>
        <v>1.0005404181567452</v>
      </c>
      <c r="Y258" s="4">
        <f t="shared" si="224"/>
        <v>-3.2868674826964775E-2</v>
      </c>
      <c r="Z258" t="str">
        <f t="shared" si="210"/>
        <v>0.999993690426555+0.0244631042756354i</v>
      </c>
      <c r="AA258" s="4">
        <f t="shared" si="225"/>
        <v>1.0002928692956485</v>
      </c>
      <c r="AB258" s="4">
        <f t="shared" si="226"/>
        <v>2.4458380359170712E-2</v>
      </c>
      <c r="AC258" s="47" t="str">
        <f t="shared" si="227"/>
        <v>1.42244809186364-5.00166908397403i</v>
      </c>
      <c r="AD258" s="20">
        <f t="shared" si="228"/>
        <v>14.320075256567495</v>
      </c>
      <c r="AE258" s="43">
        <f t="shared" si="229"/>
        <v>-74.124529884388011</v>
      </c>
      <c r="AF258" t="str">
        <f t="shared" si="211"/>
        <v>69.5520360182888</v>
      </c>
      <c r="AG258" t="str">
        <f t="shared" si="212"/>
        <v>1+2.82584553230075i</v>
      </c>
      <c r="AH258">
        <f t="shared" si="230"/>
        <v>2.9975661748198505</v>
      </c>
      <c r="AI258">
        <f t="shared" si="231"/>
        <v>1.2306723408337754</v>
      </c>
      <c r="AJ258" t="str">
        <f t="shared" si="213"/>
        <v>1+0.0593427561783156i</v>
      </c>
      <c r="AK258">
        <f t="shared" si="232"/>
        <v>1.001759233903456</v>
      </c>
      <c r="AL258">
        <f t="shared" si="233"/>
        <v>5.9273243250018953E-2</v>
      </c>
      <c r="AM258" t="str">
        <f t="shared" si="214"/>
        <v>1-0.00720376023568099i</v>
      </c>
      <c r="AN258">
        <f t="shared" si="234"/>
        <v>1.0000259467441499</v>
      </c>
      <c r="AO258">
        <f t="shared" si="235"/>
        <v>-7.2036356285283586E-3</v>
      </c>
      <c r="AP258" s="41" t="str">
        <f t="shared" si="236"/>
        <v>8.88433607120619-21.4793880705169i</v>
      </c>
      <c r="AQ258">
        <f t="shared" si="237"/>
        <v>27.32631382010694</v>
      </c>
      <c r="AR258" s="43">
        <f t="shared" si="238"/>
        <v>-67.528962335647279</v>
      </c>
      <c r="AS258" t="str">
        <f t="shared" si="215"/>
        <v>-0.0000166666666666667</v>
      </c>
      <c r="AT258" t="str">
        <f t="shared" si="216"/>
        <v>0.0000536610029272002i</v>
      </c>
      <c r="AU258">
        <f t="shared" si="239"/>
        <v>5.3661002927200203E-5</v>
      </c>
      <c r="AV258">
        <f t="shared" si="240"/>
        <v>1.5707963267948966</v>
      </c>
      <c r="AW258" t="str">
        <f t="shared" si="217"/>
        <v>1+0.0545336905180579i</v>
      </c>
      <c r="AX258">
        <f t="shared" si="241"/>
        <v>1.001485857814038</v>
      </c>
      <c r="AY258">
        <f t="shared" si="242"/>
        <v>5.4479727102418656E-2</v>
      </c>
      <c r="AZ258" t="str">
        <f t="shared" si="218"/>
        <v>1+1.85414547761397i</v>
      </c>
      <c r="BA258">
        <f t="shared" si="243"/>
        <v>2.1066218104245333</v>
      </c>
      <c r="BB258">
        <f t="shared" si="244"/>
        <v>1.076180391038043</v>
      </c>
      <c r="BC258" s="41" t="str">
        <f t="shared" si="245"/>
        <v>-0.557287306914799+0.340982718200999i</v>
      </c>
      <c r="BD258">
        <f t="shared" si="246"/>
        <v>-3.6973656091132758</v>
      </c>
      <c r="BE258" s="43">
        <f t="shared" si="247"/>
        <v>148.53913596922533</v>
      </c>
      <c r="BF258" s="41" t="str">
        <f t="shared" si="248"/>
        <v>0.912770453454583+3.27239691075038i</v>
      </c>
      <c r="BG258" s="20">
        <f t="shared" si="249"/>
        <v>10.622709647454208</v>
      </c>
      <c r="BH258" s="43">
        <f t="shared" si="250"/>
        <v>74.414606084837317</v>
      </c>
      <c r="BI258" s="41" t="str">
        <f t="shared" si="255"/>
        <v>2.37297240673046+14.9995953949673i</v>
      </c>
      <c r="BJ258" s="20">
        <f t="shared" si="251"/>
        <v>23.628948210993663</v>
      </c>
      <c r="BK258" s="43">
        <f t="shared" si="256"/>
        <v>81.010173633578063</v>
      </c>
      <c r="BL258">
        <f t="shared" si="252"/>
        <v>10.622709647454208</v>
      </c>
      <c r="BM258" s="43">
        <f t="shared" si="253"/>
        <v>74.414606084837317</v>
      </c>
    </row>
    <row r="259" spans="14:65" x14ac:dyDescent="0.25">
      <c r="N259" s="9">
        <v>41</v>
      </c>
      <c r="O259" s="34">
        <f t="shared" si="254"/>
        <v>2570.3957827688669</v>
      </c>
      <c r="P259" s="33" t="str">
        <f t="shared" si="206"/>
        <v>19.1021967526266</v>
      </c>
      <c r="Q259" s="4" t="str">
        <f t="shared" si="207"/>
        <v>1+3.62494188991736i</v>
      </c>
      <c r="R259" s="4">
        <f t="shared" si="219"/>
        <v>3.7603462214638745</v>
      </c>
      <c r="S259" s="4">
        <f t="shared" si="220"/>
        <v>1.3016247245056698</v>
      </c>
      <c r="T259" s="4" t="str">
        <f t="shared" si="208"/>
        <v>1+0.0607250265398956i</v>
      </c>
      <c r="U259" s="4">
        <f t="shared" si="221"/>
        <v>1.001842067817214</v>
      </c>
      <c r="V259" s="4">
        <f t="shared" si="222"/>
        <v>6.0650549489951383E-2</v>
      </c>
      <c r="W259" t="str">
        <f t="shared" si="209"/>
        <v>1-0.0336464021165202i</v>
      </c>
      <c r="X259" s="4">
        <f t="shared" si="223"/>
        <v>1.0005658800775621</v>
      </c>
      <c r="Y259" s="4">
        <f t="shared" si="224"/>
        <v>-3.3633713923325669E-2</v>
      </c>
      <c r="Z259" t="str">
        <f t="shared" si="210"/>
        <v>0.99999339306552+0.025032923174691i</v>
      </c>
      <c r="AA259" s="4">
        <f t="shared" si="225"/>
        <v>1.0003066696855327</v>
      </c>
      <c r="AB259" s="4">
        <f t="shared" si="226"/>
        <v>2.502786149080095E-2</v>
      </c>
      <c r="AC259" s="47" t="str">
        <f t="shared" si="227"/>
        <v>1.36351077445184-4.90457372402894i</v>
      </c>
      <c r="AD259" s="20">
        <f t="shared" si="228"/>
        <v>14.135345390054571</v>
      </c>
      <c r="AE259" s="43">
        <f t="shared" si="229"/>
        <v>-74.463643403947628</v>
      </c>
      <c r="AF259" t="str">
        <f t="shared" si="211"/>
        <v>69.5520360182888</v>
      </c>
      <c r="AG259" t="str">
        <f t="shared" si="212"/>
        <v>1+2.89166793047122i</v>
      </c>
      <c r="AH259">
        <f t="shared" si="230"/>
        <v>3.0596966222349087</v>
      </c>
      <c r="AI259">
        <f t="shared" si="231"/>
        <v>1.2378491315681077</v>
      </c>
      <c r="AJ259" t="str">
        <f t="shared" si="213"/>
        <v>1+0.0607250265398956i</v>
      </c>
      <c r="AK259">
        <f t="shared" si="232"/>
        <v>1.001842067817214</v>
      </c>
      <c r="AL259">
        <f t="shared" si="233"/>
        <v>6.0650549489951383E-2</v>
      </c>
      <c r="AM259" t="str">
        <f t="shared" si="214"/>
        <v>1-0.00737155736724309i</v>
      </c>
      <c r="AN259">
        <f t="shared" si="234"/>
        <v>1.0000271695599168</v>
      </c>
      <c r="AO259">
        <f t="shared" si="235"/>
        <v>-7.3714238484693939E-3</v>
      </c>
      <c r="AP259" s="41" t="str">
        <f t="shared" si="236"/>
        <v>8.57892494383547-21.0965597284117i</v>
      </c>
      <c r="AQ259">
        <f t="shared" si="237"/>
        <v>27.148850881652407</v>
      </c>
      <c r="AR259" s="43">
        <f t="shared" si="238"/>
        <v>-67.870861877382609</v>
      </c>
      <c r="AS259" t="str">
        <f t="shared" si="215"/>
        <v>-0.0000166666666666667</v>
      </c>
      <c r="AT259" t="str">
        <f t="shared" si="216"/>
        <v>0.000054910928254161i</v>
      </c>
      <c r="AU259">
        <f t="shared" si="239"/>
        <v>5.4910928254160997E-5</v>
      </c>
      <c r="AV259">
        <f t="shared" si="240"/>
        <v>1.5707963267948966</v>
      </c>
      <c r="AW259" t="str">
        <f t="shared" si="217"/>
        <v>1+0.0558039433503359i</v>
      </c>
      <c r="AX259">
        <f t="shared" si="241"/>
        <v>1.0015558297436282</v>
      </c>
      <c r="AY259">
        <f t="shared" si="242"/>
        <v>5.5746125358822479E-2</v>
      </c>
      <c r="AZ259" t="str">
        <f t="shared" si="218"/>
        <v>1+1.89733407391142i</v>
      </c>
      <c r="BA259">
        <f t="shared" si="243"/>
        <v>2.1447322881948008</v>
      </c>
      <c r="BB259">
        <f t="shared" si="244"/>
        <v>1.0857394697293528</v>
      </c>
      <c r="BC259" s="41" t="str">
        <f t="shared" si="245"/>
        <v>-0.557209441847463+0.334616336635672i</v>
      </c>
      <c r="BD259">
        <f t="shared" si="246"/>
        <v>-3.7422421797292085</v>
      </c>
      <c r="BE259" s="43">
        <f t="shared" si="247"/>
        <v>149.0142715589962</v>
      </c>
      <c r="BF259" s="41" t="str">
        <f t="shared" si="248"/>
        <v>0.881389414708827+3.18912776757624i</v>
      </c>
      <c r="BG259" s="20">
        <f t="shared" si="249"/>
        <v>10.393103210325357</v>
      </c>
      <c r="BH259" s="43">
        <f t="shared" si="250"/>
        <v>74.550628155048543</v>
      </c>
      <c r="BI259" s="41" t="str">
        <f t="shared" si="255"/>
        <v>2.27899555233093+14.6258507081486i</v>
      </c>
      <c r="BJ259" s="20">
        <f t="shared" si="251"/>
        <v>23.406608701923219</v>
      </c>
      <c r="BK259" s="43">
        <f t="shared" si="256"/>
        <v>81.143409681613591</v>
      </c>
      <c r="BL259">
        <f t="shared" si="252"/>
        <v>10.393103210325357</v>
      </c>
      <c r="BM259" s="43">
        <f t="shared" si="253"/>
        <v>74.550628155048543</v>
      </c>
    </row>
    <row r="260" spans="14:65" x14ac:dyDescent="0.25">
      <c r="N260" s="9">
        <v>42</v>
      </c>
      <c r="O260" s="34">
        <f t="shared" si="254"/>
        <v>2630.2679918953822</v>
      </c>
      <c r="P260" s="33" t="str">
        <f t="shared" si="206"/>
        <v>19.1021967526266</v>
      </c>
      <c r="Q260" s="4" t="str">
        <f t="shared" si="207"/>
        <v>1+3.70937763337739i</v>
      </c>
      <c r="R260" s="4">
        <f t="shared" si="219"/>
        <v>3.8418071824338664</v>
      </c>
      <c r="S260" s="4">
        <f t="shared" si="220"/>
        <v>1.3074694673406226</v>
      </c>
      <c r="T260" s="4" t="str">
        <f t="shared" si="208"/>
        <v>1+0.0621394941143379i</v>
      </c>
      <c r="U260" s="4">
        <f t="shared" si="221"/>
        <v>1.0019287982330809</v>
      </c>
      <c r="V260" s="4">
        <f t="shared" si="222"/>
        <v>6.2059698812496733E-2</v>
      </c>
      <c r="W260" t="str">
        <f t="shared" si="209"/>
        <v>1-0.0344301275012954i</v>
      </c>
      <c r="X260" s="4">
        <f t="shared" si="223"/>
        <v>1.0005925412872891</v>
      </c>
      <c r="Y260" s="4">
        <f t="shared" si="224"/>
        <v>-3.4416532292138008E-2</v>
      </c>
      <c r="Z260" t="str">
        <f t="shared" si="210"/>
        <v>0.999993081690291+0.0256160148609638i</v>
      </c>
      <c r="AA260" s="4">
        <f t="shared" si="225"/>
        <v>1.0003211202637894</v>
      </c>
      <c r="AB260" s="4">
        <f t="shared" si="226"/>
        <v>2.561059126297794E-2</v>
      </c>
      <c r="AC260" s="47" t="str">
        <f t="shared" si="227"/>
        <v>1.30685708101848-4.80871435657779i</v>
      </c>
      <c r="AD260" s="20">
        <f t="shared" si="228"/>
        <v>13.950048645869362</v>
      </c>
      <c r="AE260" s="43">
        <f t="shared" si="229"/>
        <v>-74.796024337044827</v>
      </c>
      <c r="AF260" t="str">
        <f t="shared" si="211"/>
        <v>69.5520360182888</v>
      </c>
      <c r="AG260" t="str">
        <f t="shared" si="212"/>
        <v>1+2.95902352925419i</v>
      </c>
      <c r="AH260">
        <f t="shared" si="230"/>
        <v>3.1234308455094575</v>
      </c>
      <c r="AI260">
        <f t="shared" si="231"/>
        <v>1.2448971500614476</v>
      </c>
      <c r="AJ260" t="str">
        <f t="shared" si="213"/>
        <v>1+0.0621394941143379i</v>
      </c>
      <c r="AK260">
        <f t="shared" si="232"/>
        <v>1.0019287982330809</v>
      </c>
      <c r="AL260">
        <f t="shared" si="233"/>
        <v>6.2059698812496733E-2</v>
      </c>
      <c r="AM260" t="str">
        <f t="shared" si="214"/>
        <v>1-0.00754326299609541i</v>
      </c>
      <c r="AN260">
        <f t="shared" si="234"/>
        <v>1.0000284500036127</v>
      </c>
      <c r="AO260">
        <f t="shared" si="235"/>
        <v>-7.5431199283716079E-3</v>
      </c>
      <c r="AP260" s="41" t="str">
        <f t="shared" si="236"/>
        <v>8.28437521634709-20.7163821571425i</v>
      </c>
      <c r="AQ260">
        <f t="shared" si="237"/>
        <v>26.970543360175846</v>
      </c>
      <c r="AR260" s="43">
        <f t="shared" si="238"/>
        <v>-68.203782742832885</v>
      </c>
      <c r="AS260" t="str">
        <f t="shared" si="215"/>
        <v>-0.0000166666666666667</v>
      </c>
      <c r="AT260" t="str">
        <f t="shared" si="216"/>
        <v>0.0000561899680821142i</v>
      </c>
      <c r="AU260">
        <f t="shared" si="239"/>
        <v>5.6189968082114201E-5</v>
      </c>
      <c r="AV260">
        <f t="shared" si="240"/>
        <v>1.5707963267948966</v>
      </c>
      <c r="AW260" t="str">
        <f t="shared" si="217"/>
        <v>1+0.0571037841720308i</v>
      </c>
      <c r="AX260">
        <f t="shared" si="241"/>
        <v>1.001629094109574</v>
      </c>
      <c r="AY260">
        <f t="shared" si="242"/>
        <v>5.7041836518746884E-2</v>
      </c>
      <c r="AZ260" t="str">
        <f t="shared" si="218"/>
        <v>1+1.94152866184905i</v>
      </c>
      <c r="BA260">
        <f t="shared" si="243"/>
        <v>2.183926176586874</v>
      </c>
      <c r="BB260">
        <f t="shared" si="244"/>
        <v>1.0951749603945302</v>
      </c>
      <c r="BC260" s="41" t="str">
        <f t="shared" si="245"/>
        <v>-0.557127930430371+0.328426964740316i</v>
      </c>
      <c r="BD260">
        <f t="shared" si="246"/>
        <v>-3.7855802580144502</v>
      </c>
      <c r="BE260" s="43">
        <f t="shared" si="247"/>
        <v>149.4806465708142</v>
      </c>
      <c r="BF260" s="41" t="str">
        <f t="shared" si="248"/>
        <v>0.851224879517924+3.10827618197929i</v>
      </c>
      <c r="BG260" s="20">
        <f t="shared" si="249"/>
        <v>10.164468387854921</v>
      </c>
      <c r="BH260" s="43">
        <f t="shared" si="250"/>
        <v>74.684622233769389</v>
      </c>
      <c r="BI260" s="41" t="str">
        <f t="shared" si="255"/>
        <v>2.18836169307864+14.2624873242882i</v>
      </c>
      <c r="BJ260" s="20">
        <f t="shared" si="251"/>
        <v>23.184963102161369</v>
      </c>
      <c r="BK260" s="43">
        <f t="shared" si="256"/>
        <v>81.276863827981302</v>
      </c>
      <c r="BL260">
        <f t="shared" si="252"/>
        <v>10.164468387854921</v>
      </c>
      <c r="BM260" s="43">
        <f t="shared" si="253"/>
        <v>74.684622233769389</v>
      </c>
    </row>
    <row r="261" spans="14:65" x14ac:dyDescent="0.25">
      <c r="N261" s="9">
        <v>43</v>
      </c>
      <c r="O261" s="34">
        <f t="shared" si="254"/>
        <v>2691.5348039269184</v>
      </c>
      <c r="P261" s="33" t="str">
        <f t="shared" si="206"/>
        <v>19.1021967526266</v>
      </c>
      <c r="Q261" s="4" t="str">
        <f t="shared" si="207"/>
        <v>1+3.79578013795805i</v>
      </c>
      <c r="R261" s="4">
        <f t="shared" si="219"/>
        <v>3.9252957666546395</v>
      </c>
      <c r="S261" s="4">
        <f t="shared" si="220"/>
        <v>1.3131990205606778</v>
      </c>
      <c r="T261" s="4" t="str">
        <f t="shared" si="208"/>
        <v>1+0.0635869088710733i</v>
      </c>
      <c r="U261" s="4">
        <f t="shared" si="221"/>
        <v>1.0020196080814876</v>
      </c>
      <c r="V261" s="4">
        <f t="shared" si="222"/>
        <v>6.3501415969437425E-2</v>
      </c>
      <c r="W261" t="str">
        <f t="shared" si="209"/>
        <v>1-0.0352321081954085i</v>
      </c>
      <c r="X261" s="4">
        <f t="shared" si="223"/>
        <v>1.0006204582397329</v>
      </c>
      <c r="Y261" s="4">
        <f t="shared" si="224"/>
        <v>-3.5217541154152252E-2</v>
      </c>
      <c r="Z261" t="str">
        <f t="shared" si="210"/>
        <v>0.999992755640399+0.0262126884973839i</v>
      </c>
      <c r="AA261" s="4">
        <f t="shared" si="225"/>
        <v>1.0003362516531826</v>
      </c>
      <c r="AB261" s="4">
        <f t="shared" si="226"/>
        <v>2.620687711292519E-2</v>
      </c>
      <c r="AC261" s="47" t="str">
        <f t="shared" si="227"/>
        <v>1.25241331725098-4.71411898063585i</v>
      </c>
      <c r="AD261" s="20">
        <f t="shared" si="228"/>
        <v>13.764210370741594</v>
      </c>
      <c r="AE261" s="43">
        <f t="shared" si="229"/>
        <v>-75.121758336436699</v>
      </c>
      <c r="AF261" t="str">
        <f t="shared" si="211"/>
        <v>69.5520360182888</v>
      </c>
      <c r="AG261" t="str">
        <f t="shared" si="212"/>
        <v>1+3.02794804147968i</v>
      </c>
      <c r="AH261">
        <f t="shared" si="230"/>
        <v>3.1888037477870328</v>
      </c>
      <c r="AI261">
        <f t="shared" si="231"/>
        <v>1.2518173314955017</v>
      </c>
      <c r="AJ261" t="str">
        <f t="shared" si="213"/>
        <v>1+0.0635869088710733i</v>
      </c>
      <c r="AK261">
        <f t="shared" si="232"/>
        <v>1.0020196080814876</v>
      </c>
      <c r="AL261">
        <f t="shared" si="233"/>
        <v>6.3501415969437425E-2</v>
      </c>
      <c r="AM261" t="str">
        <f t="shared" si="214"/>
        <v>1-0.00771896816283517i</v>
      </c>
      <c r="AN261">
        <f t="shared" si="234"/>
        <v>1.0000297907910038</v>
      </c>
      <c r="AO261">
        <f t="shared" si="235"/>
        <v>-7.7188148632538053E-3</v>
      </c>
      <c r="AP261" s="41" t="str">
        <f t="shared" si="236"/>
        <v>8.00041351090413-20.3391073969627i</v>
      </c>
      <c r="AQ261">
        <f t="shared" si="237"/>
        <v>26.791424277712498</v>
      </c>
      <c r="AR261" s="43">
        <f t="shared" si="238"/>
        <v>-68.527742202375194</v>
      </c>
      <c r="AS261" t="str">
        <f t="shared" si="215"/>
        <v>-0.0000166666666666667</v>
      </c>
      <c r="AT261" t="str">
        <f t="shared" si="216"/>
        <v>0.0000574988005749068i</v>
      </c>
      <c r="AU261">
        <f t="shared" si="239"/>
        <v>5.74988005749068E-5</v>
      </c>
      <c r="AV261">
        <f t="shared" si="240"/>
        <v>1.5707963267948966</v>
      </c>
      <c r="AW261" t="str">
        <f t="shared" si="217"/>
        <v>1+0.0584339021759519i</v>
      </c>
      <c r="AX261">
        <f t="shared" si="241"/>
        <v>1.0017058055754238</v>
      </c>
      <c r="AY261">
        <f t="shared" si="242"/>
        <v>5.8367530172930289E-2</v>
      </c>
      <c r="AZ261" t="str">
        <f t="shared" si="218"/>
        <v>1+1.98675267398237i</v>
      </c>
      <c r="BA261">
        <f t="shared" si="243"/>
        <v>2.2242270989213528</v>
      </c>
      <c r="BB261">
        <f t="shared" si="244"/>
        <v>1.1044851447681194</v>
      </c>
      <c r="BC261" s="41" t="str">
        <f t="shared" si="245"/>
        <v>-0.557042603054786+0.322411291815892i</v>
      </c>
      <c r="BD261">
        <f t="shared" si="246"/>
        <v>-3.8274219783803636</v>
      </c>
      <c r="BE261" s="43">
        <f t="shared" si="247"/>
        <v>149.93812419059756</v>
      </c>
      <c r="BF261" s="41" t="str">
        <f t="shared" si="248"/>
        <v>0.822237615978655+3.02975730358568i</v>
      </c>
      <c r="BG261" s="20">
        <f t="shared" si="249"/>
        <v>9.9367883923612208</v>
      </c>
      <c r="BH261" s="43">
        <f t="shared" si="250"/>
        <v>74.816365854160878</v>
      </c>
      <c r="BI261" s="41" t="str">
        <f t="shared" si="255"/>
        <v>2.10098672260819+13.9091729833269i</v>
      </c>
      <c r="BJ261" s="20">
        <f t="shared" si="251"/>
        <v>22.964002299332151</v>
      </c>
      <c r="BK261" s="43">
        <f t="shared" si="256"/>
        <v>81.410381988222412</v>
      </c>
      <c r="BL261">
        <f t="shared" si="252"/>
        <v>9.9367883923612208</v>
      </c>
      <c r="BM261" s="43">
        <f t="shared" si="253"/>
        <v>74.816365854160878</v>
      </c>
    </row>
    <row r="262" spans="14:65" x14ac:dyDescent="0.25">
      <c r="N262" s="9">
        <v>44</v>
      </c>
      <c r="O262" s="34">
        <f t="shared" si="254"/>
        <v>2754.228703338169</v>
      </c>
      <c r="P262" s="33" t="str">
        <f t="shared" si="206"/>
        <v>19.1021967526266</v>
      </c>
      <c r="Q262" s="4" t="str">
        <f t="shared" si="207"/>
        <v>1+3.88419521541096i</v>
      </c>
      <c r="R262" s="4">
        <f t="shared" si="219"/>
        <v>4.0108568250962779</v>
      </c>
      <c r="S262" s="4">
        <f t="shared" si="220"/>
        <v>1.3188149167253973</v>
      </c>
      <c r="T262" s="4" t="str">
        <f t="shared" si="208"/>
        <v>1+0.0650680382485643i</v>
      </c>
      <c r="U262" s="4">
        <f t="shared" si="221"/>
        <v>1.0021146888463</v>
      </c>
      <c r="V262" s="4">
        <f t="shared" si="222"/>
        <v>6.4976441391339054E-2</v>
      </c>
      <c r="W262" t="str">
        <f t="shared" si="209"/>
        <v>1-0.036052769419639i</v>
      </c>
      <c r="X262" s="4">
        <f t="shared" si="223"/>
        <v>1.000649690042837</v>
      </c>
      <c r="Y262" s="4">
        <f t="shared" si="224"/>
        <v>-3.6037161101005098E-2</v>
      </c>
      <c r="Z262" t="str">
        <f t="shared" si="210"/>
        <v>0.99999241422425+0.0268232604482114i</v>
      </c>
      <c r="AA262" s="4">
        <f t="shared" si="225"/>
        <v>1.0003520959177905</v>
      </c>
      <c r="AB262" s="4">
        <f t="shared" si="226"/>
        <v>2.6817033555926819E-2</v>
      </c>
      <c r="AC262" s="47" t="str">
        <f t="shared" si="227"/>
        <v>1.20010691998022-4.62081219821245i</v>
      </c>
      <c r="AD262" s="20">
        <f t="shared" si="228"/>
        <v>13.577855228997587</v>
      </c>
      <c r="AE262" s="43">
        <f t="shared" si="229"/>
        <v>-75.44093290629543</v>
      </c>
      <c r="AF262" t="str">
        <f t="shared" si="211"/>
        <v>69.5520360182888</v>
      </c>
      <c r="AG262" t="str">
        <f t="shared" si="212"/>
        <v>1+3.0984780118364i</v>
      </c>
      <c r="AH262">
        <f t="shared" si="230"/>
        <v>3.2558510392574247</v>
      </c>
      <c r="AI262">
        <f t="shared" si="231"/>
        <v>1.258610692954558</v>
      </c>
      <c r="AJ262" t="str">
        <f t="shared" si="213"/>
        <v>1+0.0650680382485643i</v>
      </c>
      <c r="AK262">
        <f t="shared" si="232"/>
        <v>1.0021146888463</v>
      </c>
      <c r="AL262">
        <f t="shared" si="233"/>
        <v>6.4976441391339054E-2</v>
      </c>
      <c r="AM262" t="str">
        <f t="shared" si="214"/>
        <v>1-0.00789876602866749i</v>
      </c>
      <c r="AN262">
        <f t="shared" si="234"/>
        <v>1.0000311947658311</v>
      </c>
      <c r="AO262">
        <f t="shared" si="235"/>
        <v>-7.8986017654833138E-3</v>
      </c>
      <c r="AP262" s="41" t="str">
        <f t="shared" si="236"/>
        <v>7.72676410371846-19.9649693974408i</v>
      </c>
      <c r="AQ262">
        <f t="shared" si="237"/>
        <v>26.611525925951533</v>
      </c>
      <c r="AR262" s="43">
        <f t="shared" si="238"/>
        <v>-68.842761442045983</v>
      </c>
      <c r="AS262" t="str">
        <f t="shared" si="215"/>
        <v>-0.0000166666666666667</v>
      </c>
      <c r="AT262" t="str">
        <f t="shared" si="216"/>
        <v>0.0000588381196928507i</v>
      </c>
      <c r="AU262">
        <f t="shared" si="239"/>
        <v>5.8838119692850698E-5</v>
      </c>
      <c r="AV262">
        <f t="shared" si="240"/>
        <v>1.5707963267948966</v>
      </c>
      <c r="AW262" t="str">
        <f t="shared" si="217"/>
        <v>1+0.0597950026082708i</v>
      </c>
      <c r="AX262">
        <f t="shared" si="241"/>
        <v>1.0017861260453367</v>
      </c>
      <c r="AY262">
        <f t="shared" si="242"/>
        <v>5.972389057228393E-2</v>
      </c>
      <c r="AZ262" t="str">
        <f t="shared" si="218"/>
        <v>1+2.03303008868121i</v>
      </c>
      <c r="BA262">
        <f t="shared" si="243"/>
        <v>2.2656591406218034</v>
      </c>
      <c r="BB262">
        <f t="shared" si="244"/>
        <v>1.1136685023038864</v>
      </c>
      <c r="BC262" s="41" t="str">
        <f t="shared" si="245"/>
        <v>-0.556953282332861+0.316566097209247i</v>
      </c>
      <c r="BD262">
        <f t="shared" si="246"/>
        <v>-3.8678095194073983</v>
      </c>
      <c r="BE262" s="43">
        <f t="shared" si="247"/>
        <v>150.38657809277501</v>
      </c>
      <c r="BF262" s="41" t="str">
        <f t="shared" si="248"/>
        <v>0.794388995291633+2.9534896847301i</v>
      </c>
      <c r="BG262" s="20">
        <f t="shared" si="249"/>
        <v>9.7100457095902009</v>
      </c>
      <c r="BH262" s="43">
        <f t="shared" si="250"/>
        <v>74.945645186479595</v>
      </c>
      <c r="BI262" s="41" t="str">
        <f t="shared" si="255"/>
        <v>2.01678581367216+13.5655867939504i</v>
      </c>
      <c r="BJ262" s="20">
        <f t="shared" si="251"/>
        <v>22.743716406544117</v>
      </c>
      <c r="BK262" s="43">
        <f t="shared" si="256"/>
        <v>81.543816650729013</v>
      </c>
      <c r="BL262">
        <f t="shared" si="252"/>
        <v>9.7100457095902009</v>
      </c>
      <c r="BM262" s="43">
        <f t="shared" si="253"/>
        <v>74.945645186479595</v>
      </c>
    </row>
    <row r="263" spans="14:65" x14ac:dyDescent="0.25">
      <c r="N263" s="9">
        <v>45</v>
      </c>
      <c r="O263" s="34">
        <f t="shared" si="254"/>
        <v>2818.3829312644561</v>
      </c>
      <c r="P263" s="33" t="str">
        <f t="shared" si="206"/>
        <v>19.1021967526266</v>
      </c>
      <c r="Q263" s="4" t="str">
        <f t="shared" si="207"/>
        <v>1+3.97466974458047i</v>
      </c>
      <c r="R263" s="4">
        <f t="shared" si="219"/>
        <v>4.0985362726811854</v>
      </c>
      <c r="S263" s="4">
        <f t="shared" si="220"/>
        <v>1.324318715940759</v>
      </c>
      <c r="T263" s="4" t="str">
        <f t="shared" si="208"/>
        <v>1+0.0665836675612119i</v>
      </c>
      <c r="U263" s="4">
        <f t="shared" si="221"/>
        <v>1.0022142409614334</v>
      </c>
      <c r="V263" s="4">
        <f t="shared" si="222"/>
        <v>6.6485531468032058E-2</v>
      </c>
      <c r="W263" t="str">
        <f t="shared" si="209"/>
        <v>1-0.0368925462994304i</v>
      </c>
      <c r="X263" s="4">
        <f t="shared" si="223"/>
        <v>1.0006802985831467</v>
      </c>
      <c r="Y263" s="4">
        <f t="shared" si="224"/>
        <v>-3.6875822298711537E-2</v>
      </c>
      <c r="Z263" t="str">
        <f t="shared" si="210"/>
        <v>0.999992056717653+0.0274480544467762i</v>
      </c>
      <c r="AA263" s="4">
        <f t="shared" si="225"/>
        <v>1.0003686866307415</v>
      </c>
      <c r="AB263" s="4">
        <f t="shared" si="226"/>
        <v>2.7441382344269846E-2</v>
      </c>
      <c r="AC263" s="47" t="str">
        <f t="shared" si="227"/>
        <v>1.14986655457924-4.52881538754545i</v>
      </c>
      <c r="AD263" s="20">
        <f t="shared" si="228"/>
        <v>13.391007218768188</v>
      </c>
      <c r="AE263" s="43">
        <f t="shared" si="229"/>
        <v>-75.753637177909653</v>
      </c>
      <c r="AF263" t="str">
        <f t="shared" si="211"/>
        <v>69.5520360182888</v>
      </c>
      <c r="AG263" t="str">
        <f t="shared" si="212"/>
        <v>1+3.17065083624819i</v>
      </c>
      <c r="AH263">
        <f t="shared" si="230"/>
        <v>3.3246092590560692</v>
      </c>
      <c r="AI263">
        <f t="shared" si="231"/>
        <v>1.2652783274110044</v>
      </c>
      <c r="AJ263" t="str">
        <f t="shared" si="213"/>
        <v>1+0.0665836675612119i</v>
      </c>
      <c r="AK263">
        <f t="shared" si="232"/>
        <v>1.0022142409614334</v>
      </c>
      <c r="AL263">
        <f t="shared" si="233"/>
        <v>6.6485531468032058E-2</v>
      </c>
      <c r="AM263" t="str">
        <f t="shared" si="214"/>
        <v>1-0.00808275192480073i</v>
      </c>
      <c r="AN263">
        <f t="shared" si="234"/>
        <v>1.0000326649058409</v>
      </c>
      <c r="AO263">
        <f t="shared" si="235"/>
        <v>-8.0825759139382513E-3</v>
      </c>
      <c r="AP263" s="41" t="str">
        <f t="shared" si="236"/>
        <v>7.46314985844666-19.5941845482829i</v>
      </c>
      <c r="AQ263">
        <f t="shared" si="237"/>
        <v>26.430879864134891</v>
      </c>
      <c r="AR263" s="43">
        <f t="shared" si="238"/>
        <v>-69.148865205682768</v>
      </c>
      <c r="AS263" t="str">
        <f t="shared" si="215"/>
        <v>-0.0000166666666666667</v>
      </c>
      <c r="AT263" t="str">
        <f t="shared" si="216"/>
        <v>0.0000602086355606703i</v>
      </c>
      <c r="AU263">
        <f t="shared" si="239"/>
        <v>6.0208635560670299E-5</v>
      </c>
      <c r="AV263">
        <f t="shared" si="240"/>
        <v>1.5707963267948966</v>
      </c>
      <c r="AW263" t="str">
        <f t="shared" si="217"/>
        <v>1+0.061187807142453i</v>
      </c>
      <c r="AX263">
        <f t="shared" si="241"/>
        <v>1.0018702250006744</v>
      </c>
      <c r="AY263">
        <f t="shared" si="242"/>
        <v>6.1111616903243696E-2</v>
      </c>
      <c r="AZ263" t="str">
        <f t="shared" si="218"/>
        <v>1+2.0803854428434i</v>
      </c>
      <c r="BA263">
        <f t="shared" si="243"/>
        <v>2.3082468652193011</v>
      </c>
      <c r="BB263">
        <f t="shared" si="244"/>
        <v>1.122723705435543</v>
      </c>
      <c r="BC263" s="41" t="str">
        <f t="shared" si="245"/>
        <v>-0.556859782751458+0.310888248461562i</v>
      </c>
      <c r="BD263">
        <f t="shared" si="246"/>
        <v>-3.9067850235088937</v>
      </c>
      <c r="BE263" s="43">
        <f t="shared" si="247"/>
        <v>150.82589215296949</v>
      </c>
      <c r="BF263" s="41" t="str">
        <f t="shared" si="248"/>
        <v>0.767641043663612+2.87939515194769i</v>
      </c>
      <c r="BG263" s="20">
        <f t="shared" si="249"/>
        <v>9.4842221952592922</v>
      </c>
      <c r="BH263" s="43">
        <f t="shared" si="250"/>
        <v>75.072254975059863</v>
      </c>
      <c r="BI263" s="41" t="str">
        <f t="shared" si="255"/>
        <v>1.93567370543209+13.2314189382474i</v>
      </c>
      <c r="BJ263" s="20">
        <f t="shared" si="251"/>
        <v>22.524094840625981</v>
      </c>
      <c r="BK263" s="43">
        <f t="shared" si="256"/>
        <v>81.67702694728672</v>
      </c>
      <c r="BL263">
        <f t="shared" si="252"/>
        <v>9.4842221952592922</v>
      </c>
      <c r="BM263" s="43">
        <f t="shared" si="253"/>
        <v>75.072254975059863</v>
      </c>
    </row>
    <row r="264" spans="14:65" x14ac:dyDescent="0.25">
      <c r="N264" s="9">
        <v>46</v>
      </c>
      <c r="O264" s="34">
        <f t="shared" si="254"/>
        <v>2884.0315031266077</v>
      </c>
      <c r="P264" s="33" t="str">
        <f t="shared" si="206"/>
        <v>19.1021967526266</v>
      </c>
      <c r="Q264" s="4" t="str">
        <f t="shared" si="207"/>
        <v>1+4.06725169625953i</v>
      </c>
      <c r="R264" s="4">
        <f t="shared" si="219"/>
        <v>4.1883811145508263</v>
      </c>
      <c r="S264" s="4">
        <f t="shared" si="220"/>
        <v>1.3297120020697402</v>
      </c>
      <c r="T264" s="4" t="str">
        <f t="shared" si="208"/>
        <v>1+0.0681346004157395i</v>
      </c>
      <c r="U264" s="4">
        <f t="shared" si="221"/>
        <v>1.0023184742255389</v>
      </c>
      <c r="V264" s="4">
        <f t="shared" si="222"/>
        <v>6.8029458829723652E-2</v>
      </c>
      <c r="W264" t="str">
        <f t="shared" si="209"/>
        <v>1-0.0377518840956004i</v>
      </c>
      <c r="X264" s="4">
        <f t="shared" si="223"/>
        <v>1.0007123486560798</v>
      </c>
      <c r="Y264" s="4">
        <f t="shared" si="224"/>
        <v>-3.7733964694849097E-2</v>
      </c>
      <c r="Z264" t="str">
        <f t="shared" si="210"/>
        <v>0.999991682362289+0.0280874017671267i</v>
      </c>
      <c r="AA264" s="4">
        <f t="shared" si="225"/>
        <v>1.0003860589451399</v>
      </c>
      <c r="AB264" s="4">
        <f t="shared" si="226"/>
        <v>2.8080252629468221E-2</v>
      </c>
      <c r="AC264" s="47" t="str">
        <f t="shared" si="227"/>
        <v>1.10162219970962-4.43814687356978i</v>
      </c>
      <c r="AD264" s="20">
        <f t="shared" si="228"/>
        <v>13.20368968931929</v>
      </c>
      <c r="AE264" s="43">
        <f t="shared" si="229"/>
        <v>-76.059961697625099</v>
      </c>
      <c r="AF264" t="str">
        <f t="shared" si="211"/>
        <v>69.5520360182888</v>
      </c>
      <c r="AG264" t="str">
        <f t="shared" si="212"/>
        <v>1+3.24450478170189i</v>
      </c>
      <c r="AH264">
        <f t="shared" si="230"/>
        <v>3.3951157975077124</v>
      </c>
      <c r="AI264">
        <f t="shared" si="231"/>
        <v>1.2718213978951767</v>
      </c>
      <c r="AJ264" t="str">
        <f t="shared" si="213"/>
        <v>1+0.0681346004157395i</v>
      </c>
      <c r="AK264">
        <f t="shared" si="232"/>
        <v>1.0023184742255389</v>
      </c>
      <c r="AL264">
        <f t="shared" si="233"/>
        <v>6.8029458829723652E-2</v>
      </c>
      <c r="AM264" t="str">
        <f t="shared" si="214"/>
        <v>1-0.00827102340299236i</v>
      </c>
      <c r="AN264">
        <f t="shared" si="234"/>
        <v>1.0000342043290984</v>
      </c>
      <c r="AO264">
        <f t="shared" si="235"/>
        <v>-8.2708348043036752E-3</v>
      </c>
      <c r="AP264" s="41" t="str">
        <f t="shared" si="236"/>
        <v>7.20929309059339-19.2269522405465i</v>
      </c>
      <c r="AQ264">
        <f t="shared" si="237"/>
        <v>26.249516919738181</v>
      </c>
      <c r="AR264" s="43">
        <f t="shared" si="238"/>
        <v>-69.446081447656582</v>
      </c>
      <c r="AS264" t="str">
        <f t="shared" si="215"/>
        <v>-0.0000166666666666667</v>
      </c>
      <c r="AT264" t="str">
        <f t="shared" si="216"/>
        <v>0.0000616110748440198i</v>
      </c>
      <c r="AU264">
        <f t="shared" si="239"/>
        <v>6.1611074844019806E-5</v>
      </c>
      <c r="AV264">
        <f t="shared" si="240"/>
        <v>1.5707963267948966</v>
      </c>
      <c r="AW264" t="str">
        <f t="shared" si="217"/>
        <v>1+0.0626130542618984i</v>
      </c>
      <c r="AX264">
        <f t="shared" si="241"/>
        <v>1.0019582798520124</v>
      </c>
      <c r="AY264">
        <f t="shared" si="242"/>
        <v>6.2531423564908872E-2</v>
      </c>
      <c r="AZ264" t="str">
        <f t="shared" si="218"/>
        <v>1+2.12884384490455i</v>
      </c>
      <c r="BA264">
        <f t="shared" si="243"/>
        <v>2.3520153307297953</v>
      </c>
      <c r="BB264">
        <f t="shared" si="244"/>
        <v>1.1316496144010817</v>
      </c>
      <c r="BC264" s="41" t="str">
        <f t="shared" si="245"/>
        <v>-0.556761910311575+0.305374699493629i</v>
      </c>
      <c r="BD264">
        <f t="shared" si="246"/>
        <v>-3.9443905215005777</v>
      </c>
      <c r="BE264" s="43">
        <f t="shared" si="247"/>
        <v>151.25596013557484</v>
      </c>
      <c r="BF264" s="41" t="str">
        <f t="shared" si="248"/>
        <v>0.741956487472993+2.80739867976389i</v>
      </c>
      <c r="BG264" s="20">
        <f t="shared" si="249"/>
        <v>9.2592991678187122</v>
      </c>
      <c r="BH264" s="43">
        <f t="shared" si="250"/>
        <v>75.195998437949754</v>
      </c>
      <c r="BI264" s="41" t="str">
        <f t="shared" si="255"/>
        <v>1.85756496952043+12.9063703700175i</v>
      </c>
      <c r="BJ264" s="20">
        <f t="shared" si="251"/>
        <v>22.305126398237576</v>
      </c>
      <c r="BK264" s="43">
        <f t="shared" si="256"/>
        <v>81.809878687918257</v>
      </c>
      <c r="BL264">
        <f t="shared" si="252"/>
        <v>9.2592991678187122</v>
      </c>
      <c r="BM264" s="43">
        <f t="shared" si="253"/>
        <v>75.195998437949754</v>
      </c>
    </row>
    <row r="265" spans="14:65" x14ac:dyDescent="0.25">
      <c r="N265" s="9">
        <v>47</v>
      </c>
      <c r="O265" s="34">
        <f t="shared" si="254"/>
        <v>2951.2092266663876</v>
      </c>
      <c r="P265" s="33" t="str">
        <f t="shared" si="206"/>
        <v>19.1021967526266</v>
      </c>
      <c r="Q265" s="4" t="str">
        <f t="shared" si="207"/>
        <v>1+4.16199015862438i</v>
      </c>
      <c r="R265" s="4">
        <f t="shared" si="219"/>
        <v>4.2804394728212412</v>
      </c>
      <c r="S265" s="4">
        <f t="shared" si="220"/>
        <v>1.3349963791464883</v>
      </c>
      <c r="T265" s="4" t="str">
        <f t="shared" si="208"/>
        <v>1+0.0697216591372756i</v>
      </c>
      <c r="U265" s="4">
        <f t="shared" si="221"/>
        <v>1.0024276082355545</v>
      </c>
      <c r="V265" s="4">
        <f t="shared" si="222"/>
        <v>6.960901262835216E-2</v>
      </c>
      <c r="W265" t="str">
        <f t="shared" si="209"/>
        <v>1-0.0386312384404231i</v>
      </c>
      <c r="X265" s="4">
        <f t="shared" si="223"/>
        <v>1.0007459081022718</v>
      </c>
      <c r="Y265" s="4">
        <f t="shared" si="224"/>
        <v>-3.8612038229443195E-2</v>
      </c>
      <c r="Z265" t="str">
        <f t="shared" si="210"/>
        <v>0.9999912903641+0.0287416413996748i</v>
      </c>
      <c r="AA265" s="4">
        <f t="shared" si="225"/>
        <v>1.0004042496683054</v>
      </c>
      <c r="AB265" s="4">
        <f t="shared" si="226"/>
        <v>2.8733981127811808E-2</v>
      </c>
      <c r="AC265" s="47" t="str">
        <f t="shared" si="227"/>
        <v>1.05530522021725-4.34882209504691i</v>
      </c>
      <c r="AD265" s="20">
        <f t="shared" si="228"/>
        <v>13.015925359383672</v>
      </c>
      <c r="AE265" s="43">
        <f t="shared" si="229"/>
        <v>-76.359998226839991</v>
      </c>
      <c r="AF265" t="str">
        <f t="shared" si="211"/>
        <v>69.5520360182888</v>
      </c>
      <c r="AG265" t="str">
        <f t="shared" si="212"/>
        <v>1+3.32007900653694i</v>
      </c>
      <c r="AH265">
        <f t="shared" si="230"/>
        <v>3.4674089187240833</v>
      </c>
      <c r="AI265">
        <f t="shared" si="231"/>
        <v>1.2782411318587454</v>
      </c>
      <c r="AJ265" t="str">
        <f t="shared" si="213"/>
        <v>1+0.0697216591372756i</v>
      </c>
      <c r="AK265">
        <f t="shared" si="232"/>
        <v>1.0024276082355545</v>
      </c>
      <c r="AL265">
        <f t="shared" si="233"/>
        <v>6.960901262835216E-2</v>
      </c>
      <c r="AM265" t="str">
        <f t="shared" si="214"/>
        <v>1-0.00846368028727219i</v>
      </c>
      <c r="AN265">
        <f t="shared" si="234"/>
        <v>1.0000358163005989</v>
      </c>
      <c r="AO265">
        <f t="shared" si="235"/>
        <v>-8.4634782005272215E-3</v>
      </c>
      <c r="AP265" s="41" t="str">
        <f t="shared" si="236"/>
        <v>6.96491636437362-18.8634554522594i</v>
      </c>
      <c r="AQ265">
        <f t="shared" si="237"/>
        <v>26.06746719173988</v>
      </c>
      <c r="AR265" s="43">
        <f t="shared" si="238"/>
        <v>-69.734440996745178</v>
      </c>
      <c r="AS265" t="str">
        <f t="shared" si="215"/>
        <v>-0.0000166666666666667</v>
      </c>
      <c r="AT265" t="str">
        <f t="shared" si="216"/>
        <v>0.0000630461811347705i</v>
      </c>
      <c r="AU265">
        <f t="shared" si="239"/>
        <v>6.3046181134770505E-5</v>
      </c>
      <c r="AV265">
        <f t="shared" si="240"/>
        <v>1.5707963267948966</v>
      </c>
      <c r="AW265" t="str">
        <f t="shared" si="217"/>
        <v>1+0.0640714996514952i</v>
      </c>
      <c r="AX265">
        <f t="shared" si="241"/>
        <v>1.0020504763072524</v>
      </c>
      <c r="AY265">
        <f t="shared" si="242"/>
        <v>6.3984040447692611E-2</v>
      </c>
      <c r="AZ265" t="str">
        <f t="shared" si="218"/>
        <v>1+2.17843098815084i</v>
      </c>
      <c r="BA265">
        <f t="shared" si="243"/>
        <v>2.3969901063908972</v>
      </c>
      <c r="BB265">
        <f t="shared" si="244"/>
        <v>1.1404452716850628</v>
      </c>
      <c r="BC265" s="41" t="str">
        <f t="shared" si="245"/>
        <v>-0.556659462152905+0.300022488826292i</v>
      </c>
      <c r="BD265">
        <f t="shared" si="246"/>
        <v>-3.9806678621851521</v>
      </c>
      <c r="BE265" s="43">
        <f t="shared" si="247"/>
        <v>151.67668535935758</v>
      </c>
      <c r="BF265" s="41" t="str">
        <f t="shared" si="248"/>
        <v>0.717298792125456+2.73742826706844i</v>
      </c>
      <c r="BG265" s="20">
        <f t="shared" si="249"/>
        <v>9.0352574971985185</v>
      </c>
      <c r="BH265" s="43">
        <f t="shared" si="250"/>
        <v>75.316687132517558</v>
      </c>
      <c r="BI265" s="41" t="str">
        <f t="shared" si="255"/>
        <v>1.78237425531857+12.5901525085063i</v>
      </c>
      <c r="BJ265" s="20">
        <f t="shared" si="251"/>
        <v>22.086799329554697</v>
      </c>
      <c r="BK265" s="43">
        <f t="shared" si="256"/>
        <v>81.942244362612342</v>
      </c>
      <c r="BL265">
        <f t="shared" si="252"/>
        <v>9.0352574971985185</v>
      </c>
      <c r="BM265" s="43">
        <f t="shared" si="253"/>
        <v>75.316687132517558</v>
      </c>
    </row>
    <row r="266" spans="14:65" x14ac:dyDescent="0.25">
      <c r="N266" s="9">
        <v>48</v>
      </c>
      <c r="O266" s="34">
        <f t="shared" si="254"/>
        <v>3019.9517204020176</v>
      </c>
      <c r="P266" s="33" t="str">
        <f t="shared" si="206"/>
        <v>19.1021967526266</v>
      </c>
      <c r="Q266" s="4" t="str">
        <f t="shared" si="207"/>
        <v>1+4.2589353632618i</v>
      </c>
      <c r="R266" s="4">
        <f t="shared" si="219"/>
        <v>4.3747606138441357</v>
      </c>
      <c r="S266" s="4">
        <f t="shared" si="220"/>
        <v>1.3401734679897599</v>
      </c>
      <c r="T266" s="4" t="str">
        <f t="shared" si="208"/>
        <v>1+0.0713456852053615i</v>
      </c>
      <c r="U266" s="4">
        <f t="shared" si="221"/>
        <v>1.002541872839944</v>
      </c>
      <c r="V266" s="4">
        <f t="shared" si="222"/>
        <v>7.1224998818760307E-2</v>
      </c>
      <c r="W266" t="str">
        <f t="shared" si="209"/>
        <v>1-0.0395310755792119i</v>
      </c>
      <c r="X266" s="4">
        <f t="shared" si="223"/>
        <v>1.0007810479502743</v>
      </c>
      <c r="Y266" s="4">
        <f t="shared" si="224"/>
        <v>-3.9510503049564251E-2</v>
      </c>
      <c r="Z266" t="str">
        <f t="shared" si="210"/>
        <v>0.999990879891606+0.0294111202309336i</v>
      </c>
      <c r="AA266" s="4">
        <f t="shared" si="225"/>
        <v>1.0004232973394944</v>
      </c>
      <c r="AB266" s="4">
        <f t="shared" si="226"/>
        <v>2.9402912289288773E-2</v>
      </c>
      <c r="AC266" s="47" t="str">
        <f t="shared" si="227"/>
        <v>1.01084842896864-4.26085376786628i</v>
      </c>
      <c r="AD266" s="20">
        <f t="shared" si="228"/>
        <v>12.827736336381237</v>
      </c>
      <c r="AE266" s="43">
        <f t="shared" si="229"/>
        <v>-76.653839553833379</v>
      </c>
      <c r="AF266" t="str">
        <f t="shared" si="211"/>
        <v>69.5520360182888</v>
      </c>
      <c r="AG266" t="str">
        <f t="shared" si="212"/>
        <v>1+3.3974135812077i</v>
      </c>
      <c r="AH266">
        <f t="shared" si="230"/>
        <v>3.5415277835666528</v>
      </c>
      <c r="AI266">
        <f t="shared" si="231"/>
        <v>1.2845388157389508</v>
      </c>
      <c r="AJ266" t="str">
        <f t="shared" si="213"/>
        <v>1+0.0713456852053615i</v>
      </c>
      <c r="AK266">
        <f t="shared" si="232"/>
        <v>1.002541872839944</v>
      </c>
      <c r="AL266">
        <f t="shared" si="233"/>
        <v>7.1224998818760307E-2</v>
      </c>
      <c r="AM266" t="str">
        <f t="shared" si="214"/>
        <v>1-0.0086608247268704i</v>
      </c>
      <c r="AN266">
        <f t="shared" si="234"/>
        <v>1.0000375042391909</v>
      </c>
      <c r="AO266">
        <f t="shared" si="235"/>
        <v>-8.6606081874604311E-3</v>
      </c>
      <c r="AP266" s="41" t="str">
        <f t="shared" si="236"/>
        <v>6.72974322383728-18.5038613529038i</v>
      </c>
      <c r="AQ266">
        <f t="shared" si="237"/>
        <v>25.884760056289679</v>
      </c>
      <c r="AR266" s="43">
        <f t="shared" si="238"/>
        <v>-70.013977231593444</v>
      </c>
      <c r="AS266" t="str">
        <f t="shared" si="215"/>
        <v>-0.0000166666666666667</v>
      </c>
      <c r="AT266" t="str">
        <f t="shared" si="216"/>
        <v>0.0000645147153452737i</v>
      </c>
      <c r="AU266">
        <f t="shared" si="239"/>
        <v>6.4514715345273698E-5</v>
      </c>
      <c r="AV266">
        <f t="shared" si="240"/>
        <v>1.5707963267948966</v>
      </c>
      <c r="AW266" t="str">
        <f t="shared" si="217"/>
        <v>1+0.0655639165982938i</v>
      </c>
      <c r="AX266">
        <f t="shared" si="241"/>
        <v>1.0021470087565536</v>
      </c>
      <c r="AY266">
        <f t="shared" si="242"/>
        <v>6.5470213213178918E-2</v>
      </c>
      <c r="AZ266" t="str">
        <f t="shared" si="218"/>
        <v>1+2.22917316434199i</v>
      </c>
      <c r="BA266">
        <f t="shared" si="243"/>
        <v>2.4431972897460574</v>
      </c>
      <c r="BB266">
        <f t="shared" si="244"/>
        <v>1.1491098961319608</v>
      </c>
      <c r="BC266" s="41" t="str">
        <f t="shared" si="245"/>
        <v>-0.556552226163023+0.294828737834421i</v>
      </c>
      <c r="BD266">
        <f t="shared" si="246"/>
        <v>-4.0156586470184736</v>
      </c>
      <c r="BE266" s="43">
        <f t="shared" si="247"/>
        <v>152.08798034414093</v>
      </c>
      <c r="BF266" s="41" t="str">
        <f t="shared" si="248"/>
        <v>0.693632195021161+2.66941481631581i</v>
      </c>
      <c r="BG266" s="20">
        <f t="shared" si="249"/>
        <v>8.8120776893627522</v>
      </c>
      <c r="BH266" s="43">
        <f t="shared" si="250"/>
        <v>75.434140790307552</v>
      </c>
      <c r="BI266" s="41" t="str">
        <f t="shared" si="255"/>
        <v>1.71001651500759+12.2824869292042i</v>
      </c>
      <c r="BJ266" s="20">
        <f t="shared" si="251"/>
        <v>21.869101409271185</v>
      </c>
      <c r="BK266" s="43">
        <f t="shared" si="256"/>
        <v>82.074003112547473</v>
      </c>
      <c r="BL266">
        <f t="shared" si="252"/>
        <v>8.8120776893627522</v>
      </c>
      <c r="BM266" s="43">
        <f t="shared" si="253"/>
        <v>75.434140790307552</v>
      </c>
    </row>
    <row r="267" spans="14:65" x14ac:dyDescent="0.25">
      <c r="N267" s="9">
        <v>49</v>
      </c>
      <c r="O267" s="34">
        <f t="shared" si="254"/>
        <v>3090.295432513592</v>
      </c>
      <c r="P267" s="33" t="str">
        <f t="shared" si="206"/>
        <v>19.1021967526266</v>
      </c>
      <c r="Q267" s="4" t="str">
        <f t="shared" si="207"/>
        <v>1+4.35813871180248i</v>
      </c>
      <c r="R267" s="4">
        <f t="shared" si="219"/>
        <v>4.47139497599031</v>
      </c>
      <c r="S267" s="4">
        <f t="shared" si="220"/>
        <v>1.3452449030107412</v>
      </c>
      <c r="T267" s="4" t="str">
        <f t="shared" si="208"/>
        <v>1+0.073007539700115i</v>
      </c>
      <c r="U267" s="4">
        <f t="shared" si="221"/>
        <v>1.0026615086124848</v>
      </c>
      <c r="V267" s="4">
        <f t="shared" si="222"/>
        <v>7.2878240439224626E-2</v>
      </c>
      <c r="W267" t="str">
        <f t="shared" si="209"/>
        <v>1-0.0404518726175283i</v>
      </c>
      <c r="X267" s="4">
        <f t="shared" si="223"/>
        <v>1.0008178425659011</v>
      </c>
      <c r="Y267" s="4">
        <f t="shared" si="224"/>
        <v>-4.0429829727635314E-2</v>
      </c>
      <c r="Z267" t="str">
        <f t="shared" si="210"/>
        <v>0.99999045007414+0.0300961932274411i</v>
      </c>
      <c r="AA267" s="4">
        <f t="shared" si="225"/>
        <v>1.000443242311259</v>
      </c>
      <c r="AB267" s="4">
        <f t="shared" si="226"/>
        <v>3.0087398469923712E-2</v>
      </c>
      <c r="AC267" s="47" t="str">
        <f t="shared" si="227"/>
        <v>0.968186138403132-4.17425204410798i</v>
      </c>
      <c r="AD267" s="20">
        <f t="shared" si="228"/>
        <v>12.639144136423749</v>
      </c>
      <c r="AE267" s="43">
        <f t="shared" si="229"/>
        <v>-76.941579317175126</v>
      </c>
      <c r="AF267" t="str">
        <f t="shared" si="211"/>
        <v>69.5520360182888</v>
      </c>
      <c r="AG267" t="str">
        <f t="shared" si="212"/>
        <v>1+3.47654950952929i</v>
      </c>
      <c r="AH267">
        <f t="shared" si="230"/>
        <v>3.6175124729858705</v>
      </c>
      <c r="AI267">
        <f t="shared" si="231"/>
        <v>1.2907157897291524</v>
      </c>
      <c r="AJ267" t="str">
        <f t="shared" si="213"/>
        <v>1+0.073007539700115i</v>
      </c>
      <c r="AK267">
        <f t="shared" si="232"/>
        <v>1.0026615086124848</v>
      </c>
      <c r="AL267">
        <f t="shared" si="233"/>
        <v>7.2878240439224626E-2</v>
      </c>
      <c r="AM267" t="str">
        <f t="shared" si="214"/>
        <v>1-0.00886256125037835i</v>
      </c>
      <c r="AN267">
        <f t="shared" si="234"/>
        <v>1.0000392717248241</v>
      </c>
      <c r="AO267">
        <f t="shared" si="235"/>
        <v>-8.8623292247123325E-3</v>
      </c>
      <c r="AP267" s="41" t="str">
        <f t="shared" si="236"/>
        <v>6.50349886035697-18.1483219216699i</v>
      </c>
      <c r="AQ267">
        <f t="shared" si="237"/>
        <v>25.70142417459234</v>
      </c>
      <c r="AR267" s="43">
        <f t="shared" si="238"/>
        <v>-70.284725768099705</v>
      </c>
      <c r="AS267" t="str">
        <f t="shared" si="215"/>
        <v>-0.0000166666666666667</v>
      </c>
      <c r="AT267" t="str">
        <f t="shared" si="216"/>
        <v>0.0000660174561118062i</v>
      </c>
      <c r="AU267">
        <f t="shared" si="239"/>
        <v>6.6017456111806203E-5</v>
      </c>
      <c r="AV267">
        <f t="shared" si="240"/>
        <v>1.5707963267948966</v>
      </c>
      <c r="AW267" t="str">
        <f t="shared" si="217"/>
        <v>1+0.0670910964015138i</v>
      </c>
      <c r="AX267">
        <f t="shared" si="241"/>
        <v>1.0022480806748184</v>
      </c>
      <c r="AY267">
        <f t="shared" si="242"/>
        <v>6.6990703574852387E-2</v>
      </c>
      <c r="AZ267" t="str">
        <f t="shared" si="218"/>
        <v>1+2.28109727765147i</v>
      </c>
      <c r="BA267">
        <f t="shared" si="243"/>
        <v>2.4906635240652135</v>
      </c>
      <c r="BB267">
        <f t="shared" si="244"/>
        <v>1.1576428767819649</v>
      </c>
      <c r="BC267" s="41" t="str">
        <f t="shared" si="245"/>
        <v>-0.556439980570668+0.289790649032699i</v>
      </c>
      <c r="BD267">
        <f t="shared" si="246"/>
        <v>-4.0494041698848502</v>
      </c>
      <c r="BE267" s="43">
        <f t="shared" si="247"/>
        <v>152.48976644153873</v>
      </c>
      <c r="BF267" s="41" t="str">
        <f t="shared" si="248"/>
        <v>0.670921733046293+2.60329201575282i</v>
      </c>
      <c r="BG267" s="20">
        <f t="shared" si="249"/>
        <v>8.5897399665388932</v>
      </c>
      <c r="BH267" s="43">
        <f t="shared" si="250"/>
        <v>75.548187124363622</v>
      </c>
      <c r="BI267" s="41" t="str">
        <f t="shared" si="255"/>
        <v>1.64040720903669+11.9831050532105i</v>
      </c>
      <c r="BJ267" s="20">
        <f t="shared" si="251"/>
        <v>21.652020004707492</v>
      </c>
      <c r="BK267" s="43">
        <f t="shared" si="256"/>
        <v>82.205040673439029</v>
      </c>
      <c r="BL267">
        <f t="shared" si="252"/>
        <v>8.5897399665388932</v>
      </c>
      <c r="BM267" s="43">
        <f t="shared" si="253"/>
        <v>75.548187124363622</v>
      </c>
    </row>
    <row r="268" spans="14:65" x14ac:dyDescent="0.25">
      <c r="N268" s="9">
        <v>50</v>
      </c>
      <c r="O268" s="34">
        <f t="shared" si="254"/>
        <v>3162.2776601683804</v>
      </c>
      <c r="P268" s="33" t="str">
        <f t="shared" si="206"/>
        <v>19.1021967526266</v>
      </c>
      <c r="Q268" s="4" t="str">
        <f t="shared" si="207"/>
        <v>1+4.45965280317494i</v>
      </c>
      <c r="R268" s="4">
        <f t="shared" si="219"/>
        <v>4.5703941979730915</v>
      </c>
      <c r="S268" s="4">
        <f t="shared" si="220"/>
        <v>1.3502123292099406</v>
      </c>
      <c r="T268" s="4" t="str">
        <f t="shared" si="208"/>
        <v>1+0.0747081037587866i</v>
      </c>
      <c r="U268" s="4">
        <f t="shared" si="221"/>
        <v>1.0027867673474924</v>
      </c>
      <c r="V268" s="4">
        <f t="shared" si="222"/>
        <v>7.4569577890838415E-2</v>
      </c>
      <c r="W268" t="str">
        <f t="shared" si="209"/>
        <v>1-0.0413941177741504i</v>
      </c>
      <c r="X268" s="4">
        <f t="shared" si="223"/>
        <v>1.0008563698085255</v>
      </c>
      <c r="Y268" s="4">
        <f t="shared" si="224"/>
        <v>-4.1370499483448883E-2</v>
      </c>
      <c r="Z268" t="str">
        <f t="shared" si="210"/>
        <v>0.99999+0.0307972236239679i</v>
      </c>
      <c r="AA268" s="4">
        <f t="shared" si="225"/>
        <v>1.0004641268346133</v>
      </c>
      <c r="AB268" s="4">
        <f t="shared" si="226"/>
        <v>3.0787800107574776E-2</v>
      </c>
      <c r="AC268" s="47" t="str">
        <f t="shared" si="227"/>
        <v>0.927254202555627-4.08902466652719i</v>
      </c>
      <c r="AD268" s="20">
        <f t="shared" si="228"/>
        <v>12.450169705006912</v>
      </c>
      <c r="AE268" s="43">
        <f t="shared" si="229"/>
        <v>-77.223311840447224</v>
      </c>
      <c r="AF268" t="str">
        <f t="shared" si="211"/>
        <v>69.5520360182888</v>
      </c>
      <c r="AG268" t="str">
        <f t="shared" si="212"/>
        <v>1+3.55752875041841i</v>
      </c>
      <c r="AH268">
        <f t="shared" si="230"/>
        <v>3.6954040117494018</v>
      </c>
      <c r="AI268">
        <f t="shared" si="231"/>
        <v>1.2967734427595614</v>
      </c>
      <c r="AJ268" t="str">
        <f t="shared" si="213"/>
        <v>1+0.0747081037587866i</v>
      </c>
      <c r="AK268">
        <f t="shared" si="232"/>
        <v>1.0027867673474924</v>
      </c>
      <c r="AL268">
        <f t="shared" si="233"/>
        <v>7.4569577890838415E-2</v>
      </c>
      <c r="AM268" t="str">
        <f t="shared" si="214"/>
        <v>1-0.00906899682117111i</v>
      </c>
      <c r="AN268">
        <f t="shared" si="234"/>
        <v>1.000041122506141</v>
      </c>
      <c r="AO268">
        <f t="shared" si="235"/>
        <v>-9.0687482017428166E-3</v>
      </c>
      <c r="AP268" s="41" t="str">
        <f t="shared" si="236"/>
        <v>6.28591071881869-17.7969745748274i</v>
      </c>
      <c r="AQ268">
        <f t="shared" si="237"/>
        <v>25.51748750283112</v>
      </c>
      <c r="AR268" s="43">
        <f t="shared" si="238"/>
        <v>-70.54672415898213</v>
      </c>
      <c r="AS268" t="str">
        <f t="shared" si="215"/>
        <v>-0.0000166666666666667</v>
      </c>
      <c r="AT268" t="str">
        <f t="shared" si="216"/>
        <v>0.0000675552002074135i</v>
      </c>
      <c r="AU268">
        <f t="shared" si="239"/>
        <v>6.75552002074135E-5</v>
      </c>
      <c r="AV268">
        <f t="shared" si="240"/>
        <v>1.5707963267948966</v>
      </c>
      <c r="AW268" t="str">
        <f t="shared" si="217"/>
        <v>1+0.0686538487921015i</v>
      </c>
      <c r="AX268">
        <f t="shared" si="241"/>
        <v>1.0023539050425099</v>
      </c>
      <c r="AY268">
        <f t="shared" si="242"/>
        <v>6.8546289579335132E-2</v>
      </c>
      <c r="AZ268" t="str">
        <f t="shared" si="218"/>
        <v>1+2.33423085893145i</v>
      </c>
      <c r="BA268">
        <f t="shared" si="243"/>
        <v>2.5394160160926482</v>
      </c>
      <c r="BB268">
        <f t="shared" si="244"/>
        <v>1.1660437664786851</v>
      </c>
      <c r="BC268" s="41" t="str">
        <f t="shared" si="245"/>
        <v>-0.556322493522643+0.284905504391552i</v>
      </c>
      <c r="BD268">
        <f t="shared" si="246"/>
        <v>-4.0819453619713926</v>
      </c>
      <c r="BE268" s="43">
        <f t="shared" si="247"/>
        <v>152.88197345258934</v>
      </c>
      <c r="BF268" s="41" t="str">
        <f t="shared" si="248"/>
        <v>0.649133264991331+2.5389962248363i</v>
      </c>
      <c r="BG268" s="20">
        <f t="shared" si="249"/>
        <v>8.368224343035525</v>
      </c>
      <c r="BH268" s="43">
        <f t="shared" si="250"/>
        <v>75.658661612142126</v>
      </c>
      <c r="BI268" s="41" t="str">
        <f t="shared" si="255"/>
        <v>1.5734624927309+11.6917478365324i</v>
      </c>
      <c r="BJ268" s="20">
        <f t="shared" si="251"/>
        <v>21.435542140859756</v>
      </c>
      <c r="BK268" s="43">
        <f t="shared" si="256"/>
        <v>82.335249293607248</v>
      </c>
      <c r="BL268">
        <f t="shared" si="252"/>
        <v>8.368224343035525</v>
      </c>
      <c r="BM268" s="43">
        <f t="shared" si="253"/>
        <v>75.658661612142126</v>
      </c>
    </row>
    <row r="269" spans="14:65" x14ac:dyDescent="0.25">
      <c r="N269" s="9">
        <v>51</v>
      </c>
      <c r="O269" s="34">
        <f t="shared" si="254"/>
        <v>3235.9365692962833</v>
      </c>
      <c r="P269" s="33" t="str">
        <f t="shared" si="206"/>
        <v>19.1021967526266</v>
      </c>
      <c r="Q269" s="4" t="str">
        <f t="shared" si="207"/>
        <v>1+4.56353146149414i</v>
      </c>
      <c r="R269" s="4">
        <f t="shared" si="219"/>
        <v>4.6718111477292021</v>
      </c>
      <c r="S269" s="4">
        <f t="shared" si="220"/>
        <v>1.355077399357443</v>
      </c>
      <c r="T269" s="4" t="str">
        <f t="shared" si="208"/>
        <v>1+0.0764482790429497i</v>
      </c>
      <c r="U269" s="4">
        <f t="shared" si="221"/>
        <v>1.0029179125774097</v>
      </c>
      <c r="V269" s="4">
        <f t="shared" si="222"/>
        <v>7.6299869215201127E-2</v>
      </c>
      <c r="W269" t="str">
        <f t="shared" si="209"/>
        <v>1-0.0423583106399323i</v>
      </c>
      <c r="X269" s="4">
        <f t="shared" si="223"/>
        <v>1.0008967111946512</v>
      </c>
      <c r="Y269" s="4">
        <f t="shared" si="224"/>
        <v>-4.2333004409879409E-2</v>
      </c>
      <c r="Z269" t="str">
        <f t="shared" si="210"/>
        <v>0.99998952871452+0.0315145831161096i</v>
      </c>
      <c r="AA269" s="4">
        <f t="shared" si="225"/>
        <v>1.000485995148193</v>
      </c>
      <c r="AB269" s="4">
        <f t="shared" si="226"/>
        <v>3.1504485901231692E-2</v>
      </c>
      <c r="AC269" s="47" t="str">
        <f t="shared" si="227"/>
        <v>0.887990050281427-4.00517711818716i</v>
      </c>
      <c r="AD269" s="20">
        <f t="shared" si="228"/>
        <v>12.260833438302257</v>
      </c>
      <c r="AE269" s="43">
        <f t="shared" si="229"/>
        <v>-77.499131977978649</v>
      </c>
      <c r="AF269" t="str">
        <f t="shared" si="211"/>
        <v>69.5520360182888</v>
      </c>
      <c r="AG269" t="str">
        <f t="shared" si="212"/>
        <v>1+3.64039424014047i</v>
      </c>
      <c r="AH269">
        <f t="shared" si="230"/>
        <v>3.7752443925722092</v>
      </c>
      <c r="AI269">
        <f t="shared" si="231"/>
        <v>1.3027132076904886</v>
      </c>
      <c r="AJ269" t="str">
        <f t="shared" si="213"/>
        <v>1+0.0764482790429497i</v>
      </c>
      <c r="AK269">
        <f t="shared" si="232"/>
        <v>1.0029179125774097</v>
      </c>
      <c r="AL269">
        <f t="shared" si="233"/>
        <v>7.6299869215201127E-2</v>
      </c>
      <c r="AM269" t="str">
        <f t="shared" si="214"/>
        <v>1-0.00928024089412082i</v>
      </c>
      <c r="AN269">
        <f t="shared" si="234"/>
        <v>1.0000430605084227</v>
      </c>
      <c r="AO269">
        <f t="shared" si="235"/>
        <v>-9.2799744942232698E-3</v>
      </c>
      <c r="AP269" s="41" t="str">
        <f t="shared" si="236"/>
        <v>6.07670904504685-17.4499427979929i</v>
      </c>
      <c r="AQ269">
        <f t="shared" si="237"/>
        <v>25.332977303961599</v>
      </c>
      <c r="AR269" s="43">
        <f t="shared" si="238"/>
        <v>-70.80001160569131</v>
      </c>
      <c r="AS269" t="str">
        <f t="shared" si="215"/>
        <v>-0.0000166666666666667</v>
      </c>
      <c r="AT269" t="str">
        <f t="shared" si="216"/>
        <v>0.0000691287629643696i</v>
      </c>
      <c r="AU269">
        <f t="shared" si="239"/>
        <v>6.91287629643696E-5</v>
      </c>
      <c r="AV269">
        <f t="shared" si="240"/>
        <v>1.5707963267948966</v>
      </c>
      <c r="AW269" t="str">
        <f t="shared" si="217"/>
        <v>1+0.0702530023620599i</v>
      </c>
      <c r="AX269">
        <f t="shared" si="241"/>
        <v>1.0024647047856017</v>
      </c>
      <c r="AY269">
        <f t="shared" si="242"/>
        <v>7.0137765887730186E-2</v>
      </c>
      <c r="AZ269" t="str">
        <f t="shared" si="218"/>
        <v>1+2.38860208031004i</v>
      </c>
      <c r="BA269">
        <f t="shared" si="243"/>
        <v>2.5894825541141326</v>
      </c>
      <c r="BB269">
        <f t="shared" si="244"/>
        <v>1.174312275295915</v>
      </c>
      <c r="BC269" s="41" t="str">
        <f t="shared" si="245"/>
        <v>-0.556199522643786+0.280170663681426i</v>
      </c>
      <c r="BD269">
        <f t="shared" si="246"/>
        <v>-4.1133227416995997</v>
      </c>
      <c r="BE269" s="43">
        <f t="shared" si="247"/>
        <v>153.2645392350172</v>
      </c>
      <c r="BF269" s="41" t="str">
        <f t="shared" si="248"/>
        <v>0.628233489285197+2.47646636296936i</v>
      </c>
      <c r="BG269" s="20">
        <f t="shared" si="249"/>
        <v>8.1475106966026498</v>
      </c>
      <c r="BH269" s="43">
        <f t="shared" si="250"/>
        <v>75.765407257038532</v>
      </c>
      <c r="BI269" s="41" t="str">
        <f t="shared" si="255"/>
        <v>1.50909938481636+11.4081654605547i</v>
      </c>
      <c r="BJ269" s="20">
        <f t="shared" si="251"/>
        <v>21.219654562261979</v>
      </c>
      <c r="BK269" s="43">
        <f t="shared" si="256"/>
        <v>82.464527629325858</v>
      </c>
      <c r="BL269">
        <f t="shared" si="252"/>
        <v>8.1475106966026498</v>
      </c>
      <c r="BM269" s="43">
        <f t="shared" si="253"/>
        <v>75.765407257038532</v>
      </c>
    </row>
    <row r="270" spans="14:65" x14ac:dyDescent="0.25">
      <c r="N270" s="9">
        <v>52</v>
      </c>
      <c r="O270" s="34">
        <f t="shared" si="254"/>
        <v>3311.3112148259115</v>
      </c>
      <c r="P270" s="33" t="str">
        <f t="shared" si="206"/>
        <v>19.1021967526266</v>
      </c>
      <c r="Q270" s="4" t="str">
        <f t="shared" si="207"/>
        <v>1+4.66982976459972i</v>
      </c>
      <c r="R270" s="4">
        <f t="shared" si="219"/>
        <v>4.7756999518752723</v>
      </c>
      <c r="S270" s="4">
        <f t="shared" si="220"/>
        <v>1.359841771350546</v>
      </c>
      <c r="T270" s="4" t="str">
        <f t="shared" si="208"/>
        <v>1+0.0782289882165743i</v>
      </c>
      <c r="U270" s="4">
        <f t="shared" si="221"/>
        <v>1.0030552201137228</v>
      </c>
      <c r="V270" s="4">
        <f t="shared" si="222"/>
        <v>7.8069990369823247E-2</v>
      </c>
      <c r="W270" t="str">
        <f t="shared" si="209"/>
        <v>1-0.0433449624426942i</v>
      </c>
      <c r="X270" s="4">
        <f t="shared" si="223"/>
        <v>1.0009389520690852</v>
      </c>
      <c r="Y270" s="4">
        <f t="shared" si="224"/>
        <v>-4.3317847702276528E-2</v>
      </c>
      <c r="Z270" t="str">
        <f t="shared" si="210"/>
        <v>0.999989035218039+0.0322486520573644i</v>
      </c>
      <c r="AA270" s="4">
        <f t="shared" si="225"/>
        <v>1.0005088935715769</v>
      </c>
      <c r="AB270" s="4">
        <f t="shared" si="226"/>
        <v>3.2237832993853036E-2</v>
      </c>
      <c r="AC270" s="47" t="str">
        <f>(IMDIV(IMPRODUCT(P270,T270,W270),IMPRODUCT(Q270,Z270)))</f>
        <v>0.850332710387557-3.9227127670272i</v>
      </c>
      <c r="AD270" s="20">
        <f t="shared" si="228"/>
        <v>12.071155204968637</v>
      </c>
      <c r="AE270" s="43">
        <f t="shared" si="229"/>
        <v>-77.769134971288608</v>
      </c>
      <c r="AF270" t="str">
        <f t="shared" si="211"/>
        <v>69.5520360182888</v>
      </c>
      <c r="AG270" t="str">
        <f t="shared" si="212"/>
        <v>1+3.72518991507498i</v>
      </c>
      <c r="AH270">
        <f t="shared" si="230"/>
        <v>3.8570766006622605</v>
      </c>
      <c r="AI270">
        <f t="shared" si="231"/>
        <v>1.308536556719117</v>
      </c>
      <c r="AJ270" t="str">
        <f t="shared" si="213"/>
        <v>1+0.0782289882165743i</v>
      </c>
      <c r="AK270">
        <f t="shared" si="232"/>
        <v>1.0030552201137228</v>
      </c>
      <c r="AL270">
        <f t="shared" si="233"/>
        <v>7.8069990369823247E-2</v>
      </c>
      <c r="AM270" t="str">
        <f t="shared" si="214"/>
        <v>1-0.00949640547363115i</v>
      </c>
      <c r="AN270">
        <f t="shared" si="234"/>
        <v>1.0000450898419129</v>
      </c>
      <c r="AO270">
        <f t="shared" si="235"/>
        <v>-9.496120021693125E-3</v>
      </c>
      <c r="AP270" s="41" t="str">
        <f t="shared" si="236"/>
        <v>5.8756273771388-17.1073367794887i</v>
      </c>
      <c r="AQ270">
        <f t="shared" si="237"/>
        <v>25.14792016121412</v>
      </c>
      <c r="AR270" s="43">
        <f t="shared" si="238"/>
        <v>-71.044628682761299</v>
      </c>
      <c r="AS270" t="str">
        <f t="shared" si="215"/>
        <v>-0.0000166666666666667</v>
      </c>
      <c r="AT270" t="str">
        <f t="shared" si="216"/>
        <v>0.0000707389787064767i</v>
      </c>
      <c r="AU270">
        <f t="shared" si="239"/>
        <v>7.0738978706476701E-5</v>
      </c>
      <c r="AV270">
        <f t="shared" si="240"/>
        <v>1.5707963267948966</v>
      </c>
      <c r="AW270" t="str">
        <f t="shared" si="217"/>
        <v>1+0.0718894050037794i</v>
      </c>
      <c r="AX270">
        <f t="shared" si="241"/>
        <v>1.0025807132354967</v>
      </c>
      <c r="AY270">
        <f t="shared" si="242"/>
        <v>7.1765944056635611E-2</v>
      </c>
      <c r="AZ270" t="str">
        <f t="shared" si="218"/>
        <v>1+2.4442397701285i</v>
      </c>
      <c r="BA270">
        <f t="shared" si="243"/>
        <v>2.6408915263368584</v>
      </c>
      <c r="BB270">
        <f t="shared" si="244"/>
        <v>1.1824482638280951</v>
      </c>
      <c r="BC270" s="41" t="str">
        <f t="shared" si="245"/>
        <v>-0.556070814579528+0.275583562843646i</v>
      </c>
      <c r="BD270">
        <f t="shared" si="246"/>
        <v>-4.1435763696416137</v>
      </c>
      <c r="BE270" s="43">
        <f t="shared" si="247"/>
        <v>153.63740930270433</v>
      </c>
      <c r="BF270" s="41" t="str">
        <f t="shared" si="248"/>
        <v>0.608189957420786+2.41564380165343i</v>
      </c>
      <c r="BG270" s="20">
        <f t="shared" si="249"/>
        <v>7.9275788353270338</v>
      </c>
      <c r="BH270" s="43">
        <f t="shared" si="250"/>
        <v>75.868274331415734</v>
      </c>
      <c r="BI270" s="41" t="str">
        <f t="shared" si="255"/>
        <v>1.44723591868629+11.1321170247902i</v>
      </c>
      <c r="BJ270" s="20">
        <f t="shared" si="251"/>
        <v>21.004343791572524</v>
      </c>
      <c r="BK270" s="43">
        <f t="shared" si="256"/>
        <v>82.592780619943056</v>
      </c>
      <c r="BL270">
        <f t="shared" si="252"/>
        <v>7.9275788353270338</v>
      </c>
      <c r="BM270" s="43">
        <f t="shared" si="253"/>
        <v>75.868274331415734</v>
      </c>
    </row>
    <row r="271" spans="14:65" x14ac:dyDescent="0.25">
      <c r="N271" s="9">
        <v>53</v>
      </c>
      <c r="O271" s="34">
        <f t="shared" si="254"/>
        <v>3388.4415613920314</v>
      </c>
      <c r="P271" s="33" t="str">
        <f t="shared" si="206"/>
        <v>19.1021967526266</v>
      </c>
      <c r="Q271" s="4" t="str">
        <f t="shared" si="207"/>
        <v>1+4.77860407325898i</v>
      </c>
      <c r="R271" s="4">
        <f t="shared" si="219"/>
        <v>4.8821160257584326</v>
      </c>
      <c r="S271" s="4">
        <f t="shared" si="220"/>
        <v>1.3645071057425637</v>
      </c>
      <c r="T271" s="4" t="str">
        <f t="shared" si="208"/>
        <v>1+0.0800511754352343i</v>
      </c>
      <c r="U271" s="4">
        <f t="shared" si="221"/>
        <v>1.0031989786122006</v>
      </c>
      <c r="V271" s="4">
        <f t="shared" si="222"/>
        <v>7.9880835500601169E-2</v>
      </c>
      <c r="W271" t="str">
        <f t="shared" si="209"/>
        <v>1-0.0443545963182815i</v>
      </c>
      <c r="X271" s="4">
        <f t="shared" si="223"/>
        <v>1.0009831817840686</v>
      </c>
      <c r="Y271" s="4">
        <f t="shared" si="224"/>
        <v>-4.4325543891511825E-2</v>
      </c>
      <c r="Z271" t="str">
        <f t="shared" si="210"/>
        <v>0.999988518463785+0.0329998196608014i</v>
      </c>
      <c r="AA271" s="4">
        <f t="shared" si="225"/>
        <v>1.0005328706029808</v>
      </c>
      <c r="AB271" s="4">
        <f t="shared" si="226"/>
        <v>3.2988227158780456E-2</v>
      </c>
      <c r="AC271" s="47" t="str">
        <f t="shared" si="227"/>
        <v>0.814222829346258-3.84163300520558i</v>
      </c>
      <c r="AD271" s="20">
        <f t="shared" si="228"/>
        <v>11.881154368409319</v>
      </c>
      <c r="AE271" s="43">
        <f t="shared" si="229"/>
        <v>-78.033416315919254</v>
      </c>
      <c r="AF271" t="str">
        <f t="shared" si="211"/>
        <v>69.5520360182888</v>
      </c>
      <c r="AG271" t="str">
        <f t="shared" si="212"/>
        <v>1+3.81196073501116i</v>
      </c>
      <c r="AH271">
        <f t="shared" si="230"/>
        <v>3.9409446386960099</v>
      </c>
      <c r="AI271">
        <f t="shared" si="231"/>
        <v>1.3142449969995773</v>
      </c>
      <c r="AJ271" t="str">
        <f t="shared" si="213"/>
        <v>1+0.0800511754352343i</v>
      </c>
      <c r="AK271">
        <f t="shared" si="232"/>
        <v>1.0031989786122006</v>
      </c>
      <c r="AL271">
        <f t="shared" si="233"/>
        <v>7.9880835500601169E-2</v>
      </c>
      <c r="AM271" t="str">
        <f t="shared" si="214"/>
        <v>1-0.00971760517302336i</v>
      </c>
      <c r="AN271">
        <f t="shared" si="234"/>
        <v>1.0000472148105302</v>
      </c>
      <c r="AO271">
        <f t="shared" si="235"/>
        <v>-9.7172993065409753E-3</v>
      </c>
      <c r="AP271" s="41" t="str">
        <f t="shared" si="236"/>
        <v>5.6824029834875-16.7692540413925i</v>
      </c>
      <c r="AQ271">
        <f t="shared" si="237"/>
        <v>24.962341993152268</v>
      </c>
      <c r="AR271" s="43">
        <f t="shared" si="238"/>
        <v>-71.280617074626306</v>
      </c>
      <c r="AS271" t="str">
        <f t="shared" si="215"/>
        <v>-0.0000166666666666667</v>
      </c>
      <c r="AT271" t="str">
        <f t="shared" si="216"/>
        <v>0.0000723867011914352i</v>
      </c>
      <c r="AU271">
        <f t="shared" si="239"/>
        <v>7.2386701191435205E-5</v>
      </c>
      <c r="AV271">
        <f t="shared" si="240"/>
        <v>1.5707963267948966</v>
      </c>
      <c r="AW271" t="str">
        <f t="shared" si="217"/>
        <v>1+0.0735639243596005i</v>
      </c>
      <c r="AX271">
        <f t="shared" si="241"/>
        <v>1.0027021746097817</v>
      </c>
      <c r="AY271">
        <f t="shared" si="242"/>
        <v>7.3431652818352511E-2</v>
      </c>
      <c r="AZ271" t="str">
        <f t="shared" si="218"/>
        <v>1+2.50117342822642i</v>
      </c>
      <c r="BA271">
        <f t="shared" si="243"/>
        <v>2.693671939577257</v>
      </c>
      <c r="BB271">
        <f t="shared" si="244"/>
        <v>1.1904517363864586</v>
      </c>
      <c r="BC271" s="41" t="str">
        <f t="shared" si="245"/>
        <v>-0.555936104520481+0.271141712386012i</v>
      </c>
      <c r="BD271">
        <f t="shared" si="246"/>
        <v>-4.1727458083235138</v>
      </c>
      <c r="BE271" s="43">
        <f t="shared" si="247"/>
        <v>154.00053641980298</v>
      </c>
      <c r="BF271" s="41" t="str">
        <f t="shared" si="248"/>
        <v>0.588971083431659+2.35647226012403i</v>
      </c>
      <c r="BG271" s="20">
        <f t="shared" si="249"/>
        <v>7.7084085600858145</v>
      </c>
      <c r="BH271" s="43">
        <f t="shared" si="250"/>
        <v>75.967120103883758</v>
      </c>
      <c r="BI271" s="41" t="str">
        <f t="shared" si="255"/>
        <v>1.38779127726361+10.8633702428963i</v>
      </c>
      <c r="BJ271" s="20">
        <f t="shared" si="251"/>
        <v>20.789596184828781</v>
      </c>
      <c r="BK271" s="43">
        <f t="shared" si="256"/>
        <v>82.719919345176734</v>
      </c>
      <c r="BL271">
        <f t="shared" si="252"/>
        <v>7.7084085600858145</v>
      </c>
      <c r="BM271" s="43">
        <f t="shared" si="253"/>
        <v>75.967120103883758</v>
      </c>
    </row>
    <row r="272" spans="14:65" x14ac:dyDescent="0.25">
      <c r="N272" s="9">
        <v>54</v>
      </c>
      <c r="O272" s="34">
        <f t="shared" si="254"/>
        <v>3467.3685045253224</v>
      </c>
      <c r="P272" s="33" t="str">
        <f t="shared" si="206"/>
        <v>19.1021967526266</v>
      </c>
      <c r="Q272" s="4" t="str">
        <f t="shared" si="207"/>
        <v>1+4.88991206105018i</v>
      </c>
      <c r="R272" s="4">
        <f t="shared" si="219"/>
        <v>4.9911161041198007</v>
      </c>
      <c r="S272" s="4">
        <f t="shared" si="220"/>
        <v>1.3690750634364295</v>
      </c>
      <c r="T272" s="4" t="str">
        <f t="shared" si="208"/>
        <v>1+0.0819158068467125i</v>
      </c>
      <c r="U272" s="4">
        <f t="shared" si="221"/>
        <v>1.0033494901634963</v>
      </c>
      <c r="V272" s="4">
        <f t="shared" si="222"/>
        <v>8.1733317210672132E-2</v>
      </c>
      <c r="W272" t="str">
        <f t="shared" si="209"/>
        <v>1-0.0453877475879392i</v>
      </c>
      <c r="X272" s="4">
        <f t="shared" si="223"/>
        <v>1.0010294938867219</v>
      </c>
      <c r="Y272" s="4">
        <f t="shared" si="224"/>
        <v>-4.535661908064826E-2</v>
      </c>
      <c r="Z272" t="str">
        <f t="shared" si="210"/>
        <v>0.999987977355654+0.0337684842054267i</v>
      </c>
      <c r="AA272" s="4">
        <f t="shared" si="225"/>
        <v>1.0005579770215138</v>
      </c>
      <c r="AB272" s="4">
        <f t="shared" si="226"/>
        <v>3.3756062989765565E-2</v>
      </c>
      <c r="AC272" s="47" t="str">
        <f t="shared" si="227"/>
        <v>0.77960268223598-3.76193738310683i</v>
      </c>
      <c r="AD272" s="20">
        <f t="shared" si="228"/>
        <v>11.690849809409968</v>
      </c>
      <c r="AE272" s="43">
        <f t="shared" si="229"/>
        <v>-78.292071638332388</v>
      </c>
      <c r="AF272" t="str">
        <f t="shared" si="211"/>
        <v>69.5520360182888</v>
      </c>
      <c r="AG272" t="str">
        <f t="shared" si="212"/>
        <v>1+3.90075270698632i</v>
      </c>
      <c r="AH272">
        <f t="shared" si="230"/>
        <v>4.0268935522386364</v>
      </c>
      <c r="AI272">
        <f t="shared" si="231"/>
        <v>1.319840066475036</v>
      </c>
      <c r="AJ272" t="str">
        <f t="shared" si="213"/>
        <v>1+0.0819158068467125i</v>
      </c>
      <c r="AK272">
        <f t="shared" si="232"/>
        <v>1.0033494901634963</v>
      </c>
      <c r="AL272">
        <f t="shared" si="233"/>
        <v>8.1733317210672132E-2</v>
      </c>
      <c r="AM272" t="str">
        <f t="shared" si="214"/>
        <v>1-0.00994395727530601i</v>
      </c>
      <c r="AN272">
        <f t="shared" si="234"/>
        <v>1.0000494399209936</v>
      </c>
      <c r="AO272">
        <f t="shared" si="235"/>
        <v>-9.9436295343403956E-3</v>
      </c>
      <c r="AP272" s="41" t="str">
        <f t="shared" si="236"/>
        <v>5.49677725033682-16.4357800652589i</v>
      </c>
      <c r="AQ272">
        <f t="shared" si="237"/>
        <v>24.77626807014197</v>
      </c>
      <c r="AR272" s="43">
        <f t="shared" si="238"/>
        <v>-71.50801932486948</v>
      </c>
      <c r="AS272" t="str">
        <f t="shared" si="215"/>
        <v>-0.0000166666666666667</v>
      </c>
      <c r="AT272" t="str">
        <f t="shared" si="216"/>
        <v>0.0000740728040635166i</v>
      </c>
      <c r="AU272">
        <f t="shared" si="239"/>
        <v>7.4072804063516606E-5</v>
      </c>
      <c r="AV272">
        <f t="shared" si="240"/>
        <v>1.5707963267948966</v>
      </c>
      <c r="AW272" t="str">
        <f t="shared" si="217"/>
        <v>1+0.0752774482818507i</v>
      </c>
      <c r="AX272">
        <f t="shared" si="241"/>
        <v>1.0028293445147218</v>
      </c>
      <c r="AY272">
        <f t="shared" si="242"/>
        <v>7.5135738359773524E-2</v>
      </c>
      <c r="AZ272" t="str">
        <f t="shared" si="218"/>
        <v>1+2.55943324158292i</v>
      </c>
      <c r="BA272">
        <f t="shared" si="243"/>
        <v>2.747853438253149</v>
      </c>
      <c r="BB272">
        <f t="shared" si="244"/>
        <v>1.1983228341400205</v>
      </c>
      <c r="BC272" s="41" t="str">
        <f t="shared" si="245"/>
        <v>-0.555795115708608+0.266842695801271i</v>
      </c>
      <c r="BD272">
        <f t="shared" si="246"/>
        <v>-4.2008700867936746</v>
      </c>
      <c r="BE272" s="43">
        <f t="shared" si="247"/>
        <v>154.35388019176423</v>
      </c>
      <c r="BF272" s="41" t="str">
        <f t="shared" si="248"/>
        <v>0.570546149763718+2.29889770451415i</v>
      </c>
      <c r="BG272" s="20">
        <f t="shared" si="249"/>
        <v>7.4899797226162965</v>
      </c>
      <c r="BH272" s="43">
        <f t="shared" si="250"/>
        <v>76.061808553431845</v>
      </c>
      <c r="BI272" s="41" t="str">
        <f t="shared" si="255"/>
        <v>1.33068591233508+10.6017011428308i</v>
      </c>
      <c r="BJ272" s="20">
        <f t="shared" si="251"/>
        <v>20.575397983348317</v>
      </c>
      <c r="BK272" s="43">
        <f t="shared" si="256"/>
        <v>82.845860866894753</v>
      </c>
      <c r="BL272">
        <f t="shared" si="252"/>
        <v>7.4899797226162965</v>
      </c>
      <c r="BM272" s="43">
        <f t="shared" si="253"/>
        <v>76.061808553431845</v>
      </c>
    </row>
    <row r="273" spans="14:65" x14ac:dyDescent="0.25">
      <c r="N273" s="9">
        <v>55</v>
      </c>
      <c r="O273" s="34">
        <f t="shared" si="254"/>
        <v>3548.1338923357539</v>
      </c>
      <c r="P273" s="33" t="str">
        <f t="shared" si="206"/>
        <v>19.1021967526266</v>
      </c>
      <c r="Q273" s="4" t="str">
        <f t="shared" si="207"/>
        <v>1+5.00381274494176i</v>
      </c>
      <c r="R273" s="4">
        <f t="shared" si="219"/>
        <v>5.1027582723897069</v>
      </c>
      <c r="S273" s="4">
        <f t="shared" si="220"/>
        <v>1.3735473035366015</v>
      </c>
      <c r="T273" s="4" t="str">
        <f t="shared" si="208"/>
        <v>1+0.0838238711032643i</v>
      </c>
      <c r="U273" s="4">
        <f t="shared" si="221"/>
        <v>1.0035070709101839</v>
      </c>
      <c r="V273" s="4">
        <f t="shared" si="222"/>
        <v>8.3628366824893649E-2</v>
      </c>
      <c r="W273" t="str">
        <f t="shared" si="209"/>
        <v>1-0.0464449640421456i</v>
      </c>
      <c r="X273" s="4">
        <f t="shared" si="223"/>
        <v>1.0010779863151902</v>
      </c>
      <c r="Y273" s="4">
        <f t="shared" si="224"/>
        <v>-4.6411611185186837E-2</v>
      </c>
      <c r="Z273" t="str">
        <f t="shared" si="210"/>
        <v>0.999987410745882+0.0345550532473563i</v>
      </c>
      <c r="AA273" s="4">
        <f t="shared" si="225"/>
        <v>1.0005842659942146</v>
      </c>
      <c r="AB273" s="4">
        <f t="shared" si="226"/>
        <v>3.454174409464144E-2</v>
      </c>
      <c r="AC273" s="47" t="str">
        <f t="shared" si="227"/>
        <v>0.746416177523559-3.68362373794563i</v>
      </c>
      <c r="AD273" s="20">
        <f t="shared" si="228"/>
        <v>11.500259949097948</v>
      </c>
      <c r="AE273" s="43">
        <f t="shared" si="229"/>
        <v>-78.545196582540854</v>
      </c>
      <c r="AF273" t="str">
        <f t="shared" si="211"/>
        <v>69.5520360182888</v>
      </c>
      <c r="AG273" t="str">
        <f t="shared" si="212"/>
        <v>1+3.99161290967926i</v>
      </c>
      <c r="AH273">
        <f t="shared" si="230"/>
        <v>4.1149694556239576</v>
      </c>
      <c r="AI273">
        <f t="shared" si="231"/>
        <v>1.3253233299195173</v>
      </c>
      <c r="AJ273" t="str">
        <f t="shared" si="213"/>
        <v>1+0.0838238711032643i</v>
      </c>
      <c r="AK273">
        <f t="shared" si="232"/>
        <v>1.0035070709101839</v>
      </c>
      <c r="AL273">
        <f t="shared" si="233"/>
        <v>8.3628366824893649E-2</v>
      </c>
      <c r="AM273" t="str">
        <f t="shared" si="214"/>
        <v>1-0.0101755817953598i</v>
      </c>
      <c r="AN273">
        <f t="shared" si="234"/>
        <v>1.0000517698923761</v>
      </c>
      <c r="AO273">
        <f t="shared" si="235"/>
        <v>-1.0175230615569882E-2</v>
      </c>
      <c r="AP273" s="41" t="str">
        <f t="shared" si="236"/>
        <v>5.31849602174837-16.1069889098598i</v>
      </c>
      <c r="AQ273">
        <f t="shared" si="237"/>
        <v>24.589723032096117</v>
      </c>
      <c r="AR273" s="43">
        <f t="shared" si="238"/>
        <v>-71.726878597818853</v>
      </c>
      <c r="AS273" t="str">
        <f t="shared" si="215"/>
        <v>-0.0000166666666666667</v>
      </c>
      <c r="AT273" t="str">
        <f t="shared" si="216"/>
        <v>0.0000757981813167817i</v>
      </c>
      <c r="AU273">
        <f t="shared" si="239"/>
        <v>7.5798181316781706E-5</v>
      </c>
      <c r="AV273">
        <f t="shared" si="240"/>
        <v>1.5707963267948966</v>
      </c>
      <c r="AW273" t="str">
        <f t="shared" si="217"/>
        <v>1+0.0770308853035944i</v>
      </c>
      <c r="AX273">
        <f t="shared" si="241"/>
        <v>1.002962490470434</v>
      </c>
      <c r="AY273">
        <f t="shared" si="242"/>
        <v>7.6879064599385788E-2</v>
      </c>
      <c r="AZ273" t="str">
        <f t="shared" si="218"/>
        <v>1+2.61905010032221i</v>
      </c>
      <c r="BA273">
        <f t="shared" si="243"/>
        <v>2.8034663236782031</v>
      </c>
      <c r="BB273">
        <f t="shared" si="244"/>
        <v>1.2060618282376934</v>
      </c>
      <c r="BC273" s="41" t="str">
        <f t="shared" si="245"/>
        <v>-0.5556475589244+0.262684168006494i</v>
      </c>
      <c r="BD273">
        <f t="shared" si="246"/>
        <v>-4.2279876698167387</v>
      </c>
      <c r="BE273" s="43">
        <f t="shared" si="247"/>
        <v>154.69740665539348</v>
      </c>
      <c r="BF273" s="41" t="str">
        <f t="shared" si="248"/>
        <v>0.552885309868572+2.24286825056483i</v>
      </c>
      <c r="BG273" s="20">
        <f t="shared" si="249"/>
        <v>7.2722722792812231</v>
      </c>
      <c r="BH273" s="43">
        <f t="shared" si="250"/>
        <v>76.152210072852668</v>
      </c>
      <c r="BI273" s="41" t="str">
        <f t="shared" si="255"/>
        <v>1.27584164924273+10.3468937719048i</v>
      </c>
      <c r="BJ273" s="20">
        <f t="shared" si="251"/>
        <v>20.361735362279379</v>
      </c>
      <c r="BK273" s="43">
        <f t="shared" si="256"/>
        <v>82.970528057574654</v>
      </c>
      <c r="BL273">
        <f t="shared" si="252"/>
        <v>7.2722722792812231</v>
      </c>
      <c r="BM273" s="43">
        <f t="shared" si="253"/>
        <v>76.152210072852668</v>
      </c>
    </row>
    <row r="274" spans="14:65" x14ac:dyDescent="0.25">
      <c r="N274" s="9">
        <v>56</v>
      </c>
      <c r="O274" s="34">
        <f t="shared" si="254"/>
        <v>3630.7805477010188</v>
      </c>
      <c r="P274" s="33" t="str">
        <f t="shared" si="206"/>
        <v>19.1021967526266</v>
      </c>
      <c r="Q274" s="4" t="str">
        <f t="shared" si="207"/>
        <v>1+5.12036651658405i</v>
      </c>
      <c r="R274" s="4">
        <f t="shared" si="219"/>
        <v>5.2171019986344023</v>
      </c>
      <c r="S274" s="4">
        <f t="shared" si="220"/>
        <v>1.3779254813527502</v>
      </c>
      <c r="T274" s="4" t="str">
        <f t="shared" si="208"/>
        <v>1+0.0857763798858159i</v>
      </c>
      <c r="U274" s="4">
        <f t="shared" si="221"/>
        <v>1.003672051691346</v>
      </c>
      <c r="V274" s="4">
        <f t="shared" si="222"/>
        <v>8.5566934649141363E-2</v>
      </c>
      <c r="W274" t="str">
        <f t="shared" si="209"/>
        <v>1-0.0475268062310594i</v>
      </c>
      <c r="X274" s="4">
        <f t="shared" si="223"/>
        <v>1.0011287616038831</v>
      </c>
      <c r="Y274" s="4">
        <f t="shared" si="224"/>
        <v>-4.7491070176842141E-2</v>
      </c>
      <c r="Z274" t="str">
        <f t="shared" si="210"/>
        <v>0.999986817432614+0.0353599438359082i</v>
      </c>
      <c r="AA274" s="4">
        <f t="shared" si="225"/>
        <v>1.0006117931880909</v>
      </c>
      <c r="AB274" s="4">
        <f t="shared" si="226"/>
        <v>3.5345683292668614E-2</v>
      </c>
      <c r="AC274" s="47" t="str">
        <f t="shared" si="227"/>
        <v>0.714608856268908-3.60668831693819i</v>
      </c>
      <c r="AD274" s="20">
        <f t="shared" si="228"/>
        <v>11.309402772170152</v>
      </c>
      <c r="AE274" s="43">
        <f t="shared" si="229"/>
        <v>-78.792886706146092</v>
      </c>
      <c r="AF274" t="str">
        <f t="shared" si="211"/>
        <v>69.5520360182888</v>
      </c>
      <c r="AG274" t="str">
        <f t="shared" si="212"/>
        <v>1+4.08458951837219i</v>
      </c>
      <c r="AH274">
        <f t="shared" si="230"/>
        <v>4.2052195583103575</v>
      </c>
      <c r="AI274">
        <f t="shared" si="231"/>
        <v>1.3306963751864045</v>
      </c>
      <c r="AJ274" t="str">
        <f t="shared" si="213"/>
        <v>1+0.0857763798858159i</v>
      </c>
      <c r="AK274">
        <f t="shared" si="232"/>
        <v>1.003672051691346</v>
      </c>
      <c r="AL274">
        <f t="shared" si="233"/>
        <v>8.5566934649141363E-2</v>
      </c>
      <c r="AM274" t="str">
        <f t="shared" si="214"/>
        <v>1-0.0104126015435713i</v>
      </c>
      <c r="AN274">
        <f t="shared" si="234"/>
        <v>1.0000542096661087</v>
      </c>
      <c r="AO274">
        <f t="shared" si="235"/>
        <v>-1.0412225248748444E-2</v>
      </c>
      <c r="AP274" s="41" t="str">
        <f t="shared" si="236"/>
        <v>5.14730989486119-15.7829438186294i</v>
      </c>
      <c r="AQ274">
        <f t="shared" si="237"/>
        <v>24.40273090736607</v>
      </c>
      <c r="AR274" s="43">
        <f t="shared" si="238"/>
        <v>-71.937238452363474</v>
      </c>
      <c r="AS274" t="str">
        <f t="shared" si="215"/>
        <v>-0.0000166666666666667</v>
      </c>
      <c r="AT274" t="str">
        <f t="shared" si="216"/>
        <v>0.0000775637477690889i</v>
      </c>
      <c r="AU274">
        <f t="shared" si="239"/>
        <v>7.7563747769088893E-5</v>
      </c>
      <c r="AV274">
        <f t="shared" si="240"/>
        <v>1.5707963267948966</v>
      </c>
      <c r="AW274" t="str">
        <f t="shared" si="217"/>
        <v>1+0.0788251651203509i</v>
      </c>
      <c r="AX274">
        <f t="shared" si="241"/>
        <v>1.0031018924597095</v>
      </c>
      <c r="AY274">
        <f t="shared" si="242"/>
        <v>7.8662513461784794E-2</v>
      </c>
      <c r="AZ274" t="str">
        <f t="shared" si="218"/>
        <v>1+2.68005561409193i</v>
      </c>
      <c r="BA274">
        <f t="shared" si="243"/>
        <v>2.8605415736579798</v>
      </c>
      <c r="BB274">
        <f t="shared" si="244"/>
        <v>1.2136691129448738</v>
      </c>
      <c r="BC274" s="41" t="str">
        <f t="shared" si="245"/>
        <v>-0.555493131954613+0.258663853801431i</v>
      </c>
      <c r="BD274">
        <f t="shared" si="246"/>
        <v>-4.2541364315353007</v>
      </c>
      <c r="BE274" s="43">
        <f t="shared" si="247"/>
        <v>155.03108786987639</v>
      </c>
      <c r="BF274" s="41" t="str">
        <f t="shared" si="248"/>
        <v>0.535959587828509+2.18833406988326i</v>
      </c>
      <c r="BG274" s="20">
        <f t="shared" si="249"/>
        <v>7.0552663406348675</v>
      </c>
      <c r="BH274" s="43">
        <f t="shared" si="250"/>
        <v>76.238201163730324</v>
      </c>
      <c r="BI274" s="41" t="str">
        <f t="shared" si="255"/>
        <v>1.22318177782074+10.0987399073892i</v>
      </c>
      <c r="BJ274" s="20">
        <f t="shared" si="251"/>
        <v>20.148594475830791</v>
      </c>
      <c r="BK274" s="43">
        <f t="shared" si="256"/>
        <v>83.093849417512928</v>
      </c>
      <c r="BL274">
        <f t="shared" si="252"/>
        <v>7.0552663406348675</v>
      </c>
      <c r="BM274" s="43">
        <f t="shared" si="253"/>
        <v>76.238201163730324</v>
      </c>
    </row>
    <row r="275" spans="14:65" x14ac:dyDescent="0.25">
      <c r="N275" s="9">
        <v>57</v>
      </c>
      <c r="O275" s="34">
        <f t="shared" si="254"/>
        <v>3715.352290971724</v>
      </c>
      <c r="P275" s="33" t="str">
        <f t="shared" ref="P275:P338" si="257">COMPLEX(Adc,0)</f>
        <v>19.1021967526266</v>
      </c>
      <c r="Q275" s="4" t="str">
        <f t="shared" ref="Q275:Q338" si="258">IMSUM(COMPLEX(1,0),IMDIV(COMPLEX(0,2*PI()*O275),COMPLEX(wp_lf,0)))</f>
        <v>1+5.23963517432947i</v>
      </c>
      <c r="R275" s="4">
        <f t="shared" si="219"/>
        <v>5.3342081661733651</v>
      </c>
      <c r="S275" s="4">
        <f t="shared" si="220"/>
        <v>1.3822112465486471</v>
      </c>
      <c r="T275" s="4" t="str">
        <f t="shared" ref="T275:T338" si="259">IMSUM(COMPLEX(1,0),IMDIV(COMPLEX(0,2*PI()*O275),COMPLEX(wz_esr,0)))</f>
        <v>1+0.0877743684403672i</v>
      </c>
      <c r="U275" s="4">
        <f t="shared" si="221"/>
        <v>1.0038447787158657</v>
      </c>
      <c r="V275" s="4">
        <f t="shared" si="222"/>
        <v>8.75499902235434E-2</v>
      </c>
      <c r="W275" t="str">
        <f t="shared" ref="W275:W338" si="260">IMSUB(COMPLEX(1,0),IMDIV(COMPLEX(0,2*PI()*O275),COMPLEX(wz_rhp,0)))</f>
        <v>1-0.0486338477617283i</v>
      </c>
      <c r="X275" s="4">
        <f t="shared" si="223"/>
        <v>1.0011819270982227</v>
      </c>
      <c r="Y275" s="4">
        <f t="shared" si="224"/>
        <v>-4.8595558330778041E-2</v>
      </c>
      <c r="Z275" t="str">
        <f t="shared" ref="Z275:Z338" si="261">IMSUM(COMPLEX(1,0),IMDIV(COMPLEX(0,2*PI()*O275),COMPLEX(Q*(wsl/2),0)),IMDIV(IMPOWER(COMPLEX(0,2*PI()*O275),2),IMPOWER(COMPLEX(wsl/2,0),2)))</f>
        <v>0.999986196157354+0.0361835827347259i</v>
      </c>
      <c r="AA275" s="4">
        <f t="shared" si="225"/>
        <v>1.0006406168873894</v>
      </c>
      <c r="AB275" s="4">
        <f t="shared" si="226"/>
        <v>3.6168302815579749E-2</v>
      </c>
      <c r="AC275" s="47" t="str">
        <f t="shared" si="227"/>
        <v>0.684127886301305-3.53112589504662i</v>
      </c>
      <c r="AD275" s="20">
        <f t="shared" si="228"/>
        <v>11.118295850343946</v>
      </c>
      <c r="AE275" s="43">
        <f t="shared" si="229"/>
        <v>-79.035237385452547</v>
      </c>
      <c r="AF275" t="str">
        <f t="shared" ref="AF275:AF338" si="262">COMPLEX($B$72,0)</f>
        <v>69.5520360182888</v>
      </c>
      <c r="AG275" t="str">
        <f t="shared" ref="AG275:AG338" si="263">IMSUM(COMPLEX(1,0),IMDIV(COMPLEX(0,2*PI()*O275),COMPLEX(wp_lf_DCM,0)))</f>
        <v>1+4.17973183049368i</v>
      </c>
      <c r="AH275">
        <f t="shared" si="230"/>
        <v>4.2976921917282596</v>
      </c>
      <c r="AI275">
        <f t="shared" si="231"/>
        <v>1.3359608096597542</v>
      </c>
      <c r="AJ275" t="str">
        <f t="shared" ref="AJ275:AJ338" si="264">IMSUM(COMPLEX(1,0),IMDIV(COMPLEX(0,2*PI()*O275),COMPLEX(wz1_dcm,0)))</f>
        <v>1+0.0877743684403672i</v>
      </c>
      <c r="AK275">
        <f t="shared" si="232"/>
        <v>1.0038447787158657</v>
      </c>
      <c r="AL275">
        <f t="shared" si="233"/>
        <v>8.75499902235434E-2</v>
      </c>
      <c r="AM275" t="str">
        <f t="shared" ref="AM275:AM338" si="265">IMSUB(COMPLEX(1,0),IMDIV(COMPLEX(0,2*PI()*O275),COMPLEX(wz2_dcm,0)))</f>
        <v>1-0.0106551421909483i</v>
      </c>
      <c r="AN275">
        <f t="shared" si="234"/>
        <v>1.0000567644164551</v>
      </c>
      <c r="AO275">
        <f t="shared" si="235"/>
        <v>-1.0654738985017216E-2</v>
      </c>
      <c r="AP275" s="41" t="str">
        <f t="shared" si="236"/>
        <v>4.98297447330821-15.4636978148217i</v>
      </c>
      <c r="AQ275">
        <f t="shared" si="237"/>
        <v>24.215315132661694</v>
      </c>
      <c r="AR275" s="43">
        <f t="shared" si="238"/>
        <v>-72.139142627818586</v>
      </c>
      <c r="AS275" t="str">
        <f t="shared" ref="AS275:AS338" si="266">COMPLEX(Adc_ea,0)</f>
        <v>-0.0000166666666666667</v>
      </c>
      <c r="AT275" t="str">
        <f t="shared" ref="AT275:AT338" si="267">COMPLEX(0,2*PI()*O275*wp0_ea)</f>
        <v>0.0000793704395471405i</v>
      </c>
      <c r="AU275">
        <f t="shared" si="239"/>
        <v>7.93704395471405E-5</v>
      </c>
      <c r="AV275">
        <f t="shared" si="240"/>
        <v>1.5707963267948966</v>
      </c>
      <c r="AW275" t="str">
        <f t="shared" ref="AW275:AW338" si="268">IMSUM(COMPLEX(1,0),IMDIV(COMPLEX(0,2*PI()*O275),COMPLEX(wp1_ea,0)))</f>
        <v>1+0.0806612390830284i</v>
      </c>
      <c r="AX275">
        <f t="shared" si="241"/>
        <v>1.0032478435014995</v>
      </c>
      <c r="AY275">
        <f t="shared" si="242"/>
        <v>8.0486985149032908E-2</v>
      </c>
      <c r="AZ275" t="str">
        <f t="shared" ref="AZ275:AZ338" si="269">IMSUM(COMPLEX(1,0),IMDIV(COMPLEX(0,2*PI()*O275),COMPLEX(wz_ea,0)))</f>
        <v>1+2.74248212882296i</v>
      </c>
      <c r="BA275">
        <f t="shared" si="243"/>
        <v>2.9191108623882913</v>
      </c>
      <c r="BB275">
        <f t="shared" si="244"/>
        <v>1.2211451988249222</v>
      </c>
      <c r="BC275" s="41" t="str">
        <f t="shared" si="245"/>
        <v>-0.555331519040079+0.254779546343734i</v>
      </c>
      <c r="BD275">
        <f t="shared" si="246"/>
        <v>-4.2793536334293387</v>
      </c>
      <c r="BE275" s="43">
        <f t="shared" si="247"/>
        <v>155.35490151056001</v>
      </c>
      <c r="BF275" s="41" t="str">
        <f t="shared" si="248"/>
        <v>0.519740875305207+2.13524729973094i</v>
      </c>
      <c r="BG275" s="20">
        <f t="shared" si="249"/>
        <v>6.8389422169145977</v>
      </c>
      <c r="BH275" s="43">
        <f t="shared" si="250"/>
        <v>76.319664125107479</v>
      </c>
      <c r="BI275" s="41" t="str">
        <f t="shared" si="255"/>
        <v>1.17263113045668+9.85703877323356i</v>
      </c>
      <c r="BJ275" s="20">
        <f t="shared" si="251"/>
        <v>19.935961499232359</v>
      </c>
      <c r="BK275" s="43">
        <f t="shared" si="256"/>
        <v>83.215758882741426</v>
      </c>
      <c r="BL275">
        <f t="shared" si="252"/>
        <v>6.8389422169145977</v>
      </c>
      <c r="BM275" s="43">
        <f t="shared" si="253"/>
        <v>76.319664125107479</v>
      </c>
    </row>
    <row r="276" spans="14:65" x14ac:dyDescent="0.25">
      <c r="N276" s="9">
        <v>58</v>
      </c>
      <c r="O276" s="34">
        <f t="shared" si="254"/>
        <v>3801.8939632056172</v>
      </c>
      <c r="P276" s="33" t="str">
        <f t="shared" si="257"/>
        <v>19.1021967526266</v>
      </c>
      <c r="Q276" s="4" t="str">
        <f t="shared" si="258"/>
        <v>1+5.36168195599909i</v>
      </c>
      <c r="R276" s="4">
        <f t="shared" ref="R276:R339" si="270">IMABS(Q276)</f>
        <v>5.4541391068881095</v>
      </c>
      <c r="S276" s="4">
        <f t="shared" ref="S276:S339" si="271">IMARGUMENT(Q276)</f>
        <v>1.386406241429764</v>
      </c>
      <c r="T276" s="4" t="str">
        <f t="shared" si="259"/>
        <v>1+0.0898188961268967i</v>
      </c>
      <c r="U276" s="4">
        <f t="shared" ref="U276:U339" si="272">IMABS(T276)</f>
        <v>1.0040256142656192</v>
      </c>
      <c r="V276" s="4">
        <f t="shared" ref="V276:V339" si="273">IMARGUMENT(T276)</f>
        <v>8.9578522568723118E-2</v>
      </c>
      <c r="W276" t="str">
        <f t="shared" si="260"/>
        <v>1-0.0497666756022256i</v>
      </c>
      <c r="X276" s="4">
        <f t="shared" ref="X276:X339" si="274">IMABS(W276)</f>
        <v>1.0012375951793346</v>
      </c>
      <c r="Y276" s="4">
        <f t="shared" ref="Y276:Y339" si="275">IMARGUMENT(W276)</f>
        <v>-4.9725650476238496E-2</v>
      </c>
      <c r="Z276" t="str">
        <f t="shared" si="261"/>
        <v>0.999985545602293+0.0370264066480558i</v>
      </c>
      <c r="AA276" s="4">
        <f t="shared" ref="AA276:AA339" si="276">IMABS(Z276)</f>
        <v>1.000670798116335</v>
      </c>
      <c r="AB276" s="4">
        <f t="shared" ref="AB276:AB339" si="277">IMARGUMENT(Z276)</f>
        <v>3.701003451235136E-2</v>
      </c>
      <c r="AC276" s="47" t="str">
        <f t="shared" ref="AC276:AC339" si="278">(IMDIV(IMPRODUCT(P276,T276,W276),IMPRODUCT(Q276,Z276)))</f>
        <v>0.654922051883414-3.45692988733041i</v>
      </c>
      <c r="AD276" s="20">
        <f t="shared" ref="AD276:AD339" si="279">20*LOG(IMABS(AC276))</f>
        <v>10.926956365988937</v>
      </c>
      <c r="AE276" s="43">
        <f t="shared" ref="AE276:AE339" si="280">(180/PI())*IMARGUMENT(AC276)</f>
        <v>-79.272343729338104</v>
      </c>
      <c r="AF276" t="str">
        <f t="shared" si="262"/>
        <v>69.5520360182888</v>
      </c>
      <c r="AG276" t="str">
        <f t="shared" si="263"/>
        <v>1+4.27709029175699i</v>
      </c>
      <c r="AH276">
        <f t="shared" ref="AH276:AH339" si="281">IMABS(AG276)</f>
        <v>4.3924368366365725</v>
      </c>
      <c r="AI276">
        <f t="shared" ref="AI276:AI339" si="282">IMARGUMENT(AG276)</f>
        <v>1.3411182569040359</v>
      </c>
      <c r="AJ276" t="str">
        <f t="shared" si="264"/>
        <v>1+0.0898188961268967i</v>
      </c>
      <c r="AK276">
        <f t="shared" ref="AK276:AK339" si="283">IMABS(AJ276)</f>
        <v>1.0040256142656192</v>
      </c>
      <c r="AL276">
        <f t="shared" ref="AL276:AL339" si="284">IMARGUMENT(AJ276)</f>
        <v>8.9578522568723118E-2</v>
      </c>
      <c r="AM276" t="str">
        <f t="shared" si="265"/>
        <v>1-0.0109033323357524i</v>
      </c>
      <c r="AN276">
        <f t="shared" ref="AN276:AN339" si="285">IMABS(AM276)</f>
        <v>1.0000594395614812</v>
      </c>
      <c r="AO276">
        <f t="shared" ref="AO276:AO339" si="286">IMARGUMENT(AM276)</f>
        <v>-1.0902900294200135E-2</v>
      </c>
      <c r="AP276" s="41" t="str">
        <f t="shared" ref="AP276:AP339" si="287">(IMDIV(IMPRODUCT(AF276,AJ276,AM276),IMPRODUCT(AG276)))</f>
        <v>4.82525058160823-15.1492942826861i</v>
      </c>
      <c r="AQ276">
        <f t="shared" ref="AQ276:AQ339" si="288">20*LOG(IMABS(AP276))</f>
        <v>24.027498573889481</v>
      </c>
      <c r="AR276" s="43">
        <f t="shared" ref="AR276:AR339" si="289">(180/PI())*IMARGUMENT(AP276)</f>
        <v>-72.332634841647319</v>
      </c>
      <c r="AS276" t="str">
        <f t="shared" si="266"/>
        <v>-0.0000166666666666667</v>
      </c>
      <c r="AT276" t="str">
        <f t="shared" si="267"/>
        <v>0.0000812192145828322i</v>
      </c>
      <c r="AU276">
        <f t="shared" ref="AU276:AU339" si="290">IMABS(AT276)</f>
        <v>8.1219214582832198E-5</v>
      </c>
      <c r="AV276">
        <f t="shared" ref="AV276:AV339" si="291">IMARGUMENT(AT276)</f>
        <v>1.5707963267948966</v>
      </c>
      <c r="AW276" t="str">
        <f t="shared" si="268"/>
        <v>1+0.0825400807023454i</v>
      </c>
      <c r="AX276">
        <f t="shared" ref="AX276:AX339" si="292">IMABS(AW276)</f>
        <v>1.0034006502501132</v>
      </c>
      <c r="AY276">
        <f t="shared" ref="AY276:AY339" si="293">IMARGUMENT(AW276)</f>
        <v>8.2353398408159278E-2</v>
      </c>
      <c r="AZ276" t="str">
        <f t="shared" si="269"/>
        <v>1+2.80636274387974i</v>
      </c>
      <c r="BA276">
        <f t="shared" ref="BA276:BA339" si="294">IMABS(AZ276)</f>
        <v>2.9792065806580492</v>
      </c>
      <c r="BB276">
        <f t="shared" ref="BB276:BB339" si="295">IMARGUMENT(AZ276)</f>
        <v>1.2284907059930688</v>
      </c>
      <c r="BC276" s="41" t="str">
        <f t="shared" ref="BC276:BC339" si="296">IMPRODUCT(AS276,IMDIV(AZ276,IMPRODUCT(AT276,AW276)))</f>
        <v>-0.555162390303098+0.251029105638987i</v>
      </c>
      <c r="BD276">
        <f t="shared" ref="BD276:BD339" si="297">20*LOG(IMABS(BC276))</f>
        <v>-4.3036759063925869</v>
      </c>
      <c r="BE276" s="43">
        <f t="shared" ref="BE276:BE339" si="298">(180/PI())*IMARGUMENT(BC276)</f>
        <v>155.66883046710282</v>
      </c>
      <c r="BF276" s="41" t="str">
        <f t="shared" ref="BF276:BF339" si="299">IMPRODUCT(AC276,BC276)</f>
        <v>0.504201926087431+2.08356195630811i</v>
      </c>
      <c r="BG276" s="20">
        <f t="shared" ref="BG276:BG339" si="300">20*LOG(IMABS(BF276))</f>
        <v>6.623280459596339</v>
      </c>
      <c r="BH276" s="43">
        <f t="shared" ref="BH276:BH339" si="301">(180/PI())*IMARGUMENT(BF276)</f>
        <v>76.396486737764718</v>
      </c>
      <c r="BI276" s="41" t="str">
        <f t="shared" si="255"/>
        <v>1.12411614814747+9.62159676336619i</v>
      </c>
      <c r="BJ276" s="20">
        <f t="shared" ref="BJ276:BJ339" si="302">20*LOG(IMABS(BI276))</f>
        <v>19.723822667496901</v>
      </c>
      <c r="BK276" s="43">
        <f t="shared" si="256"/>
        <v>83.336195625455531</v>
      </c>
      <c r="BL276">
        <f t="shared" ref="BL276:BL339" si="303">IF($B$31=0,BJ276,BG276)</f>
        <v>6.623280459596339</v>
      </c>
      <c r="BM276" s="43">
        <f t="shared" ref="BM276:BM339" si="304">IF($B$31=0,BK276,BH276)</f>
        <v>76.396486737764718</v>
      </c>
    </row>
    <row r="277" spans="14:65" x14ac:dyDescent="0.25">
      <c r="N277" s="9">
        <v>59</v>
      </c>
      <c r="O277" s="34">
        <f t="shared" si="254"/>
        <v>3890.451449942811</v>
      </c>
      <c r="P277" s="33" t="str">
        <f t="shared" si="257"/>
        <v>19.1021967526266</v>
      </c>
      <c r="Q277" s="4" t="str">
        <f t="shared" si="258"/>
        <v>1+5.48657157241204i</v>
      </c>
      <c r="R277" s="4">
        <f t="shared" si="270"/>
        <v>5.5769586352419651</v>
      </c>
      <c r="S277" s="4">
        <f t="shared" si="271"/>
        <v>1.3905120993630726</v>
      </c>
      <c r="T277" s="4" t="str">
        <f t="shared" si="259"/>
        <v>1+0.0919110469810464i</v>
      </c>
      <c r="U277" s="4">
        <f t="shared" si="272"/>
        <v>1.0042149374298075</v>
      </c>
      <c r="V277" s="4">
        <f t="shared" si="273"/>
        <v>9.1653540424024169E-2</v>
      </c>
      <c r="W277" t="str">
        <f t="shared" si="260"/>
        <v>1-0.0509258903928671i</v>
      </c>
      <c r="X277" s="4">
        <f t="shared" si="274"/>
        <v>1.0012958834991315</v>
      </c>
      <c r="Y277" s="4">
        <f t="shared" si="275"/>
        <v>-5.0881934250478093E-2</v>
      </c>
      <c r="Z277" t="str">
        <f t="shared" si="261"/>
        <v>0.999984864387516+0.0378888624522931i</v>
      </c>
      <c r="AA277" s="4">
        <f t="shared" si="276"/>
        <v>1.0007024007676046</v>
      </c>
      <c r="AB277" s="4">
        <f t="shared" si="277"/>
        <v>3.7871320057715728E-2</v>
      </c>
      <c r="AC277" s="47" t="str">
        <f t="shared" si="278"/>
        <v>0.626941739347511-3.38409245596638i</v>
      </c>
      <c r="AD277" s="20">
        <f t="shared" si="279"/>
        <v>10.735401135905851</v>
      </c>
      <c r="AE277" s="43">
        <f t="shared" si="280"/>
        <v>-79.504300501562369</v>
      </c>
      <c r="AF277" t="str">
        <f t="shared" si="262"/>
        <v>69.5520360182888</v>
      </c>
      <c r="AG277" t="str">
        <f t="shared" si="263"/>
        <v>1+4.37671652290698i</v>
      </c>
      <c r="AH277">
        <f t="shared" si="281"/>
        <v>4.489504151004537</v>
      </c>
      <c r="AI277">
        <f t="shared" si="282"/>
        <v>1.3461703535072924</v>
      </c>
      <c r="AJ277" t="str">
        <f t="shared" si="264"/>
        <v>1+0.0919110469810464i</v>
      </c>
      <c r="AK277">
        <f t="shared" si="283"/>
        <v>1.0042149374298075</v>
      </c>
      <c r="AL277">
        <f t="shared" si="284"/>
        <v>9.1653540424024169E-2</v>
      </c>
      <c r="AM277" t="str">
        <f t="shared" si="265"/>
        <v>1-0.0111573035716836i</v>
      </c>
      <c r="AN277">
        <f t="shared" si="285"/>
        <v>1.0000622407745383</v>
      </c>
      <c r="AO277">
        <f t="shared" si="286"/>
        <v>-1.1156840632375773E-2</v>
      </c>
      <c r="AP277" s="41" t="str">
        <f t="shared" si="287"/>
        <v>4.67390444329535-14.8397675332395i</v>
      </c>
      <c r="AQ277">
        <f t="shared" si="288"/>
        <v>23.839303547806246</v>
      </c>
      <c r="AR277" s="43">
        <f t="shared" si="289"/>
        <v>-72.517758598808896</v>
      </c>
      <c r="AS277" t="str">
        <f t="shared" si="266"/>
        <v>-0.0000166666666666667</v>
      </c>
      <c r="AT277" t="str">
        <f t="shared" si="267"/>
        <v>0.000083111053121159i</v>
      </c>
      <c r="AU277">
        <f t="shared" si="290"/>
        <v>8.3111053121158999E-5</v>
      </c>
      <c r="AV277">
        <f t="shared" si="291"/>
        <v>1.5707963267948966</v>
      </c>
      <c r="AW277" t="str">
        <f t="shared" si="268"/>
        <v>1+0.084462686164998i</v>
      </c>
      <c r="AX277">
        <f t="shared" si="292"/>
        <v>1.0035606336212113</v>
      </c>
      <c r="AY277">
        <f t="shared" si="293"/>
        <v>8.4262690794022349E-2</v>
      </c>
      <c r="AZ277" t="str">
        <f t="shared" si="269"/>
        <v>1+2.87173132960993i</v>
      </c>
      <c r="BA277">
        <f t="shared" si="294"/>
        <v>3.0408618563596765</v>
      </c>
      <c r="BB277">
        <f t="shared" si="295"/>
        <v>1.2357063574673841</v>
      </c>
      <c r="BC277" s="41" t="str">
        <f t="shared" si="296"/>
        <v>-0.554985401153986+0.247410457043347i</v>
      </c>
      <c r="BD277">
        <f t="shared" si="297"/>
        <v>-4.3271392367367687</v>
      </c>
      <c r="BE277" s="43">
        <f t="shared" si="298"/>
        <v>155.972862447452</v>
      </c>
      <c r="BF277" s="41" t="str">
        <f t="shared" si="299"/>
        <v>0.489316348495629+2.0332338514882i</v>
      </c>
      <c r="BG277" s="20">
        <f t="shared" si="300"/>
        <v>6.4082618991690889</v>
      </c>
      <c r="BH277" s="43">
        <f t="shared" si="301"/>
        <v>76.468561945889633</v>
      </c>
      <c r="BI277" s="41" t="str">
        <f t="shared" si="255"/>
        <v>1.07756493539814+9.39222717195945i</v>
      </c>
      <c r="BJ277" s="20">
        <f t="shared" si="302"/>
        <v>19.512164311069473</v>
      </c>
      <c r="BK277" s="43">
        <f t="shared" si="256"/>
        <v>83.45510384864312</v>
      </c>
      <c r="BL277">
        <f t="shared" si="303"/>
        <v>6.4082618991690889</v>
      </c>
      <c r="BM277" s="43">
        <f t="shared" si="304"/>
        <v>76.468561945889633</v>
      </c>
    </row>
    <row r="278" spans="14:65" x14ac:dyDescent="0.25">
      <c r="N278" s="9">
        <v>60</v>
      </c>
      <c r="O278" s="34">
        <f t="shared" si="254"/>
        <v>3981.0717055349769</v>
      </c>
      <c r="P278" s="33" t="str">
        <f t="shared" si="257"/>
        <v>19.1021967526266</v>
      </c>
      <c r="Q278" s="4" t="str">
        <f t="shared" si="258"/>
        <v>1+5.61437024169603i</v>
      </c>
      <c r="R278" s="4">
        <f t="shared" si="270"/>
        <v>5.7027320830319512</v>
      </c>
      <c r="S278" s="4">
        <f t="shared" si="271"/>
        <v>1.3945304433226857</v>
      </c>
      <c r="T278" s="4" t="str">
        <f t="shared" si="259"/>
        <v>1+0.0940519302888917i</v>
      </c>
      <c r="U278" s="4">
        <f t="shared" si="272"/>
        <v>1.004413144871704</v>
      </c>
      <c r="V278" s="4">
        <f t="shared" si="273"/>
        <v>9.3776072476636524E-2</v>
      </c>
      <c r="W278" t="str">
        <f t="shared" si="260"/>
        <v>1-0.0521121067646785i</v>
      </c>
      <c r="X278" s="4">
        <f t="shared" si="274"/>
        <v>1.0013569152262609</v>
      </c>
      <c r="Y278" s="4">
        <f t="shared" si="275"/>
        <v>-5.2065010355897619E-2</v>
      </c>
      <c r="Z278" t="str">
        <f t="shared" si="261"/>
        <v>0.999984151068075+0.0387714074329208i</v>
      </c>
      <c r="AA278" s="4">
        <f t="shared" si="276"/>
        <v>1.0007354917367866</v>
      </c>
      <c r="AB278" s="4">
        <f t="shared" si="277"/>
        <v>3.8752611164429886E-2</v>
      </c>
      <c r="AC278" s="47" t="str">
        <f t="shared" si="278"/>
        <v>0.600138919156511-3.31260461201971i</v>
      </c>
      <c r="AD278" s="20">
        <f t="shared" si="279"/>
        <v>10.543646635221606</v>
      </c>
      <c r="AE278" s="43">
        <f t="shared" si="280"/>
        <v>-79.731202051204605</v>
      </c>
      <c r="AF278" t="str">
        <f t="shared" si="262"/>
        <v>69.5520360182888</v>
      </c>
      <c r="AG278" t="str">
        <f t="shared" si="263"/>
        <v>1+4.47866334709009i</v>
      </c>
      <c r="AH278">
        <f t="shared" si="281"/>
        <v>4.5889459984367011</v>
      </c>
      <c r="AI278">
        <f t="shared" si="282"/>
        <v>1.3511187461123408</v>
      </c>
      <c r="AJ278" t="str">
        <f t="shared" si="264"/>
        <v>1+0.0940519302888917i</v>
      </c>
      <c r="AK278">
        <f t="shared" si="283"/>
        <v>1.004413144871704</v>
      </c>
      <c r="AL278">
        <f t="shared" si="284"/>
        <v>9.3776072476636524E-2</v>
      </c>
      <c r="AM278" t="str">
        <f t="shared" si="265"/>
        <v>1-0.0114171905576528i</v>
      </c>
      <c r="AN278">
        <f t="shared" si="285"/>
        <v>1.00006517399629</v>
      </c>
      <c r="AO278">
        <f t="shared" si="286"/>
        <v>-1.1416694510993258E-2</v>
      </c>
      <c r="AP278" s="41" t="str">
        <f t="shared" si="287"/>
        <v>4.528707825471-14.535143353468i</v>
      </c>
      <c r="AQ278">
        <f t="shared" si="288"/>
        <v>23.650751844394517</v>
      </c>
      <c r="AR278" s="43">
        <f t="shared" si="289"/>
        <v>-72.694557012490847</v>
      </c>
      <c r="AS278" t="str">
        <f t="shared" si="266"/>
        <v>-0.0000166666666666667</v>
      </c>
      <c r="AT278" t="str">
        <f t="shared" si="267"/>
        <v>0.0000850469582399555i</v>
      </c>
      <c r="AU278">
        <f t="shared" si="290"/>
        <v>8.5046958239955495E-5</v>
      </c>
      <c r="AV278">
        <f t="shared" si="291"/>
        <v>1.5707963267948966</v>
      </c>
      <c r="AW278" t="str">
        <f t="shared" si="268"/>
        <v>1+0.0864300748618508i</v>
      </c>
      <c r="AX278">
        <f t="shared" si="292"/>
        <v>1.0037281294457305</v>
      </c>
      <c r="AY278">
        <f t="shared" si="293"/>
        <v>8.6215818926707891E-2</v>
      </c>
      <c r="AZ278" t="str">
        <f t="shared" si="269"/>
        <v>1+2.93862254530293i</v>
      </c>
      <c r="BA278">
        <f t="shared" si="294"/>
        <v>3.1041105753118186</v>
      </c>
      <c r="BB278">
        <f t="shared" si="295"/>
        <v>1.2427929726387428</v>
      </c>
      <c r="BC278" s="41" t="str">
        <f t="shared" si="296"/>
        <v>-0.554800191676368+0.243921589776532i</v>
      </c>
      <c r="BD278">
        <f t="shared" si="297"/>
        <v>-4.3497789559293629</v>
      </c>
      <c r="BE278" s="43">
        <f t="shared" si="298"/>
        <v>156.26698958895304</v>
      </c>
      <c r="BF278" s="41" t="str">
        <f t="shared" si="299"/>
        <v>0.475058595884439+1.98422051294398i</v>
      </c>
      <c r="BG278" s="20">
        <f t="shared" si="300"/>
        <v>6.1938676792922367</v>
      </c>
      <c r="BH278" s="43">
        <f t="shared" si="301"/>
        <v>76.535787537748419</v>
      </c>
      <c r="BI278" s="41" t="str">
        <f t="shared" si="255"/>
        <v>1.03290730479013+9.16874993096984i</v>
      </c>
      <c r="BJ278" s="20">
        <f t="shared" si="302"/>
        <v>19.300972888465154</v>
      </c>
      <c r="BK278" s="43">
        <f t="shared" si="256"/>
        <v>83.572432576462177</v>
      </c>
      <c r="BL278">
        <f t="shared" si="303"/>
        <v>6.1938676792922367</v>
      </c>
      <c r="BM278" s="43">
        <f t="shared" si="304"/>
        <v>76.535787537748419</v>
      </c>
    </row>
    <row r="279" spans="14:65" x14ac:dyDescent="0.25">
      <c r="N279" s="9">
        <v>61</v>
      </c>
      <c r="O279" s="34">
        <f t="shared" si="254"/>
        <v>4073.8027780411317</v>
      </c>
      <c r="P279" s="33" t="str">
        <f t="shared" si="257"/>
        <v>19.1021967526266</v>
      </c>
      <c r="Q279" s="4" t="str">
        <f t="shared" si="258"/>
        <v>1+5.74514572439715i</v>
      </c>
      <c r="R279" s="4">
        <f t="shared" si="270"/>
        <v>5.8315263348937085</v>
      </c>
      <c r="S279" s="4">
        <f t="shared" si="271"/>
        <v>1.3984628845550593</v>
      </c>
      <c r="T279" s="4" t="str">
        <f t="shared" si="259"/>
        <v>1+0.096242681175101i</v>
      </c>
      <c r="U279" s="4">
        <f t="shared" si="272"/>
        <v>1.0046206516291472</v>
      </c>
      <c r="V279" s="4">
        <f t="shared" si="273"/>
        <v>9.5947167580454615E-2</v>
      </c>
      <c r="W279" t="str">
        <f t="shared" si="260"/>
        <v>1-0.0533259536652821i</v>
      </c>
      <c r="X279" s="4">
        <f t="shared" si="274"/>
        <v>1.0014208193034095</v>
      </c>
      <c r="Y279" s="4">
        <f t="shared" si="275"/>
        <v>-5.3275492820270463E-2</v>
      </c>
      <c r="Z279" t="str">
        <f t="shared" si="261"/>
        <v>0.999983404130926+0.0396745095269699i</v>
      </c>
      <c r="AA279" s="4">
        <f t="shared" si="276"/>
        <v>1.0007701410631118</v>
      </c>
      <c r="AB279" s="4">
        <f t="shared" si="277"/>
        <v>3.9654369799314054E-2</v>
      </c>
      <c r="AC279" s="47" t="str">
        <f t="shared" si="278"/>
        <v>0.574467124811549-3.24245631206795i</v>
      </c>
      <c r="AD279" s="20">
        <f t="shared" si="279"/>
        <v>10.351709021375264</v>
      </c>
      <c r="AE279" s="43">
        <f t="shared" si="280"/>
        <v>-79.953142250934036</v>
      </c>
      <c r="AF279" t="str">
        <f t="shared" si="262"/>
        <v>69.5520360182888</v>
      </c>
      <c r="AG279" t="str">
        <f t="shared" si="263"/>
        <v>1+4.58298481786196i</v>
      </c>
      <c r="AH279">
        <f t="shared" si="281"/>
        <v>4.6908154771588721</v>
      </c>
      <c r="AI279">
        <f t="shared" si="282"/>
        <v>1.3559650886302594</v>
      </c>
      <c r="AJ279" t="str">
        <f t="shared" si="264"/>
        <v>1+0.096242681175101i</v>
      </c>
      <c r="AK279">
        <f t="shared" si="283"/>
        <v>1.0046206516291472</v>
      </c>
      <c r="AL279">
        <f t="shared" si="284"/>
        <v>9.5947167580454615E-2</v>
      </c>
      <c r="AM279" t="str">
        <f t="shared" si="265"/>
        <v>1-0.0116831310891801i</v>
      </c>
      <c r="AN279">
        <f t="shared" si="285"/>
        <v>1.0000682454473029</v>
      </c>
      <c r="AO279">
        <f t="shared" si="286"/>
        <v>-1.1682599567567072E-2</v>
      </c>
      <c r="AP279" s="41" t="str">
        <f t="shared" si="287"/>
        <v>4.38943815237696-14.2354395380214i</v>
      </c>
      <c r="AQ279">
        <f t="shared" si="288"/>
        <v>23.461864749873385</v>
      </c>
      <c r="AR279" s="43">
        <f t="shared" si="289"/>
        <v>-72.863072635964954</v>
      </c>
      <c r="AS279" t="str">
        <f t="shared" si="266"/>
        <v>-0.0000166666666666667</v>
      </c>
      <c r="AT279" t="str">
        <f t="shared" si="267"/>
        <v>0.0000870279563817404i</v>
      </c>
      <c r="AU279">
        <f t="shared" si="290"/>
        <v>8.7027956381740396E-5</v>
      </c>
      <c r="AV279">
        <f t="shared" si="291"/>
        <v>1.5707963267948966</v>
      </c>
      <c r="AW279" t="str">
        <f t="shared" si="268"/>
        <v>1+0.088443289928433i</v>
      </c>
      <c r="AX279">
        <f t="shared" si="292"/>
        <v>1.0039034891528991</v>
      </c>
      <c r="AY279">
        <f t="shared" si="293"/>
        <v>8.8213758742568357E-2</v>
      </c>
      <c r="AZ279" t="str">
        <f t="shared" si="269"/>
        <v>1+3.00707185756672i</v>
      </c>
      <c r="BA279">
        <f t="shared" si="294"/>
        <v>3.1689874023999787</v>
      </c>
      <c r="BB279">
        <f t="shared" si="295"/>
        <v>1.2497514608790077</v>
      </c>
      <c r="BC279" s="41" t="str">
        <f t="shared" si="296"/>
        <v>-0.554606385990801+0.240560555442844i</v>
      </c>
      <c r="BD279">
        <f t="shared" si="297"/>
        <v>-4.3716297338673149</v>
      </c>
      <c r="BE279" s="43">
        <f t="shared" si="298"/>
        <v>156.55120807774179</v>
      </c>
      <c r="BF279" s="41" t="str">
        <f t="shared" si="299"/>
        <v>0.461403955467962+1.93648110759739i</v>
      </c>
      <c r="BG279" s="20">
        <f t="shared" si="300"/>
        <v>5.980079287507964</v>
      </c>
      <c r="BH279" s="43">
        <f t="shared" si="301"/>
        <v>76.598065826807797</v>
      </c>
      <c r="BI279" s="41" t="str">
        <f t="shared" si="255"/>
        <v>0.990074812019526+8.95099135519042i</v>
      </c>
      <c r="BJ279" s="20">
        <f t="shared" si="302"/>
        <v>19.090235016006073</v>
      </c>
      <c r="BK279" s="43">
        <f t="shared" si="256"/>
        <v>83.688135441776851</v>
      </c>
      <c r="BL279">
        <f t="shared" si="303"/>
        <v>5.980079287507964</v>
      </c>
      <c r="BM279" s="43">
        <f t="shared" si="304"/>
        <v>76.598065826807797</v>
      </c>
    </row>
    <row r="280" spans="14:65" x14ac:dyDescent="0.25">
      <c r="N280" s="9">
        <v>62</v>
      </c>
      <c r="O280" s="34">
        <f t="shared" si="254"/>
        <v>4168.6938347033583</v>
      </c>
      <c r="P280" s="33" t="str">
        <f t="shared" si="257"/>
        <v>19.1021967526266</v>
      </c>
      <c r="Q280" s="4" t="str">
        <f t="shared" si="258"/>
        <v>1+5.87896735940736i</v>
      </c>
      <c r="R280" s="4">
        <f t="shared" si="270"/>
        <v>5.9634098645805942</v>
      </c>
      <c r="S280" s="4">
        <f t="shared" si="271"/>
        <v>1.4023110213576149</v>
      </c>
      <c r="T280" s="4" t="str">
        <f t="shared" si="259"/>
        <v>1+0.0984844612047919i</v>
      </c>
      <c r="U280" s="4">
        <f t="shared" si="272"/>
        <v>1.0048378919501384</v>
      </c>
      <c r="V280" s="4">
        <f t="shared" si="273"/>
        <v>9.8167894963408525E-2</v>
      </c>
      <c r="W280" t="str">
        <f t="shared" si="260"/>
        <v>1-0.0545680746923715i</v>
      </c>
      <c r="X280" s="4">
        <f t="shared" si="274"/>
        <v>1.0014877307164738</v>
      </c>
      <c r="Y280" s="4">
        <f t="shared" si="275"/>
        <v>-5.4514009259925986E-2</v>
      </c>
      <c r="Z280" t="str">
        <f t="shared" si="261"/>
        <v>0.999982621991713+0.0405986475711243i</v>
      </c>
      <c r="AA280" s="4">
        <f t="shared" si="276"/>
        <v>1.0008064220767299</v>
      </c>
      <c r="AB280" s="4">
        <f t="shared" si="277"/>
        <v>4.0577068403059462E-2</v>
      </c>
      <c r="AC280" s="47" t="str">
        <f t="shared" si="278"/>
        <v>0.549881428998152-3.17363654979573i</v>
      </c>
      <c r="AD280" s="20">
        <f t="shared" si="279"/>
        <v>10.159604158173662</v>
      </c>
      <c r="AE280" s="43">
        <f t="shared" si="280"/>
        <v>-80.170214442824118</v>
      </c>
      <c r="AF280" t="str">
        <f t="shared" si="262"/>
        <v>69.5520360182888</v>
      </c>
      <c r="AG280" t="str">
        <f t="shared" si="263"/>
        <v>1+4.68973624784724i</v>
      </c>
      <c r="AH280">
        <f t="shared" si="281"/>
        <v>4.7951669495829146</v>
      </c>
      <c r="AI280">
        <f t="shared" si="282"/>
        <v>1.3607110396301147</v>
      </c>
      <c r="AJ280" t="str">
        <f t="shared" si="264"/>
        <v>1+0.0984844612047919i</v>
      </c>
      <c r="AK280">
        <f t="shared" si="283"/>
        <v>1.0048378919501384</v>
      </c>
      <c r="AL280">
        <f t="shared" si="284"/>
        <v>9.8167894963408525E-2</v>
      </c>
      <c r="AM280" t="str">
        <f t="shared" si="265"/>
        <v>1-0.0119552661714555i</v>
      </c>
      <c r="AN280">
        <f t="shared" si="285"/>
        <v>1.0000714616412321</v>
      </c>
      <c r="AO280">
        <f t="shared" si="286"/>
        <v>-1.1954696637983969E-2</v>
      </c>
      <c r="AP280" s="41" t="str">
        <f t="shared" si="287"/>
        <v>4.25587859049176-13.9406664026741i</v>
      </c>
      <c r="AQ280">
        <f t="shared" si="288"/>
        <v>23.272663070266315</v>
      </c>
      <c r="AR280" s="43">
        <f t="shared" si="289"/>
        <v>-73.023347305292944</v>
      </c>
      <c r="AS280" t="str">
        <f t="shared" si="266"/>
        <v>-0.0000166666666666667</v>
      </c>
      <c r="AT280" t="str">
        <f t="shared" si="267"/>
        <v>0.0000890550978979501i</v>
      </c>
      <c r="AU280">
        <f t="shared" si="290"/>
        <v>8.9055097897950102E-5</v>
      </c>
      <c r="AV280">
        <f t="shared" si="291"/>
        <v>1.5707963267948966</v>
      </c>
      <c r="AW280" t="str">
        <f t="shared" si="268"/>
        <v>1+0.0905033987980207i</v>
      </c>
      <c r="AX280">
        <f t="shared" si="292"/>
        <v>1.0040870804835571</v>
      </c>
      <c r="AY280">
        <f t="shared" si="293"/>
        <v>9.025750573793366E-2</v>
      </c>
      <c r="AZ280" t="str">
        <f t="shared" si="269"/>
        <v>1+3.0771155591327i</v>
      </c>
      <c r="BA280">
        <f t="shared" si="294"/>
        <v>3.2355278030418084</v>
      </c>
      <c r="BB280">
        <f t="shared" si="295"/>
        <v>1.256582815304111</v>
      </c>
      <c r="BC280" s="41" t="str">
        <f t="shared" si="296"/>
        <v>-0.554403591596369+0.237325466557807i</v>
      </c>
      <c r="BD280">
        <f t="shared" si="297"/>
        <v>-4.3927255754878312</v>
      </c>
      <c r="BE280" s="43">
        <f t="shared" si="298"/>
        <v>156.82551777743117</v>
      </c>
      <c r="BF280" s="41" t="str">
        <f t="shared" si="299"/>
        <v>0.448328535676461+1.88997636831672i</v>
      </c>
      <c r="BG280" s="20">
        <f t="shared" si="300"/>
        <v>5.7668785826858233</v>
      </c>
      <c r="BH280" s="43">
        <f t="shared" si="301"/>
        <v>76.655303334607069</v>
      </c>
      <c r="BI280" s="41" t="str">
        <f t="shared" si="255"/>
        <v>0.949000782174652+8.73878389499119i</v>
      </c>
      <c r="BJ280" s="20">
        <f t="shared" si="302"/>
        <v>18.879937494778481</v>
      </c>
      <c r="BK280" s="43">
        <f t="shared" si="256"/>
        <v>83.802170472138229</v>
      </c>
      <c r="BL280">
        <f t="shared" si="303"/>
        <v>5.7668785826858233</v>
      </c>
      <c r="BM280" s="43">
        <f t="shared" si="304"/>
        <v>76.655303334607069</v>
      </c>
    </row>
    <row r="281" spans="14:65" x14ac:dyDescent="0.25">
      <c r="N281" s="9">
        <v>63</v>
      </c>
      <c r="O281" s="34">
        <f t="shared" si="254"/>
        <v>4265.7951880159299</v>
      </c>
      <c r="P281" s="33" t="str">
        <f t="shared" si="257"/>
        <v>19.1021967526266</v>
      </c>
      <c r="Q281" s="4" t="str">
        <f t="shared" si="258"/>
        <v>1+6.01590610072883i</v>
      </c>
      <c r="R281" s="4">
        <f t="shared" si="270"/>
        <v>6.0984527720386881</v>
      </c>
      <c r="S281" s="4">
        <f t="shared" si="271"/>
        <v>1.4060764379647968</v>
      </c>
      <c r="T281" s="4" t="str">
        <f t="shared" si="259"/>
        <v>1+0.100778458999409i</v>
      </c>
      <c r="U281" s="4">
        <f t="shared" si="272"/>
        <v>1.0050653201649611</v>
      </c>
      <c r="V281" s="4">
        <f t="shared" si="273"/>
        <v>0.10043934442193034</v>
      </c>
      <c r="W281" t="str">
        <f t="shared" si="260"/>
        <v>1-0.0558391284349565i</v>
      </c>
      <c r="X281" s="4">
        <f t="shared" si="274"/>
        <v>1.0015577907761366</v>
      </c>
      <c r="Y281" s="4">
        <f t="shared" si="275"/>
        <v>-5.5781201145748693E-2</v>
      </c>
      <c r="Z281" t="str">
        <f t="shared" si="261"/>
        <v>0.999981802991414+0.0415443115556076i</v>
      </c>
      <c r="AA281" s="4">
        <f t="shared" si="276"/>
        <v>1.000844411552859</v>
      </c>
      <c r="AB281" s="4">
        <f t="shared" si="277"/>
        <v>4.152119011380976E-2</v>
      </c>
      <c r="AC281" s="47" t="str">
        <f t="shared" si="278"/>
        <v>0.526338417334007-3.10613344269116i</v>
      </c>
      <c r="AD281" s="20">
        <f t="shared" si="279"/>
        <v>9.9673476399000158</v>
      </c>
      <c r="AE281" s="43">
        <f t="shared" si="280"/>
        <v>-80.382511391437035</v>
      </c>
      <c r="AF281" t="str">
        <f t="shared" si="262"/>
        <v>69.5520360182888</v>
      </c>
      <c r="AG281" t="str">
        <f t="shared" si="263"/>
        <v>1+4.79897423806712i</v>
      </c>
      <c r="AH281">
        <f t="shared" si="281"/>
        <v>4.9020560724691729</v>
      </c>
      <c r="AI281">
        <f t="shared" si="282"/>
        <v>1.365358259898696</v>
      </c>
      <c r="AJ281" t="str">
        <f t="shared" si="264"/>
        <v>1+0.100778458999409i</v>
      </c>
      <c r="AK281">
        <f t="shared" si="283"/>
        <v>1.0050653201649611</v>
      </c>
      <c r="AL281">
        <f t="shared" si="284"/>
        <v>0.10043934442193034</v>
      </c>
      <c r="AM281" t="str">
        <f t="shared" si="265"/>
        <v>1-0.0122337400941015i</v>
      </c>
      <c r="AN281">
        <f t="shared" si="285"/>
        <v>1.0000748293986257</v>
      </c>
      <c r="AO281">
        <f t="shared" si="286"/>
        <v>-1.2233129830457925E-2</v>
      </c>
      <c r="AP281" s="41" t="str">
        <f t="shared" si="287"/>
        <v>4.12781810754711-13.6508272790144i</v>
      </c>
      <c r="AQ281">
        <f t="shared" si="288"/>
        <v>23.083167155453971</v>
      </c>
      <c r="AR281" s="43">
        <f t="shared" si="289"/>
        <v>-73.175421992604853</v>
      </c>
      <c r="AS281" t="str">
        <f t="shared" si="266"/>
        <v>-0.0000166666666666667</v>
      </c>
      <c r="AT281" t="str">
        <f t="shared" si="267"/>
        <v>0.0000911294576058488i</v>
      </c>
      <c r="AU281">
        <f t="shared" si="290"/>
        <v>9.1129457605848804E-5</v>
      </c>
      <c r="AV281">
        <f t="shared" si="291"/>
        <v>1.5707963267948966</v>
      </c>
      <c r="AW281" t="str">
        <f t="shared" si="268"/>
        <v>1+0.0926114937676049i</v>
      </c>
      <c r="AX281">
        <f t="shared" si="292"/>
        <v>1.0042792882350344</v>
      </c>
      <c r="AY281">
        <f t="shared" si="293"/>
        <v>9.2348075204462254E-2</v>
      </c>
      <c r="AZ281" t="str">
        <f t="shared" si="269"/>
        <v>1+3.14879078809857i</v>
      </c>
      <c r="BA281">
        <f t="shared" si="294"/>
        <v>3.3037680649849519</v>
      </c>
      <c r="BB281">
        <f t="shared" si="295"/>
        <v>1.2632881067063058</v>
      </c>
      <c r="BC281" s="41" t="str">
        <f t="shared" si="296"/>
        <v>-0.554191398689988+0.234214495077909i</v>
      </c>
      <c r="BD281">
        <f t="shared" si="297"/>
        <v>-4.413099820517024</v>
      </c>
      <c r="BE281" s="43">
        <f t="shared" si="298"/>
        <v>157.08992186797124</v>
      </c>
      <c r="BF281" s="41" t="str">
        <f t="shared" si="299"/>
        <v>0.435809252237909+1.84466852377875i</v>
      </c>
      <c r="BG281" s="20">
        <f t="shared" si="300"/>
        <v>5.5542478193829856</v>
      </c>
      <c r="BH281" s="43">
        <f t="shared" si="301"/>
        <v>76.707410476534207</v>
      </c>
      <c r="BI281" s="41" t="str">
        <f t="shared" si="255"/>
        <v>0.909620327990712+8.53196589686503i</v>
      </c>
      <c r="BJ281" s="20">
        <f t="shared" si="302"/>
        <v>18.670067334936949</v>
      </c>
      <c r="BK281" s="43">
        <f t="shared" si="256"/>
        <v>83.914499875366403</v>
      </c>
      <c r="BL281">
        <f t="shared" si="303"/>
        <v>5.5542478193829856</v>
      </c>
      <c r="BM281" s="43">
        <f t="shared" si="304"/>
        <v>76.707410476534207</v>
      </c>
    </row>
    <row r="282" spans="14:65" x14ac:dyDescent="0.25">
      <c r="N282" s="9">
        <v>64</v>
      </c>
      <c r="O282" s="34">
        <f t="shared" si="254"/>
        <v>4365.1583224016631</v>
      </c>
      <c r="P282" s="33" t="str">
        <f t="shared" si="257"/>
        <v>19.1021967526266</v>
      </c>
      <c r="Q282" s="4" t="str">
        <f t="shared" si="258"/>
        <v>1+6.15603455509484i</v>
      </c>
      <c r="R282" s="4">
        <f t="shared" si="270"/>
        <v>6.2367268212999134</v>
      </c>
      <c r="S282" s="4">
        <f t="shared" si="271"/>
        <v>1.4097607035357416</v>
      </c>
      <c r="T282" s="4" t="str">
        <f t="shared" si="259"/>
        <v>1+0.103125890866949i</v>
      </c>
      <c r="U282" s="4">
        <f t="shared" si="272"/>
        <v>1.0053034115962711</v>
      </c>
      <c r="V282" s="4">
        <f t="shared" si="273"/>
        <v>0.1027626265011158</v>
      </c>
      <c r="W282" t="str">
        <f t="shared" si="260"/>
        <v>1-0.0571397888225558i</v>
      </c>
      <c r="X282" s="4">
        <f t="shared" si="274"/>
        <v>1.0016311474124027</v>
      </c>
      <c r="Y282" s="4">
        <f t="shared" si="275"/>
        <v>-5.7077724071825216E-2</v>
      </c>
      <c r="Z282" t="str">
        <f t="shared" si="261"/>
        <v>0.99998094539282+0.0425120028839815i</v>
      </c>
      <c r="AA282" s="4">
        <f t="shared" si="276"/>
        <v>1.0008841898730971</v>
      </c>
      <c r="AB282" s="4">
        <f t="shared" si="277"/>
        <v>4.2487228994504737E-2</v>
      </c>
      <c r="AC282" s="47" t="str">
        <f t="shared" si="278"/>
        <v>0.503796160053691-3.03993431398543i</v>
      </c>
      <c r="AD282" s="20">
        <f t="shared" si="279"/>
        <v>9.7749548154621042</v>
      </c>
      <c r="AE282" s="43">
        <f t="shared" si="280"/>
        <v>-80.590125243917328</v>
      </c>
      <c r="AF282" t="str">
        <f t="shared" si="262"/>
        <v>69.5520360182888</v>
      </c>
      <c r="AG282" t="str">
        <f t="shared" si="263"/>
        <v>1+4.91075670794995i</v>
      </c>
      <c r="AH282">
        <f t="shared" si="281"/>
        <v>5.0115398277051968</v>
      </c>
      <c r="AI282">
        <f t="shared" si="282"/>
        <v>1.3699084101638501</v>
      </c>
      <c r="AJ282" t="str">
        <f t="shared" si="264"/>
        <v>1+0.103125890866949i</v>
      </c>
      <c r="AK282">
        <f t="shared" si="283"/>
        <v>1.0053034115962711</v>
      </c>
      <c r="AL282">
        <f t="shared" si="284"/>
        <v>0.1027626265011158</v>
      </c>
      <c r="AM282" t="str">
        <f t="shared" si="265"/>
        <v>1-0.0125187005076782i</v>
      </c>
      <c r="AN282">
        <f t="shared" si="285"/>
        <v>1.0000783558613799</v>
      </c>
      <c r="AO282">
        <f t="shared" si="286"/>
        <v>-1.2518046601169864E-2</v>
      </c>
      <c r="AP282" s="41" t="str">
        <f t="shared" si="287"/>
        <v>4.00505150775246-13.3659189899965i</v>
      </c>
      <c r="AQ282">
        <f t="shared" si="288"/>
        <v>22.893396923648119</v>
      </c>
      <c r="AR282" s="43">
        <f t="shared" si="289"/>
        <v>-73.319336669667067</v>
      </c>
      <c r="AS282" t="str">
        <f t="shared" si="266"/>
        <v>-0.0000166666666666667</v>
      </c>
      <c r="AT282" t="str">
        <f t="shared" si="267"/>
        <v>0.0000932521353584112i</v>
      </c>
      <c r="AU282">
        <f t="shared" si="290"/>
        <v>9.3252135358411201E-5</v>
      </c>
      <c r="AV282">
        <f t="shared" si="291"/>
        <v>1.5707963267948966</v>
      </c>
      <c r="AW282" t="str">
        <f t="shared" si="268"/>
        <v>1+0.0947686925770427i</v>
      </c>
      <c r="AX282">
        <f t="shared" si="292"/>
        <v>1.0044805150388743</v>
      </c>
      <c r="AY282">
        <f t="shared" si="293"/>
        <v>9.448650245501547E-2</v>
      </c>
      <c r="AZ282" t="str">
        <f t="shared" si="269"/>
        <v>1+3.22213554761945i</v>
      </c>
      <c r="BA282">
        <f t="shared" si="294"/>
        <v>3.3737453204462384</v>
      </c>
      <c r="BB282">
        <f t="shared" si="295"/>
        <v>1.2698684776675668</v>
      </c>
      <c r="BC282" s="41" t="str">
        <f t="shared" si="296"/>
        <v>-0.553969379463071+0.231225870930862i</v>
      </c>
      <c r="BD282">
        <f t="shared" si="297"/>
        <v>-4.4327851461609162</v>
      </c>
      <c r="BE282" s="43">
        <f t="shared" si="298"/>
        <v>157.3444264954295</v>
      </c>
      <c r="BF282" s="41" t="str">
        <f t="shared" si="299"/>
        <v>0.423823813163072+1.80052123140704i</v>
      </c>
      <c r="BG282" s="20">
        <f t="shared" si="300"/>
        <v>5.3421696693011702</v>
      </c>
      <c r="BH282" s="43">
        <f t="shared" si="301"/>
        <v>76.754301251512175</v>
      </c>
      <c r="BI282" s="41" t="str">
        <f t="shared" si="255"/>
        <v>0.871870360786021+8.33038137184506i</v>
      </c>
      <c r="BJ282" s="20">
        <f t="shared" si="302"/>
        <v>18.460611777487198</v>
      </c>
      <c r="BK282" s="43">
        <f t="shared" si="256"/>
        <v>84.025089825762464</v>
      </c>
      <c r="BL282">
        <f t="shared" si="303"/>
        <v>5.3421696693011702</v>
      </c>
      <c r="BM282" s="43">
        <f t="shared" si="304"/>
        <v>76.754301251512175</v>
      </c>
    </row>
    <row r="283" spans="14:65" x14ac:dyDescent="0.25">
      <c r="N283" s="9">
        <v>65</v>
      </c>
      <c r="O283" s="34">
        <f t="shared" si="254"/>
        <v>4466.8359215096343</v>
      </c>
      <c r="P283" s="33" t="str">
        <f t="shared" si="257"/>
        <v>19.1021967526266</v>
      </c>
      <c r="Q283" s="4" t="str">
        <f t="shared" si="258"/>
        <v>1+6.29942702046672i</v>
      </c>
      <c r="R283" s="4">
        <f t="shared" si="270"/>
        <v>6.3783054792151681</v>
      </c>
      <c r="S283" s="4">
        <f t="shared" si="271"/>
        <v>1.4133653712379044</v>
      </c>
      <c r="T283" s="4" t="str">
        <f t="shared" si="259"/>
        <v>1+0.105528001446858i</v>
      </c>
      <c r="U283" s="4">
        <f t="shared" si="272"/>
        <v>1.0055526635086638</v>
      </c>
      <c r="V283" s="4">
        <f t="shared" si="273"/>
        <v>0.10513887265903316</v>
      </c>
      <c r="W283" t="str">
        <f t="shared" si="260"/>
        <v>1-0.0584707454825235i</v>
      </c>
      <c r="X283" s="4">
        <f t="shared" si="274"/>
        <v>1.0017079554826755</v>
      </c>
      <c r="Y283" s="4">
        <f t="shared" si="275"/>
        <v>-5.8404248026556055E-2</v>
      </c>
      <c r="Z283" t="str">
        <f t="shared" si="261"/>
        <v>0.99998004737685+0.0435022346389975i</v>
      </c>
      <c r="AA283" s="4">
        <f t="shared" si="276"/>
        <v>1.0009258411942383</v>
      </c>
      <c r="AB283" s="4">
        <f t="shared" si="277"/>
        <v>4.347569026397604E-2</v>
      </c>
      <c r="AC283" s="47" t="str">
        <f t="shared" si="278"/>
        <v>0.482214181939218-2.97502576998555i</v>
      </c>
      <c r="AD283" s="20">
        <f t="shared" si="279"/>
        <v>9.582440812570086</v>
      </c>
      <c r="AE283" s="43">
        <f t="shared" si="280"/>
        <v>-80.793147496847482</v>
      </c>
      <c r="AF283" t="str">
        <f t="shared" si="262"/>
        <v>69.5520360182888</v>
      </c>
      <c r="AG283" t="str">
        <f t="shared" si="263"/>
        <v>1+5.02514292604088i</v>
      </c>
      <c r="AH283">
        <f t="shared" si="281"/>
        <v>5.1236765537198679</v>
      </c>
      <c r="AI283">
        <f t="shared" si="282"/>
        <v>1.3743631489749231</v>
      </c>
      <c r="AJ283" t="str">
        <f t="shared" si="264"/>
        <v>1+0.105528001446858i</v>
      </c>
      <c r="AK283">
        <f t="shared" si="283"/>
        <v>1.0055526635086638</v>
      </c>
      <c r="AL283">
        <f t="shared" si="284"/>
        <v>0.10513887265903316</v>
      </c>
      <c r="AM283" t="str">
        <f t="shared" si="265"/>
        <v>1-0.0128102985019686i</v>
      </c>
      <c r="AN283">
        <f t="shared" si="285"/>
        <v>1.0000820485078761</v>
      </c>
      <c r="AO283">
        <f t="shared" si="286"/>
        <v>-1.2809597831625733E-2</v>
      </c>
      <c r="AP283" s="41" t="str">
        <f t="shared" si="287"/>
        <v>3.88737944540146-13.0859323061399i</v>
      </c>
      <c r="AQ283">
        <f t="shared" si="288"/>
        <v>22.703371886228179</v>
      </c>
      <c r="AR283" s="43">
        <f t="shared" si="289"/>
        <v>-73.45513018145877</v>
      </c>
      <c r="AS283" t="str">
        <f t="shared" si="266"/>
        <v>-0.0000166666666666667</v>
      </c>
      <c r="AT283" t="str">
        <f t="shared" si="267"/>
        <v>0.0000954242566274785i</v>
      </c>
      <c r="AU283">
        <f t="shared" si="290"/>
        <v>9.5424256627478504E-5</v>
      </c>
      <c r="AV283">
        <f t="shared" si="291"/>
        <v>1.5707963267948966</v>
      </c>
      <c r="AW283" t="str">
        <f t="shared" si="268"/>
        <v>1+0.0969761390016969i</v>
      </c>
      <c r="AX283">
        <f t="shared" si="292"/>
        <v>1.0046911821727493</v>
      </c>
      <c r="AY283">
        <f t="shared" si="293"/>
        <v>9.6673843038856525E-2</v>
      </c>
      <c r="AZ283" t="str">
        <f t="shared" si="269"/>
        <v>1+3.29718872605769i</v>
      </c>
      <c r="BA283">
        <f t="shared" si="294"/>
        <v>3.4454975686019473</v>
      </c>
      <c r="BB283">
        <f t="shared" si="295"/>
        <v>1.2763251368639807</v>
      </c>
      <c r="BC283" s="41" t="str">
        <f t="shared" si="296"/>
        <v>-0.553737087375438+0.22835788054369i</v>
      </c>
      <c r="BD283">
        <f t="shared" si="297"/>
        <v>-4.4518135725443493</v>
      </c>
      <c r="BE283" s="43">
        <f t="shared" si="298"/>
        <v>157.58904043332655</v>
      </c>
      <c r="BF283" s="41" t="str">
        <f t="shared" si="299"/>
        <v>0.412350702798607+1.75749951329442i</v>
      </c>
      <c r="BG283" s="20">
        <f t="shared" si="300"/>
        <v>5.1306272400257456</v>
      </c>
      <c r="BH283" s="43">
        <f t="shared" si="301"/>
        <v>76.79589293647912</v>
      </c>
      <c r="BI283" s="41" t="str">
        <f t="shared" si="255"/>
        <v>0.835689594748559+8.13387977181504i</v>
      </c>
      <c r="BJ283" s="20">
        <f t="shared" si="302"/>
        <v>18.25155831368383</v>
      </c>
      <c r="BK283" s="43">
        <f t="shared" si="256"/>
        <v>84.133910251867803</v>
      </c>
      <c r="BL283">
        <f t="shared" si="303"/>
        <v>5.1306272400257456</v>
      </c>
      <c r="BM283" s="43">
        <f t="shared" si="304"/>
        <v>76.79589293647912</v>
      </c>
    </row>
    <row r="284" spans="14:65" x14ac:dyDescent="0.25">
      <c r="N284" s="9">
        <v>66</v>
      </c>
      <c r="O284" s="34">
        <f t="shared" ref="O284:O318" si="305">10^(3+(N284/100))</f>
        <v>4570.8818961487532</v>
      </c>
      <c r="P284" s="33" t="str">
        <f t="shared" si="257"/>
        <v>19.1021967526266</v>
      </c>
      <c r="Q284" s="4" t="str">
        <f t="shared" si="258"/>
        <v>1+6.44615952542763i</v>
      </c>
      <c r="R284" s="4">
        <f t="shared" si="270"/>
        <v>6.5232639550505223</v>
      </c>
      <c r="S284" s="4">
        <f t="shared" si="271"/>
        <v>1.4168919774211868</v>
      </c>
      <c r="T284" s="4" t="str">
        <f t="shared" si="259"/>
        <v>1+0.107986064369963i</v>
      </c>
      <c r="U284" s="4">
        <f t="shared" si="272"/>
        <v>1.0058135960992542</v>
      </c>
      <c r="V284" s="4">
        <f t="shared" si="273"/>
        <v>0.10756923541355412</v>
      </c>
      <c r="W284" t="str">
        <f t="shared" si="260"/>
        <v>1-0.0598327041056979i</v>
      </c>
      <c r="X284" s="4">
        <f t="shared" si="274"/>
        <v>1.0017883770939848</v>
      </c>
      <c r="Y284" s="4">
        <f t="shared" si="275"/>
        <v>-5.9761457666026058E-2</v>
      </c>
      <c r="Z284" t="str">
        <f t="shared" si="261"/>
        <v>0.999979107038691+0.0445155318546392i</v>
      </c>
      <c r="AA284" s="4">
        <f t="shared" si="276"/>
        <v>1.0009694536249341</v>
      </c>
      <c r="AB284" s="4">
        <f t="shared" si="277"/>
        <v>4.4487090531770294E-2</v>
      </c>
      <c r="AC284" s="47" t="str">
        <f t="shared" si="278"/>
        <v>0.46155343078006-2.91139377295667i</v>
      </c>
      <c r="AD284" s="20">
        <f t="shared" si="279"/>
        <v>9.3898205619373378</v>
      </c>
      <c r="AE284" s="43">
        <f t="shared" si="280"/>
        <v>-80.991668969633579</v>
      </c>
      <c r="AF284" t="str">
        <f t="shared" si="262"/>
        <v>69.5520360182888</v>
      </c>
      <c r="AG284" t="str">
        <f t="shared" si="263"/>
        <v>1+5.14219354142684i</v>
      </c>
      <c r="AH284">
        <f t="shared" si="281"/>
        <v>5.2385259775524551</v>
      </c>
      <c r="AI284">
        <f t="shared" si="282"/>
        <v>1.3787241307337623</v>
      </c>
      <c r="AJ284" t="str">
        <f t="shared" si="264"/>
        <v>1+0.107986064369963i</v>
      </c>
      <c r="AK284">
        <f t="shared" si="283"/>
        <v>1.0058135960992542</v>
      </c>
      <c r="AL284">
        <f t="shared" si="284"/>
        <v>0.10756923541355412</v>
      </c>
      <c r="AM284" t="str">
        <f t="shared" si="265"/>
        <v>1-0.0131086886860891i</v>
      </c>
      <c r="AN284">
        <f t="shared" si="285"/>
        <v>1.0000859151688262</v>
      </c>
      <c r="AO284">
        <f t="shared" si="286"/>
        <v>-1.3107937907773533E-2</v>
      </c>
      <c r="AP284" s="41" t="str">
        <f t="shared" si="287"/>
        <v>3.77460841891935-12.8108523822969i</v>
      </c>
      <c r="AQ284">
        <f t="shared" si="288"/>
        <v>22.513111172888912</v>
      </c>
      <c r="AR284" s="43">
        <f t="shared" si="289"/>
        <v>-73.582840129476807</v>
      </c>
      <c r="AS284" t="str">
        <f t="shared" si="266"/>
        <v>-0.0000166666666666667</v>
      </c>
      <c r="AT284" t="str">
        <f t="shared" si="267"/>
        <v>0.0000976469731004991i</v>
      </c>
      <c r="AU284">
        <f t="shared" si="290"/>
        <v>9.7646973100499099E-5</v>
      </c>
      <c r="AV284">
        <f t="shared" si="291"/>
        <v>1.5707963267948966</v>
      </c>
      <c r="AW284" t="str">
        <f t="shared" si="268"/>
        <v>1+0.0992350034588808i</v>
      </c>
      <c r="AX284">
        <f t="shared" si="292"/>
        <v>1.004911730407942</v>
      </c>
      <c r="AY284">
        <f t="shared" si="293"/>
        <v>9.8911172944894252E-2</v>
      </c>
      <c r="AZ284" t="str">
        <f t="shared" si="269"/>
        <v>1+3.37399011760195i</v>
      </c>
      <c r="BA284">
        <f t="shared" si="294"/>
        <v>3.5190636984396315</v>
      </c>
      <c r="BB284">
        <f t="shared" si="295"/>
        <v>1.2826593535689725</v>
      </c>
      <c r="BC284" s="41" t="str">
        <f t="shared" si="296"/>
        <v>-0.553494056406244+0.225608865365829i</v>
      </c>
      <c r="BD284">
        <f t="shared" si="297"/>
        <v>-4.4702164707103078</v>
      </c>
      <c r="BE284" s="43">
        <f t="shared" si="298"/>
        <v>157.8237747560494</v>
      </c>
      <c r="BF284" s="41" t="str">
        <f t="shared" si="299"/>
        <v>0.40136916509922+1.71556969501366i</v>
      </c>
      <c r="BG284" s="20">
        <f t="shared" si="300"/>
        <v>4.9196040912270229</v>
      </c>
      <c r="BH284" s="43">
        <f t="shared" si="301"/>
        <v>76.832105786415823</v>
      </c>
      <c r="BI284" s="41" t="str">
        <f t="shared" si="255"/>
        <v>0.801018545206301+7.94231577369181i</v>
      </c>
      <c r="BJ284" s="20">
        <f t="shared" si="302"/>
        <v>18.042894702178607</v>
      </c>
      <c r="BK284" s="43">
        <f t="shared" si="256"/>
        <v>84.240934626572596</v>
      </c>
      <c r="BL284">
        <f t="shared" si="303"/>
        <v>4.9196040912270229</v>
      </c>
      <c r="BM284" s="43">
        <f t="shared" si="304"/>
        <v>76.832105786415823</v>
      </c>
    </row>
    <row r="285" spans="14:65" x14ac:dyDescent="0.25">
      <c r="N285" s="9">
        <v>67</v>
      </c>
      <c r="O285" s="34">
        <f t="shared" si="305"/>
        <v>4677.3514128719844</v>
      </c>
      <c r="P285" s="33" t="str">
        <f t="shared" si="257"/>
        <v>19.1021967526266</v>
      </c>
      <c r="Q285" s="4" t="str">
        <f t="shared" si="258"/>
        <v>1+6.59630986949392i</v>
      </c>
      <c r="R285" s="4">
        <f t="shared" si="270"/>
        <v>6.671679240969465</v>
      </c>
      <c r="S285" s="4">
        <f t="shared" si="271"/>
        <v>1.4203420408772918</v>
      </c>
      <c r="T285" s="4" t="str">
        <f t="shared" si="259"/>
        <v>1+0.110501382933762i</v>
      </c>
      <c r="U285" s="4">
        <f t="shared" si="272"/>
        <v>1.0060867535308642</v>
      </c>
      <c r="V285" s="4">
        <f t="shared" si="273"/>
        <v>0.1100548884699256</v>
      </c>
      <c r="W285" t="str">
        <f t="shared" si="260"/>
        <v>1-0.0612263868205685i</v>
      </c>
      <c r="X285" s="4">
        <f t="shared" si="274"/>
        <v>1.0018725819399898</v>
      </c>
      <c r="Y285" s="4">
        <f t="shared" si="275"/>
        <v>-6.1150052589408234E-2</v>
      </c>
      <c r="Z285" t="str">
        <f t="shared" si="261"/>
        <v>0.99997812238376+0.045552431794503i</v>
      </c>
      <c r="AA285" s="4">
        <f t="shared" si="276"/>
        <v>1.0010151194105625</v>
      </c>
      <c r="AB285" s="4">
        <f t="shared" si="277"/>
        <v>4.5521958036673582E-2</v>
      </c>
      <c r="AC285" s="47" t="str">
        <f t="shared" si="278"/>
        <v>0.441776244622228-2.84902370971502i</v>
      </c>
      <c r="AD285" s="20">
        <f t="shared" si="279"/>
        <v>9.1971088215003647</v>
      </c>
      <c r="AE285" s="43">
        <f t="shared" si="280"/>
        <v>-81.18577978420609</v>
      </c>
      <c r="AF285" t="str">
        <f t="shared" si="262"/>
        <v>69.5520360182888</v>
      </c>
      <c r="AG285" t="str">
        <f t="shared" si="263"/>
        <v>1+5.26197061589344i</v>
      </c>
      <c r="AH285">
        <f t="shared" si="281"/>
        <v>5.3561492475962602</v>
      </c>
      <c r="AI285">
        <f t="shared" si="282"/>
        <v>1.3829930038697247</v>
      </c>
      <c r="AJ285" t="str">
        <f t="shared" si="264"/>
        <v>1+0.110501382933762i</v>
      </c>
      <c r="AK285">
        <f t="shared" si="283"/>
        <v>1.0060867535308642</v>
      </c>
      <c r="AL285">
        <f t="shared" si="284"/>
        <v>0.1100548884699256</v>
      </c>
      <c r="AM285" t="str">
        <f t="shared" si="265"/>
        <v>1-0.013414029270465i</v>
      </c>
      <c r="AN285">
        <f t="shared" si="285"/>
        <v>1.0000899640438699</v>
      </c>
      <c r="AO285">
        <f t="shared" si="286"/>
        <v>-1.3413224800914336E-2</v>
      </c>
      <c r="AP285" s="41" t="str">
        <f t="shared" si="287"/>
        <v>3.66655074729281-12.5406591750269i</v>
      </c>
      <c r="AQ285">
        <f t="shared" si="288"/>
        <v>22.322633557052786</v>
      </c>
      <c r="AR285" s="43">
        <f t="shared" si="289"/>
        <v>-73.702502764497993</v>
      </c>
      <c r="AS285" t="str">
        <f t="shared" si="266"/>
        <v>-0.0000166666666666667</v>
      </c>
      <c r="AT285" t="str">
        <f t="shared" si="267"/>
        <v>0.000099921463291168i</v>
      </c>
      <c r="AU285">
        <f t="shared" si="290"/>
        <v>9.9921463291167997E-5</v>
      </c>
      <c r="AV285">
        <f t="shared" si="291"/>
        <v>1.5707963267948966</v>
      </c>
      <c r="AW285" t="str">
        <f t="shared" si="268"/>
        <v>1+0.101546483628429i</v>
      </c>
      <c r="AX285">
        <f t="shared" si="292"/>
        <v>1.0051426208938206</v>
      </c>
      <c r="AY285">
        <f t="shared" si="293"/>
        <v>0.10119958879159546</v>
      </c>
      <c r="AZ285" t="str">
        <f t="shared" si="269"/>
        <v>1+3.45258044336659i</v>
      </c>
      <c r="BA285">
        <f t="shared" si="294"/>
        <v>3.5944835119829719</v>
      </c>
      <c r="BB285">
        <f t="shared" si="295"/>
        <v>1.2888724523613893</v>
      </c>
      <c r="BC285" s="41" t="str">
        <f t="shared" si="296"/>
        <v>-0.553239800281904+0.222977220384352i</v>
      </c>
      <c r="BD285">
        <f t="shared" si="297"/>
        <v>-4.4880245729957204</v>
      </c>
      <c r="BE285" s="43">
        <f t="shared" si="298"/>
        <v>158.048642524766</v>
      </c>
      <c r="BF285" s="41" t="str">
        <f t="shared" si="299"/>
        <v>0.390859186257279+1.67469934721885i</v>
      </c>
      <c r="BG285" s="20">
        <f t="shared" si="300"/>
        <v>4.7090842485046505</v>
      </c>
      <c r="BH285" s="43">
        <f t="shared" si="301"/>
        <v>76.862862740559919</v>
      </c>
      <c r="BI285" s="41" t="str">
        <f t="shared" si="255"/>
        <v>0.767799521479279+7.75554907142483i</v>
      </c>
      <c r="BJ285" s="20">
        <f t="shared" si="302"/>
        <v>17.834608984057066</v>
      </c>
      <c r="BK285" s="43">
        <f t="shared" si="256"/>
        <v>84.346139760267988</v>
      </c>
      <c r="BL285">
        <f t="shared" si="303"/>
        <v>4.7090842485046505</v>
      </c>
      <c r="BM285" s="43">
        <f t="shared" si="304"/>
        <v>76.862862740559919</v>
      </c>
    </row>
    <row r="286" spans="14:65" x14ac:dyDescent="0.25">
      <c r="N286" s="9">
        <v>68</v>
      </c>
      <c r="O286" s="34">
        <f t="shared" si="305"/>
        <v>4786.3009232263848</v>
      </c>
      <c r="P286" s="33" t="str">
        <f t="shared" si="257"/>
        <v>19.1021967526266</v>
      </c>
      <c r="Q286" s="4" t="str">
        <f t="shared" si="258"/>
        <v>1+6.74995766436551i</v>
      </c>
      <c r="R286" s="4">
        <f t="shared" si="270"/>
        <v>6.8236301534246921</v>
      </c>
      <c r="S286" s="4">
        <f t="shared" si="271"/>
        <v>1.4237170621792337</v>
      </c>
      <c r="T286" s="4" t="str">
        <f t="shared" si="259"/>
        <v>1+0.113075290793451i</v>
      </c>
      <c r="U286" s="4">
        <f t="shared" si="272"/>
        <v>1.0063727050094431</v>
      </c>
      <c r="V286" s="4">
        <f t="shared" si="273"/>
        <v>0.11259702682722932</v>
      </c>
      <c r="W286" t="str">
        <f t="shared" si="260"/>
        <v>1-0.0626525325761585i</v>
      </c>
      <c r="X286" s="4">
        <f t="shared" si="274"/>
        <v>1.0019607476534231</v>
      </c>
      <c r="Y286" s="4">
        <f t="shared" si="275"/>
        <v>-6.2570747616148448E-2</v>
      </c>
      <c r="Z286" t="str">
        <f t="shared" si="261"/>
        <v>0.999977091323472+0.0466134842366619i</v>
      </c>
      <c r="AA286" s="4">
        <f t="shared" si="276"/>
        <v>1.0010629351266749</v>
      </c>
      <c r="AB286" s="4">
        <f t="shared" si="277"/>
        <v>4.6580832888896972E-2</v>
      </c>
      <c r="AC286" s="47" t="str">
        <f t="shared" si="278"/>
        <v>0.422846318043523-2.78790045609565i</v>
      </c>
      <c r="AD286" s="20">
        <f t="shared" si="279"/>
        <v>9.0043202006565686</v>
      </c>
      <c r="AE286" s="43">
        <f t="shared" si="280"/>
        <v>-81.375569350834681</v>
      </c>
      <c r="AF286" t="str">
        <f t="shared" si="262"/>
        <v>69.5520360182888</v>
      </c>
      <c r="AG286" t="str">
        <f t="shared" si="263"/>
        <v>1+5.384537656831i</v>
      </c>
      <c r="AH286">
        <f t="shared" si="281"/>
        <v>5.476608967037091</v>
      </c>
      <c r="AI286">
        <f t="shared" si="282"/>
        <v>1.3871714091521776</v>
      </c>
      <c r="AJ286" t="str">
        <f t="shared" si="264"/>
        <v>1+0.113075290793451i</v>
      </c>
      <c r="AK286">
        <f t="shared" si="283"/>
        <v>1.0063727050094431</v>
      </c>
      <c r="AL286">
        <f t="shared" si="284"/>
        <v>0.11259702682722932</v>
      </c>
      <c r="AM286" t="str">
        <f t="shared" si="265"/>
        <v>1-0.0137264821507157i</v>
      </c>
      <c r="AN286">
        <f t="shared" si="285"/>
        <v>1.0000942037189466</v>
      </c>
      <c r="AO286">
        <f t="shared" si="286"/>
        <v>-1.3725620150446954E-2</v>
      </c>
      <c r="AP286" s="41" t="str">
        <f t="shared" si="287"/>
        <v>3.56302453070888-12.2753278407209i</v>
      </c>
      <c r="AQ286">
        <f t="shared" si="288"/>
        <v>22.131957481506809</v>
      </c>
      <c r="AR286" s="43">
        <f t="shared" si="289"/>
        <v>-73.814152888533599</v>
      </c>
      <c r="AS286" t="str">
        <f t="shared" si="266"/>
        <v>-0.0000166666666666667</v>
      </c>
      <c r="AT286" t="str">
        <f t="shared" si="267"/>
        <v>0.000102248933164291i</v>
      </c>
      <c r="AU286">
        <f t="shared" si="290"/>
        <v>1.02248933164291E-4</v>
      </c>
      <c r="AV286">
        <f t="shared" si="291"/>
        <v>1.5707963267948966</v>
      </c>
      <c r="AW286" t="str">
        <f t="shared" si="268"/>
        <v>1+0.103911805087724i</v>
      </c>
      <c r="AX286">
        <f t="shared" si="292"/>
        <v>1.0053843360807793</v>
      </c>
      <c r="AY286">
        <f t="shared" si="293"/>
        <v>0.10354020800209603</v>
      </c>
      <c r="AZ286" t="str">
        <f t="shared" si="269"/>
        <v>1+3.53300137298261i</v>
      </c>
      <c r="BA286">
        <f t="shared" si="294"/>
        <v>3.671797747901838</v>
      </c>
      <c r="BB286">
        <f t="shared" si="295"/>
        <v>1.2949658080427724</v>
      </c>
      <c r="BC286" s="41" t="str">
        <f t="shared" si="296"/>
        <v>-0.552973811681016+0.220461392628304i</v>
      </c>
      <c r="BD286">
        <f t="shared" si="297"/>
        <v>-4.5052679856070323</v>
      </c>
      <c r="BE286" s="43">
        <f t="shared" si="298"/>
        <v>158.26365848617237</v>
      </c>
      <c r="BF286" s="41" t="str">
        <f t="shared" si="299"/>
        <v>0.380801476816121+1.63485722993808i</v>
      </c>
      <c r="BG286" s="20">
        <f t="shared" si="300"/>
        <v>4.4990522150495336</v>
      </c>
      <c r="BH286" s="43">
        <f t="shared" si="301"/>
        <v>76.888089135337694</v>
      </c>
      <c r="BI286" s="41" t="str">
        <f t="shared" si="255"/>
        <v>0.735976614875269+7.57344417572642i</v>
      </c>
      <c r="BJ286" s="20">
        <f t="shared" si="302"/>
        <v>17.626689495899772</v>
      </c>
      <c r="BK286" s="43">
        <f t="shared" si="256"/>
        <v>84.44950559763879</v>
      </c>
      <c r="BL286">
        <f t="shared" si="303"/>
        <v>4.4990522150495336</v>
      </c>
      <c r="BM286" s="43">
        <f t="shared" si="304"/>
        <v>76.888089135337694</v>
      </c>
    </row>
    <row r="287" spans="14:65" x14ac:dyDescent="0.25">
      <c r="N287" s="9">
        <v>69</v>
      </c>
      <c r="O287" s="34">
        <f t="shared" si="305"/>
        <v>4897.7881936844633</v>
      </c>
      <c r="P287" s="33" t="str">
        <f t="shared" si="257"/>
        <v>19.1021967526266</v>
      </c>
      <c r="Q287" s="4" t="str">
        <f t="shared" si="258"/>
        <v>1+6.907184376137i</v>
      </c>
      <c r="R287" s="4">
        <f t="shared" si="270"/>
        <v>6.9791973754831629</v>
      </c>
      <c r="S287" s="4">
        <f t="shared" si="271"/>
        <v>1.4270185230961236</v>
      </c>
      <c r="T287" s="4" t="str">
        <f t="shared" si="259"/>
        <v>1+0.115709152669047i</v>
      </c>
      <c r="U287" s="4">
        <f t="shared" si="272"/>
        <v>1.0066720459073992</v>
      </c>
      <c r="V287" s="4">
        <f t="shared" si="273"/>
        <v>0.11519686686172585</v>
      </c>
      <c r="W287" t="str">
        <f t="shared" si="260"/>
        <v>1-0.0641118975338248i</v>
      </c>
      <c r="X287" s="4">
        <f t="shared" si="274"/>
        <v>1.0020530601746536</v>
      </c>
      <c r="Y287" s="4">
        <f t="shared" si="275"/>
        <v>-6.4024273064652359E-2</v>
      </c>
      <c r="Z287" t="str">
        <f t="shared" si="261"/>
        <v>0.99997601167081+0.0476992517651656i</v>
      </c>
      <c r="AA287" s="4">
        <f t="shared" si="276"/>
        <v>1.0011130018814143</v>
      </c>
      <c r="AB287" s="4">
        <f t="shared" si="277"/>
        <v>4.7664267315877418E-2</v>
      </c>
      <c r="AC287" s="47" t="str">
        <f t="shared" si="278"/>
        <v>0.404728667670615-2.72800843746054i</v>
      </c>
      <c r="AD287" s="20">
        <f t="shared" si="279"/>
        <v>8.8114691845201456</v>
      </c>
      <c r="AE287" s="43">
        <f t="shared" si="280"/>
        <v>-81.561126359873342</v>
      </c>
      <c r="AF287" t="str">
        <f t="shared" si="262"/>
        <v>69.5520360182888</v>
      </c>
      <c r="AG287" t="str">
        <f t="shared" si="263"/>
        <v>1+5.509959650907i</v>
      </c>
      <c r="AH287">
        <f t="shared" si="281"/>
        <v>5.5999692280068096</v>
      </c>
      <c r="AI287">
        <f t="shared" si="282"/>
        <v>1.3912609781340288</v>
      </c>
      <c r="AJ287" t="str">
        <f t="shared" si="264"/>
        <v>1+0.115709152669047i</v>
      </c>
      <c r="AK287">
        <f t="shared" si="283"/>
        <v>1.0066720459073992</v>
      </c>
      <c r="AL287">
        <f t="shared" si="284"/>
        <v>0.11519686686172585</v>
      </c>
      <c r="AM287" t="str">
        <f t="shared" si="265"/>
        <v>1-0.0140462129934943i</v>
      </c>
      <c r="AN287">
        <f t="shared" si="285"/>
        <v>1.0000986431844903</v>
      </c>
      <c r="AO287">
        <f t="shared" si="286"/>
        <v>-1.4045289348485509E-2</v>
      </c>
      <c r="AP287" s="41" t="str">
        <f t="shared" si="287"/>
        <v>3.46385359711424-12.0148291147094i</v>
      </c>
      <c r="AQ287">
        <f t="shared" si="288"/>
        <v>21.941101084228144</v>
      </c>
      <c r="AR287" s="43">
        <f t="shared" si="289"/>
        <v>-73.917823765723512</v>
      </c>
      <c r="AS287" t="str">
        <f t="shared" si="266"/>
        <v>-0.0000166666666666667</v>
      </c>
      <c r="AT287" t="str">
        <f t="shared" si="267"/>
        <v>0.000104630616775202i</v>
      </c>
      <c r="AU287">
        <f t="shared" si="290"/>
        <v>1.04630616775202E-4</v>
      </c>
      <c r="AV287">
        <f t="shared" si="291"/>
        <v>1.5707963267948966</v>
      </c>
      <c r="AW287" t="str">
        <f t="shared" si="268"/>
        <v>1+0.106332221961512i</v>
      </c>
      <c r="AX287">
        <f t="shared" si="292"/>
        <v>1.0056373806831527</v>
      </c>
      <c r="AY287">
        <f t="shared" si="293"/>
        <v>0.1059341689629336</v>
      </c>
      <c r="AZ287" t="str">
        <f t="shared" si="269"/>
        <v>1+3.61529554669139i</v>
      </c>
      <c r="BA287">
        <f t="shared" si="294"/>
        <v>3.751048105520189</v>
      </c>
      <c r="BB287">
        <f t="shared" si="295"/>
        <v>1.3009408407665852</v>
      </c>
      <c r="BC287" s="41" t="str">
        <f t="shared" si="296"/>
        <v>-0.552695561416378+0.218059879658984i</v>
      </c>
      <c r="BD287">
        <f t="shared" si="297"/>
        <v>-4.5219762032258721</v>
      </c>
      <c r="BE287" s="43">
        <f t="shared" si="298"/>
        <v>158.46883878432436</v>
      </c>
      <c r="BF287" s="41" t="str">
        <f t="shared" si="299"/>
        <v>0.371177453381825+1.59601323945766i</v>
      </c>
      <c r="BG287" s="20">
        <f t="shared" si="300"/>
        <v>4.2894929812942539</v>
      </c>
      <c r="BH287" s="43">
        <f t="shared" si="301"/>
        <v>76.907712424450978</v>
      </c>
      <c r="BI287" s="41" t="str">
        <f t="shared" si="255"/>
        <v>0.705495682355594+7.39587022141923i</v>
      </c>
      <c r="BJ287" s="20">
        <f t="shared" si="302"/>
        <v>17.419124881002279</v>
      </c>
      <c r="BK287" s="43">
        <f t="shared" si="256"/>
        <v>84.551015018600836</v>
      </c>
      <c r="BL287">
        <f t="shared" si="303"/>
        <v>4.2894929812942539</v>
      </c>
      <c r="BM287" s="43">
        <f t="shared" si="304"/>
        <v>76.907712424450978</v>
      </c>
    </row>
    <row r="288" spans="14:65" x14ac:dyDescent="0.25">
      <c r="N288" s="9">
        <v>70</v>
      </c>
      <c r="O288" s="34">
        <f t="shared" si="305"/>
        <v>5011.8723362727324</v>
      </c>
      <c r="P288" s="33" t="str">
        <f t="shared" si="257"/>
        <v>19.1021967526266</v>
      </c>
      <c r="Q288" s="4" t="str">
        <f t="shared" si="258"/>
        <v>1+7.06807336849212i</v>
      </c>
      <c r="R288" s="4">
        <f t="shared" si="270"/>
        <v>7.1384635001089389</v>
      </c>
      <c r="S288" s="4">
        <f t="shared" si="271"/>
        <v>1.4302478860785617</v>
      </c>
      <c r="T288" s="4" t="str">
        <f t="shared" si="259"/>
        <v>1+0.11840436506898i</v>
      </c>
      <c r="U288" s="4">
        <f t="shared" si="272"/>
        <v>1.0069853989345567</v>
      </c>
      <c r="V288" s="4">
        <f t="shared" si="273"/>
        <v>0.11785564638495653</v>
      </c>
      <c r="W288" t="str">
        <f t="shared" si="260"/>
        <v>1-0.0656052554681848i</v>
      </c>
      <c r="X288" s="4">
        <f t="shared" si="274"/>
        <v>1.0021497141370872</v>
      </c>
      <c r="Y288" s="4">
        <f t="shared" si="275"/>
        <v>-6.5511375032171054E-2</v>
      </c>
      <c r="Z288" t="str">
        <f t="shared" si="261"/>
        <v>0.999974881135685+0.0488103100683295i</v>
      </c>
      <c r="AA288" s="4">
        <f t="shared" si="276"/>
        <v>1.001165425527317</v>
      </c>
      <c r="AB288" s="4">
        <f t="shared" si="277"/>
        <v>4.8772825911634642E-2</v>
      </c>
      <c r="AC288" s="47" t="str">
        <f t="shared" si="278"/>
        <v>0.387389597133592-2.66933168541374i</v>
      </c>
      <c r="AD288" s="20">
        <f t="shared" si="279"/>
        <v>8.6185701582000824</v>
      </c>
      <c r="AE288" s="43">
        <f t="shared" si="280"/>
        <v>-81.742538779270149</v>
      </c>
      <c r="AF288" t="str">
        <f t="shared" si="262"/>
        <v>69.5520360182888</v>
      </c>
      <c r="AG288" t="str">
        <f t="shared" si="263"/>
        <v>1+5.63830309852286i</v>
      </c>
      <c r="AH288">
        <f t="shared" si="281"/>
        <v>5.7262956464727246</v>
      </c>
      <c r="AI288">
        <f t="shared" si="282"/>
        <v>1.3952633317199208</v>
      </c>
      <c r="AJ288" t="str">
        <f t="shared" si="264"/>
        <v>1+0.11840436506898i</v>
      </c>
      <c r="AK288">
        <f t="shared" si="283"/>
        <v>1.0069853989345567</v>
      </c>
      <c r="AL288">
        <f t="shared" si="284"/>
        <v>0.11785564638495653</v>
      </c>
      <c r="AM288" t="str">
        <f t="shared" si="265"/>
        <v>1-0.0143733913243256i</v>
      </c>
      <c r="AN288">
        <f t="shared" si="285"/>
        <v>1.0001032918544774</v>
      </c>
      <c r="AO288">
        <f t="shared" si="286"/>
        <v>-1.4372401626388078E-2</v>
      </c>
      <c r="AP288" s="41" t="str">
        <f t="shared" si="287"/>
        <v>3.36886743629395-11.7591296716631i</v>
      </c>
      <c r="AQ288">
        <f t="shared" si="288"/>
        <v>21.750082224367084</v>
      </c>
      <c r="AR288" s="43">
        <f t="shared" si="289"/>
        <v>-74.013547041927993</v>
      </c>
      <c r="AS288" t="str">
        <f t="shared" si="266"/>
        <v>-0.0000166666666666667</v>
      </c>
      <c r="AT288" t="str">
        <f t="shared" si="267"/>
        <v>0.000107067776924077i</v>
      </c>
      <c r="AU288">
        <f t="shared" si="290"/>
        <v>1.07067776924077E-4</v>
      </c>
      <c r="AV288">
        <f t="shared" si="291"/>
        <v>1.5707963267948966</v>
      </c>
      <c r="AW288" t="str">
        <f t="shared" si="268"/>
        <v>1+0.108809017586857i</v>
      </c>
      <c r="AX288">
        <f t="shared" si="292"/>
        <v>1.0059022826836694</v>
      </c>
      <c r="AY288">
        <f t="shared" si="293"/>
        <v>0.10838263116472588</v>
      </c>
      <c r="AZ288" t="str">
        <f t="shared" si="269"/>
        <v>1+3.69950659795313i</v>
      </c>
      <c r="BA288">
        <f t="shared" si="294"/>
        <v>3.8322772692354534</v>
      </c>
      <c r="BB288">
        <f t="shared" si="295"/>
        <v>1.306799011380803</v>
      </c>
      <c r="BC288" s="41" t="str">
        <f t="shared" si="296"/>
        <v>-0.552404497594318+0.215771228042954i</v>
      </c>
      <c r="BD288">
        <f t="shared" si="297"/>
        <v>-4.5381781254821014</v>
      </c>
      <c r="BE288" s="43">
        <f t="shared" si="298"/>
        <v>158.66420068572663</v>
      </c>
      <c r="BF288" s="41" t="str">
        <f t="shared" si="299"/>
        <v>0.361969220037844+1.55813835769815i</v>
      </c>
      <c r="BG288" s="20">
        <f t="shared" si="300"/>
        <v>4.0803920327179712</v>
      </c>
      <c r="BH288" s="43">
        <f t="shared" si="301"/>
        <v>76.921661906456464</v>
      </c>
      <c r="BI288" s="41" t="str">
        <f t="shared" si="255"/>
        <v>0.676304326363268+7.22270078226456i</v>
      </c>
      <c r="BJ288" s="20">
        <f t="shared" si="302"/>
        <v>17.211904098884986</v>
      </c>
      <c r="BK288" s="43">
        <f t="shared" si="256"/>
        <v>84.650653643798648</v>
      </c>
      <c r="BL288">
        <f t="shared" si="303"/>
        <v>4.0803920327179712</v>
      </c>
      <c r="BM288" s="43">
        <f t="shared" si="304"/>
        <v>76.921661906456464</v>
      </c>
    </row>
    <row r="289" spans="14:65" x14ac:dyDescent="0.25">
      <c r="N289" s="9">
        <v>71</v>
      </c>
      <c r="O289" s="34">
        <f t="shared" si="305"/>
        <v>5128.6138399136489</v>
      </c>
      <c r="P289" s="33" t="str">
        <f t="shared" si="257"/>
        <v>19.1021967526266</v>
      </c>
      <c r="Q289" s="4" t="str">
        <f t="shared" si="258"/>
        <v>1+7.23270994690418i</v>
      </c>
      <c r="R289" s="4">
        <f t="shared" si="270"/>
        <v>7.3015130744282493</v>
      </c>
      <c r="S289" s="4">
        <f t="shared" si="271"/>
        <v>1.4334065938101557</v>
      </c>
      <c r="T289" s="4" t="str">
        <f t="shared" si="259"/>
        <v>1+0.121162357030539i</v>
      </c>
      <c r="U289" s="4">
        <f t="shared" si="272"/>
        <v>1.0073134153584948</v>
      </c>
      <c r="V289" s="4">
        <f t="shared" si="273"/>
        <v>0.1205746246743446</v>
      </c>
      <c r="W289" t="str">
        <f t="shared" si="260"/>
        <v>1-0.0671333981773819i</v>
      </c>
      <c r="X289" s="4">
        <f t="shared" si="274"/>
        <v>1.0022509132701467</v>
      </c>
      <c r="Y289" s="4">
        <f t="shared" si="275"/>
        <v>-6.7032815675549834E-2</v>
      </c>
      <c r="Z289" t="str">
        <f t="shared" si="261"/>
        <v>0.999973697320081+0.0499472482439721i</v>
      </c>
      <c r="AA289" s="4">
        <f t="shared" si="276"/>
        <v>1.0012203168829217</v>
      </c>
      <c r="AB289" s="4">
        <f t="shared" si="277"/>
        <v>4.9907085889616482E-2</v>
      </c>
      <c r="AC289" s="47" t="str">
        <f t="shared" si="278"/>
        <v>0.370796661634826-2.61185389088881i</v>
      </c>
      <c r="AD289" s="20">
        <f t="shared" si="279"/>
        <v>8.4256374311035405</v>
      </c>
      <c r="AE289" s="43">
        <f t="shared" si="280"/>
        <v>-81.91989385769044</v>
      </c>
      <c r="AF289" t="str">
        <f t="shared" si="262"/>
        <v>69.5520360182888</v>
      </c>
      <c r="AG289" t="str">
        <f t="shared" si="263"/>
        <v>1+5.76963604907328i</v>
      </c>
      <c r="AH289">
        <f t="shared" si="281"/>
        <v>5.8556553978838206</v>
      </c>
      <c r="AI289">
        <f t="shared" si="282"/>
        <v>1.399180078852843</v>
      </c>
      <c r="AJ289" t="str">
        <f t="shared" si="264"/>
        <v>1+0.121162357030539i</v>
      </c>
      <c r="AK289">
        <f t="shared" si="283"/>
        <v>1.0073134153584948</v>
      </c>
      <c r="AL289">
        <f t="shared" si="284"/>
        <v>0.1205746246743446</v>
      </c>
      <c r="AM289" t="str">
        <f t="shared" si="265"/>
        <v>1-0.0147081906174913i</v>
      </c>
      <c r="AN289">
        <f t="shared" si="285"/>
        <v>1.0001081595863721</v>
      </c>
      <c r="AO289">
        <f t="shared" si="286"/>
        <v>-1.4707130143239005E-2</v>
      </c>
      <c r="AP289" s="41" t="str">
        <f t="shared" si="287"/>
        <v>3.27790112295883-11.5081924676639i</v>
      </c>
      <c r="AQ289">
        <f t="shared" si="288"/>
        <v>21.558918508361465</v>
      </c>
      <c r="AR289" s="43">
        <f t="shared" si="289"/>
        <v>-74.101352672793013</v>
      </c>
      <c r="AS289" t="str">
        <f t="shared" si="266"/>
        <v>-0.0000166666666666667</v>
      </c>
      <c r="AT289" t="str">
        <f t="shared" si="267"/>
        <v>0.000109561705825487i</v>
      </c>
      <c r="AU289">
        <f t="shared" si="290"/>
        <v>1.09561705825487E-4</v>
      </c>
      <c r="AV289">
        <f t="shared" si="291"/>
        <v>1.5707963267948966</v>
      </c>
      <c r="AW289" t="str">
        <f t="shared" si="268"/>
        <v>1+0.111343505193583i</v>
      </c>
      <c r="AX289">
        <f t="shared" si="292"/>
        <v>1.0061795943810397</v>
      </c>
      <c r="AY289">
        <f t="shared" si="293"/>
        <v>0.11088677532299746</v>
      </c>
      <c r="AZ289" t="str">
        <f t="shared" si="269"/>
        <v>1+3.78567917658183i</v>
      </c>
      <c r="BA289">
        <f t="shared" si="294"/>
        <v>3.9155289333633183</v>
      </c>
      <c r="BB289">
        <f t="shared" si="295"/>
        <v>1.3125418169839851</v>
      </c>
      <c r="BC289" s="41" t="str">
        <f t="shared" si="296"/>
        <v>-0.552100044751651+0.213594031804365i</v>
      </c>
      <c r="BD289">
        <f t="shared" si="297"/>
        <v>-4.5539020751399031</v>
      </c>
      <c r="BE289" s="43">
        <f t="shared" si="298"/>
        <v>158.84976231779174</v>
      </c>
      <c r="BF289" s="41" t="str">
        <f t="shared" si="299"/>
        <v>0.353159549556509+1.52120460398267i</v>
      </c>
      <c r="BG289" s="20">
        <f t="shared" si="300"/>
        <v>3.8717353559636534</v>
      </c>
      <c r="BH289" s="43">
        <f t="shared" si="301"/>
        <v>76.929868460101346</v>
      </c>
      <c r="BI289" s="41" t="str">
        <f t="shared" si="255"/>
        <v>0.6483518712719+7.05381369311668i</v>
      </c>
      <c r="BJ289" s="20">
        <f t="shared" si="302"/>
        <v>17.005016433221559</v>
      </c>
      <c r="BK289" s="43">
        <f t="shared" si="256"/>
        <v>84.748409644998745</v>
      </c>
      <c r="BL289">
        <f t="shared" si="303"/>
        <v>3.8717353559636534</v>
      </c>
      <c r="BM289" s="43">
        <f t="shared" si="304"/>
        <v>76.929868460101346</v>
      </c>
    </row>
    <row r="290" spans="14:65" x14ac:dyDescent="0.25">
      <c r="N290" s="9">
        <v>72</v>
      </c>
      <c r="O290" s="34">
        <f t="shared" si="305"/>
        <v>5248.0746024977261</v>
      </c>
      <c r="P290" s="33" t="str">
        <f t="shared" si="257"/>
        <v>19.1021967526266</v>
      </c>
      <c r="Q290" s="4" t="str">
        <f t="shared" si="258"/>
        <v>1+7.40118140386637i</v>
      </c>
      <c r="R290" s="4">
        <f t="shared" si="270"/>
        <v>7.4684326450023883</v>
      </c>
      <c r="S290" s="4">
        <f t="shared" si="271"/>
        <v>1.4364960688209025</v>
      </c>
      <c r="T290" s="4" t="str">
        <f t="shared" si="259"/>
        <v>1+0.123984590877569i</v>
      </c>
      <c r="U290" s="4">
        <f t="shared" si="272"/>
        <v>1.0076567762760682</v>
      </c>
      <c r="V290" s="4">
        <f t="shared" si="273"/>
        <v>0.12335508247389906</v>
      </c>
      <c r="W290" t="str">
        <f t="shared" si="260"/>
        <v>1-0.0686971359029085i</v>
      </c>
      <c r="X290" s="4">
        <f t="shared" si="274"/>
        <v>1.002356870820599</v>
      </c>
      <c r="Y290" s="4">
        <f t="shared" si="275"/>
        <v>-6.8589373492474334E-2</v>
      </c>
      <c r="Z290" t="str">
        <f t="shared" si="261"/>
        <v>0.999972457712967+0.0511106691117639i</v>
      </c>
      <c r="AA290" s="4">
        <f t="shared" si="276"/>
        <v>1.0012777919646294</v>
      </c>
      <c r="AB290" s="4">
        <f t="shared" si="277"/>
        <v>5.106763733895317E-2</v>
      </c>
      <c r="AC290" s="47" t="str">
        <f t="shared" si="278"/>
        <v>0.354918632291459-2.55555845377298i</v>
      </c>
      <c r="AD290" s="20">
        <f t="shared" si="279"/>
        <v>8.2326852612714898</v>
      </c>
      <c r="AE290" s="43">
        <f t="shared" si="280"/>
        <v>-82.093278133121331</v>
      </c>
      <c r="AF290" t="str">
        <f t="shared" si="262"/>
        <v>69.5520360182888</v>
      </c>
      <c r="AG290" t="str">
        <f t="shared" si="263"/>
        <v>1+5.90402813702712i</v>
      </c>
      <c r="AH290">
        <f t="shared" si="281"/>
        <v>5.9881172535954841</v>
      </c>
      <c r="AI290">
        <f t="shared" si="282"/>
        <v>1.4030128153130534</v>
      </c>
      <c r="AJ290" t="str">
        <f t="shared" si="264"/>
        <v>1+0.123984590877569i</v>
      </c>
      <c r="AK290">
        <f t="shared" si="283"/>
        <v>1.0076567762760682</v>
      </c>
      <c r="AL290">
        <f t="shared" si="284"/>
        <v>0.12335508247389906</v>
      </c>
      <c r="AM290" t="str">
        <f t="shared" si="265"/>
        <v>1-0.0150507883880084i</v>
      </c>
      <c r="AN290">
        <f t="shared" si="285"/>
        <v>1.0001132567020099</v>
      </c>
      <c r="AO290">
        <f t="shared" si="286"/>
        <v>-1.5049652076324168E-2</v>
      </c>
      <c r="AP290" s="41" t="str">
        <f t="shared" si="287"/>
        <v>3.1907952302247-11.2619770643755i</v>
      </c>
      <c r="AQ290">
        <f t="shared" si="288"/>
        <v>21.367627316158714</v>
      </c>
      <c r="AR290" s="43">
        <f t="shared" si="289"/>
        <v>-74.181268860076685</v>
      </c>
      <c r="AS290" t="str">
        <f t="shared" si="266"/>
        <v>-0.0000166666666666667</v>
      </c>
      <c r="AT290" t="str">
        <f t="shared" si="267"/>
        <v>0.000112113725793547i</v>
      </c>
      <c r="AU290">
        <f t="shared" si="290"/>
        <v>1.12113725793547E-4</v>
      </c>
      <c r="AV290">
        <f t="shared" si="291"/>
        <v>1.5707963267948966</v>
      </c>
      <c r="AW290" t="str">
        <f t="shared" si="268"/>
        <v>1+0.11393702860057i</v>
      </c>
      <c r="AX290">
        <f t="shared" si="292"/>
        <v>1.0064698934823273</v>
      </c>
      <c r="AY290">
        <f t="shared" si="293"/>
        <v>0.11344780347724724</v>
      </c>
      <c r="AZ290" t="str">
        <f t="shared" si="269"/>
        <v>1+3.87385897241937i</v>
      </c>
      <c r="BA290">
        <f t="shared" si="294"/>
        <v>4.0008478274228398</v>
      </c>
      <c r="BB290">
        <f t="shared" si="295"/>
        <v>1.3181707866938643</v>
      </c>
      <c r="BC290" s="41" t="str">
        <f t="shared" si="296"/>
        <v>-0.551781602970774+0.211526930853107i</v>
      </c>
      <c r="BD290">
        <f t="shared" si="297"/>
        <v>-4.5691758178495281</v>
      </c>
      <c r="BE290" s="43">
        <f t="shared" si="298"/>
        <v>159.02554242072208</v>
      </c>
      <c r="BF290" s="41" t="str">
        <f t="shared" si="299"/>
        <v>0.344731864492334+1.48518498909956i</v>
      </c>
      <c r="BG290" s="20">
        <f t="shared" si="300"/>
        <v>3.6635094434219457</v>
      </c>
      <c r="BH290" s="43">
        <f t="shared" si="301"/>
        <v>76.932264287600745</v>
      </c>
      <c r="BI290" s="41" t="str">
        <f t="shared" si="255"/>
        <v>0.621589336880549+6.88909087923137i</v>
      </c>
      <c r="BJ290" s="20">
        <f t="shared" si="302"/>
        <v>16.798451498309184</v>
      </c>
      <c r="BK290" s="43">
        <f t="shared" si="256"/>
        <v>84.844273560645405</v>
      </c>
      <c r="BL290">
        <f t="shared" si="303"/>
        <v>3.6635094434219457</v>
      </c>
      <c r="BM290" s="43">
        <f t="shared" si="304"/>
        <v>76.932264287600745</v>
      </c>
    </row>
    <row r="291" spans="14:65" x14ac:dyDescent="0.25">
      <c r="N291" s="9">
        <v>73</v>
      </c>
      <c r="O291" s="34">
        <f t="shared" si="305"/>
        <v>5370.3179637025269</v>
      </c>
      <c r="P291" s="33" t="str">
        <f t="shared" si="257"/>
        <v>19.1021967526266</v>
      </c>
      <c r="Q291" s="4" t="str">
        <f t="shared" si="258"/>
        <v>1+7.57357706517507i</v>
      </c>
      <c r="R291" s="4">
        <f t="shared" si="270"/>
        <v>7.6393108041331734</v>
      </c>
      <c r="S291" s="4">
        <f t="shared" si="271"/>
        <v>1.4395177131583348</v>
      </c>
      <c r="T291" s="4" t="str">
        <f t="shared" si="259"/>
        <v>1+0.126872562995813i</v>
      </c>
      <c r="U291" s="4">
        <f t="shared" si="272"/>
        <v>1.008016193937938</v>
      </c>
      <c r="V291" s="4">
        <f t="shared" si="273"/>
        <v>0.12619832196246533</v>
      </c>
      <c r="W291" t="str">
        <f t="shared" si="260"/>
        <v>1-0.0702972977592048i</v>
      </c>
      <c r="X291" s="4">
        <f t="shared" si="274"/>
        <v>1.0024678099930422</v>
      </c>
      <c r="Y291" s="4">
        <f t="shared" si="275"/>
        <v>-7.0181843602809088E-2</v>
      </c>
      <c r="Z291" t="str">
        <f t="shared" si="261"/>
        <v>0.999971159684969+0.0523011895328483i</v>
      </c>
      <c r="AA291" s="4">
        <f t="shared" si="276"/>
        <v>1.001337972229283</v>
      </c>
      <c r="AB291" s="4">
        <f t="shared" si="277"/>
        <v>5.2255083484021803E-2</v>
      </c>
      <c r="AC291" s="47" t="str">
        <f t="shared" si="278"/>
        <v>0.339725460394504-2.50042852922994i</v>
      </c>
      <c r="AD291" s="20">
        <f t="shared" si="279"/>
        <v>8.0397278797536238</v>
      </c>
      <c r="AE291" s="43">
        <f t="shared" si="280"/>
        <v>-82.262777446840445</v>
      </c>
      <c r="AF291" t="str">
        <f t="shared" si="262"/>
        <v>69.5520360182888</v>
      </c>
      <c r="AG291" t="str">
        <f t="shared" si="263"/>
        <v>1+6.04155061884823i</v>
      </c>
      <c r="AH291">
        <f t="shared" si="281"/>
        <v>6.1237516180937179</v>
      </c>
      <c r="AI291">
        <f t="shared" si="282"/>
        <v>1.406763122623333</v>
      </c>
      <c r="AJ291" t="str">
        <f t="shared" si="264"/>
        <v>1+0.126872562995813i</v>
      </c>
      <c r="AK291">
        <f t="shared" si="283"/>
        <v>1.008016193937938</v>
      </c>
      <c r="AL291">
        <f t="shared" si="284"/>
        <v>0.12619832196246533</v>
      </c>
      <c r="AM291" t="str">
        <f t="shared" si="265"/>
        <v>1-0.0154013662857496i</v>
      </c>
      <c r="AN291">
        <f t="shared" si="285"/>
        <v>1.0001185940094643</v>
      </c>
      <c r="AO291">
        <f t="shared" si="286"/>
        <v>-1.5400148713640878E-2</v>
      </c>
      <c r="AP291" s="41" t="str">
        <f t="shared" si="287"/>
        <v>3.10739573476431-11.0204399357916i</v>
      </c>
      <c r="AQ291">
        <f t="shared" si="288"/>
        <v>21.176225827527308</v>
      </c>
      <c r="AR291" s="43">
        <f t="shared" si="289"/>
        <v>-74.253321996044747</v>
      </c>
      <c r="AS291" t="str">
        <f t="shared" si="266"/>
        <v>-0.0000166666666666667</v>
      </c>
      <c r="AT291" t="str">
        <f t="shared" si="267"/>
        <v>0.000114725189943022i</v>
      </c>
      <c r="AU291">
        <f t="shared" si="290"/>
        <v>1.14725189943022E-4</v>
      </c>
      <c r="AV291">
        <f t="shared" si="291"/>
        <v>1.5707963267948966</v>
      </c>
      <c r="AW291" t="str">
        <f t="shared" si="268"/>
        <v>1+0.116590962928255i</v>
      </c>
      <c r="AX291">
        <f t="shared" si="292"/>
        <v>1.0067737842417916</v>
      </c>
      <c r="AY291">
        <f t="shared" si="293"/>
        <v>0.116066939066201</v>
      </c>
      <c r="AZ291" t="str">
        <f t="shared" si="269"/>
        <v>1+3.96409273956066i</v>
      </c>
      <c r="BA291">
        <f t="shared" si="294"/>
        <v>4.0882797418764705</v>
      </c>
      <c r="BB291">
        <f t="shared" si="295"/>
        <v>1.323687477626432</v>
      </c>
      <c r="BC291" s="41" t="str">
        <f t="shared" si="296"/>
        <v>-0.551448546973431+0.209568609385122i</v>
      </c>
      <c r="BD291">
        <f t="shared" si="297"/>
        <v>-4.5840265833274092</v>
      </c>
      <c r="BE291" s="43">
        <f t="shared" si="298"/>
        <v>159.19156011281675</v>
      </c>
      <c r="BF291" s="41" t="str">
        <f t="shared" si="299"/>
        <v>0.336670218233175+1.45005347156236i</v>
      </c>
      <c r="BG291" s="20">
        <f t="shared" si="300"/>
        <v>3.4557012964262142</v>
      </c>
      <c r="BH291" s="43">
        <f t="shared" si="301"/>
        <v>76.928782665976343</v>
      </c>
      <c r="BI291" s="41" t="str">
        <f t="shared" si="255"/>
        <v>0.595969409348893+6.72841819254407i</v>
      </c>
      <c r="BJ291" s="20">
        <f t="shared" si="302"/>
        <v>16.592199244199904</v>
      </c>
      <c r="BK291" s="43">
        <f t="shared" si="256"/>
        <v>84.938238116772013</v>
      </c>
      <c r="BL291">
        <f t="shared" si="303"/>
        <v>3.4557012964262142</v>
      </c>
      <c r="BM291" s="43">
        <f t="shared" si="304"/>
        <v>76.928782665976343</v>
      </c>
    </row>
    <row r="292" spans="14:65" x14ac:dyDescent="0.25">
      <c r="N292" s="9">
        <v>74</v>
      </c>
      <c r="O292" s="34">
        <f t="shared" si="305"/>
        <v>5495.4087385762541</v>
      </c>
      <c r="P292" s="33" t="str">
        <f t="shared" si="257"/>
        <v>19.1021967526266</v>
      </c>
      <c r="Q292" s="4" t="str">
        <f t="shared" si="258"/>
        <v>1+7.7499883372919i</v>
      </c>
      <c r="R292" s="4">
        <f t="shared" si="270"/>
        <v>7.8142382372282766</v>
      </c>
      <c r="S292" s="4">
        <f t="shared" si="271"/>
        <v>1.442472908112576</v>
      </c>
      <c r="T292" s="4" t="str">
        <f t="shared" si="259"/>
        <v>1+0.129827804626314i</v>
      </c>
      <c r="U292" s="4">
        <f t="shared" si="272"/>
        <v>1.0083924131279889</v>
      </c>
      <c r="V292" s="4">
        <f t="shared" si="273"/>
        <v>0.12910566668682491</v>
      </c>
      <c r="W292" t="str">
        <f t="shared" si="260"/>
        <v>1-0.0719347321732679i</v>
      </c>
      <c r="X292" s="4">
        <f t="shared" si="274"/>
        <v>1.0025839644103827</v>
      </c>
      <c r="Y292" s="4">
        <f t="shared" si="275"/>
        <v>-7.1811038029597499E-2</v>
      </c>
      <c r="Z292" t="str">
        <f t="shared" si="261"/>
        <v>0.999969800482796+0.0535194407369113i</v>
      </c>
      <c r="AA292" s="4">
        <f t="shared" si="276"/>
        <v>1.0014009848279533</v>
      </c>
      <c r="AB292" s="4">
        <f t="shared" si="277"/>
        <v>5.347004094722007E-2</v>
      </c>
      <c r="AC292" s="47" t="str">
        <f t="shared" si="278"/>
        <v>0.325188241712204-2.44644707088019i</v>
      </c>
      <c r="AD292" s="20">
        <f t="shared" si="279"/>
        <v>7.8467795150306898</v>
      </c>
      <c r="AE292" s="43">
        <f t="shared" si="280"/>
        <v>-82.428476962651814</v>
      </c>
      <c r="AF292" t="str">
        <f t="shared" si="262"/>
        <v>69.5520360182888</v>
      </c>
      <c r="AG292" t="str">
        <f t="shared" si="263"/>
        <v>1+6.18227641077686i</v>
      </c>
      <c r="AH292">
        <f t="shared" si="281"/>
        <v>6.2626305670419375</v>
      </c>
      <c r="AI292">
        <f t="shared" si="282"/>
        <v>1.4104325670548077</v>
      </c>
      <c r="AJ292" t="str">
        <f t="shared" si="264"/>
        <v>1+0.129827804626314i</v>
      </c>
      <c r="AK292">
        <f t="shared" si="283"/>
        <v>1.0083924131279889</v>
      </c>
      <c r="AL292">
        <f t="shared" si="284"/>
        <v>0.12910566668682491</v>
      </c>
      <c r="AM292" t="str">
        <f t="shared" si="265"/>
        <v>1-0.0157601101917566i</v>
      </c>
      <c r="AN292">
        <f t="shared" si="285"/>
        <v>1.0001241828259411</v>
      </c>
      <c r="AO292">
        <f t="shared" si="286"/>
        <v>-1.5758805548485612E-2</v>
      </c>
      <c r="AP292" s="41" t="str">
        <f t="shared" si="287"/>
        <v>3.02755391481376-10.7835347580728i</v>
      </c>
      <c r="AQ292">
        <f t="shared" si="288"/>
        <v>20.984731048440011</v>
      </c>
      <c r="AR292" s="43">
        <f t="shared" si="289"/>
        <v>-74.317536615760773</v>
      </c>
      <c r="AS292" t="str">
        <f t="shared" si="266"/>
        <v>-0.0000166666666666667</v>
      </c>
      <c r="AT292" t="str">
        <f t="shared" si="267"/>
        <v>0.000117397482906773i</v>
      </c>
      <c r="AU292">
        <f t="shared" si="290"/>
        <v>1.17397482906773E-4</v>
      </c>
      <c r="AV292">
        <f t="shared" si="291"/>
        <v>1.5707963267948966</v>
      </c>
      <c r="AW292" t="str">
        <f t="shared" si="268"/>
        <v>1+0.119306715327748i</v>
      </c>
      <c r="AX292">
        <f t="shared" si="292"/>
        <v>1.0070918986479318</v>
      </c>
      <c r="AY292">
        <f t="shared" si="293"/>
        <v>0.11874542697711188</v>
      </c>
      <c r="AZ292" t="str">
        <f t="shared" si="269"/>
        <v>1+4.05642832114345i</v>
      </c>
      <c r="BA292">
        <f t="shared" si="294"/>
        <v>4.1778715543413574</v>
      </c>
      <c r="BB292">
        <f t="shared" si="295"/>
        <v>1.3290934710827158</v>
      </c>
      <c r="BC292" s="41" t="str">
        <f t="shared" si="296"/>
        <v>-0.551100225193954+0.207717794251109i</v>
      </c>
      <c r="BD292">
        <f t="shared" si="297"/>
        <v>-4.5984810878337887</v>
      </c>
      <c r="BE292" s="43">
        <f t="shared" si="298"/>
        <v>159.34783466916511</v>
      </c>
      <c r="BF292" s="41" t="str">
        <f t="shared" si="299"/>
        <v>0.328959276077298+1.41578491597202i</v>
      </c>
      <c r="BG292" s="20">
        <f t="shared" si="300"/>
        <v>3.2482984271969135</v>
      </c>
      <c r="BH292" s="43">
        <f t="shared" si="301"/>
        <v>76.919357706513338</v>
      </c>
      <c r="BI292" s="41" t="str">
        <f t="shared" si="255"/>
        <v>0.571446409936349+6.57168525472217i</v>
      </c>
      <c r="BJ292" s="20">
        <f t="shared" si="302"/>
        <v>16.386249960606214</v>
      </c>
      <c r="BK292" s="43">
        <f t="shared" si="256"/>
        <v>85.030298053404323</v>
      </c>
      <c r="BL292">
        <f t="shared" si="303"/>
        <v>3.2482984271969135</v>
      </c>
      <c r="BM292" s="43">
        <f t="shared" si="304"/>
        <v>76.919357706513338</v>
      </c>
    </row>
    <row r="293" spans="14:65" x14ac:dyDescent="0.25">
      <c r="N293" s="9">
        <v>75</v>
      </c>
      <c r="O293" s="34">
        <f t="shared" si="305"/>
        <v>5623.4132519034993</v>
      </c>
      <c r="P293" s="33" t="str">
        <f t="shared" si="257"/>
        <v>19.1021967526266</v>
      </c>
      <c r="Q293" s="4" t="str">
        <f t="shared" si="258"/>
        <v>1+7.93050875580837i</v>
      </c>
      <c r="R293" s="4">
        <f t="shared" si="270"/>
        <v>7.9933077712517244</v>
      </c>
      <c r="S293" s="4">
        <f t="shared" si="271"/>
        <v>1.445363013991585</v>
      </c>
      <c r="T293" s="4" t="str">
        <f t="shared" si="259"/>
        <v>1+0.132851882677302i</v>
      </c>
      <c r="U293" s="4">
        <f t="shared" si="272"/>
        <v>1.0087862125995297</v>
      </c>
      <c r="V293" s="4">
        <f t="shared" si="273"/>
        <v>0.13207846145678742</v>
      </c>
      <c r="W293" t="str">
        <f t="shared" si="260"/>
        <v>1-0.0736103073344979i</v>
      </c>
      <c r="X293" s="4">
        <f t="shared" si="274"/>
        <v>1.0027055785951722</v>
      </c>
      <c r="Y293" s="4">
        <f t="shared" si="275"/>
        <v>-7.3477785979240678E-2</v>
      </c>
      <c r="Z293" t="str">
        <f t="shared" si="261"/>
        <v>0.999968377223398+0.0547660686568664i</v>
      </c>
      <c r="AA293" s="4">
        <f t="shared" si="276"/>
        <v>1.0014669628714292</v>
      </c>
      <c r="AB293" s="4">
        <f t="shared" si="277"/>
        <v>5.4713140014819694E-2</v>
      </c>
      <c r="AC293" s="47" t="str">
        <f t="shared" si="278"/>
        <v>0.311279180951442-2.39359687099444i</v>
      </c>
      <c r="AD293" s="20">
        <f t="shared" si="279"/>
        <v>7.6538544174929513</v>
      </c>
      <c r="AE293" s="43">
        <f t="shared" si="280"/>
        <v>-82.590461191304257</v>
      </c>
      <c r="AF293" t="str">
        <f t="shared" si="262"/>
        <v>69.5520360182888</v>
      </c>
      <c r="AG293" t="str">
        <f t="shared" si="263"/>
        <v>1+6.32628012749057i</v>
      </c>
      <c r="AH293">
        <f t="shared" si="281"/>
        <v>6.404827886171657</v>
      </c>
      <c r="AI293">
        <f t="shared" si="282"/>
        <v>1.4140226987276951</v>
      </c>
      <c r="AJ293" t="str">
        <f t="shared" si="264"/>
        <v>1+0.132851882677302i</v>
      </c>
      <c r="AK293">
        <f t="shared" si="283"/>
        <v>1.0087862125995297</v>
      </c>
      <c r="AL293">
        <f t="shared" si="284"/>
        <v>0.13207846145678742</v>
      </c>
      <c r="AM293" t="str">
        <f t="shared" si="265"/>
        <v>1-0.016127210316797i</v>
      </c>
      <c r="AN293">
        <f t="shared" si="285"/>
        <v>1.0001300350017501</v>
      </c>
      <c r="AO293">
        <f t="shared" si="286"/>
        <v>-1.6125812376162094E-2</v>
      </c>
      <c r="AP293" s="41" t="str">
        <f t="shared" si="287"/>
        <v>2.95112624212263-10.5512126830155i</v>
      </c>
      <c r="AQ293">
        <f t="shared" si="288"/>
        <v>20.793159837516704</v>
      </c>
      <c r="AR293" s="43">
        <f t="shared" si="289"/>
        <v>-74.37393535711432</v>
      </c>
      <c r="AS293" t="str">
        <f t="shared" si="266"/>
        <v>-0.0000166666666666667</v>
      </c>
      <c r="AT293" t="str">
        <f t="shared" si="267"/>
        <v>0.000120132021569901i</v>
      </c>
      <c r="AU293">
        <f t="shared" si="290"/>
        <v>1.20132021569901E-4</v>
      </c>
      <c r="AV293">
        <f t="shared" si="291"/>
        <v>1.5707963267948966</v>
      </c>
      <c r="AW293" t="str">
        <f t="shared" si="268"/>
        <v>1+0.12208572572692i</v>
      </c>
      <c r="AX293">
        <f t="shared" si="292"/>
        <v>1.0074248976604998</v>
      </c>
      <c r="AY293">
        <f t="shared" si="293"/>
        <v>0.12148453356677411</v>
      </c>
      <c r="AZ293" t="str">
        <f t="shared" si="269"/>
        <v>1+4.15091467471527i</v>
      </c>
      <c r="BA293">
        <f t="shared" si="294"/>
        <v>4.2696712562873707</v>
      </c>
      <c r="BB293">
        <f t="shared" si="295"/>
        <v>1.3343903689395944</v>
      </c>
      <c r="BC293" s="41" t="str">
        <f t="shared" si="296"/>
        <v>-0.550735958832966+0.205973253289717i</v>
      </c>
      <c r="BD293">
        <f t="shared" si="297"/>
        <v>-4.612565557825274</v>
      </c>
      <c r="BE293" s="43">
        <f t="shared" si="298"/>
        <v>159.494385313652</v>
      </c>
      <c r="BF293" s="41" t="str">
        <f t="shared" si="299"/>
        <v>0.321584296396779+1.38235505338864i</v>
      </c>
      <c r="BG293" s="20">
        <f t="shared" si="300"/>
        <v>3.041288859667695</v>
      </c>
      <c r="BH293" s="43">
        <f t="shared" si="301"/>
        <v>76.903924122347803</v>
      </c>
      <c r="BI293" s="41" t="str">
        <f t="shared" si="255"/>
        <v>0.547976261879891+6.41878530678975i</v>
      </c>
      <c r="BJ293" s="20">
        <f t="shared" si="302"/>
        <v>16.180594279691437</v>
      </c>
      <c r="BK293" s="43">
        <f t="shared" si="256"/>
        <v>85.120449956537726</v>
      </c>
      <c r="BL293">
        <f t="shared" si="303"/>
        <v>3.041288859667695</v>
      </c>
      <c r="BM293" s="43">
        <f t="shared" si="304"/>
        <v>76.903924122347803</v>
      </c>
    </row>
    <row r="294" spans="14:65" x14ac:dyDescent="0.25">
      <c r="N294" s="9">
        <v>76</v>
      </c>
      <c r="O294" s="34">
        <f t="shared" si="305"/>
        <v>5754.399373371567</v>
      </c>
      <c r="P294" s="33" t="str">
        <f t="shared" si="257"/>
        <v>19.1021967526266</v>
      </c>
      <c r="Q294" s="4" t="str">
        <f t="shared" si="258"/>
        <v>1+8.11523403503985i</v>
      </c>
      <c r="R294" s="4">
        <f t="shared" si="270"/>
        <v>8.1766144242876688</v>
      </c>
      <c r="S294" s="4">
        <f t="shared" si="271"/>
        <v>1.4481893699431014</v>
      </c>
      <c r="T294" s="4" t="str">
        <f t="shared" si="259"/>
        <v>1+0.135946400554987i</v>
      </c>
      <c r="U294" s="4">
        <f t="shared" si="272"/>
        <v>1.0091984065702129</v>
      </c>
      <c r="V294" s="4">
        <f t="shared" si="273"/>
        <v>0.13511807219923863</v>
      </c>
      <c r="W294" t="str">
        <f t="shared" si="260"/>
        <v>1-0.0753249116550242i</v>
      </c>
      <c r="X294" s="4">
        <f t="shared" si="274"/>
        <v>1.0028329084727112</v>
      </c>
      <c r="Y294" s="4">
        <f t="shared" si="275"/>
        <v>-7.518293412034141E-2</v>
      </c>
      <c r="Z294" t="str">
        <f t="shared" si="261"/>
        <v>0.999966886887852+0.056041734271338i</v>
      </c>
      <c r="AA294" s="4">
        <f t="shared" si="276"/>
        <v>1.0015360457079521</v>
      </c>
      <c r="AB294" s="4">
        <f t="shared" si="277"/>
        <v>5.5985024905765686E-2</v>
      </c>
      <c r="AC294" s="47" t="str">
        <f t="shared" si="278"/>
        <v>0.297971556477677-2.34186059785176i</v>
      </c>
      <c r="AD294" s="20">
        <f t="shared" si="279"/>
        <v>7.4609668839845238</v>
      </c>
      <c r="AE294" s="43">
        <f t="shared" si="280"/>
        <v>-82.748814020030068</v>
      </c>
      <c r="AF294" t="str">
        <f t="shared" si="262"/>
        <v>69.5520360182888</v>
      </c>
      <c r="AG294" t="str">
        <f t="shared" si="263"/>
        <v>1+6.47363812166608i</v>
      </c>
      <c r="AH294">
        <f t="shared" si="281"/>
        <v>6.5504191110407843</v>
      </c>
      <c r="AI294">
        <f t="shared" si="282"/>
        <v>1.4175350508015718</v>
      </c>
      <c r="AJ294" t="str">
        <f t="shared" si="264"/>
        <v>1+0.135946400554987i</v>
      </c>
      <c r="AK294">
        <f t="shared" si="283"/>
        <v>1.0091984065702129</v>
      </c>
      <c r="AL294">
        <f t="shared" si="284"/>
        <v>0.13511807219923863</v>
      </c>
      <c r="AM294" t="str">
        <f t="shared" si="265"/>
        <v>1-0.0165028613022162i</v>
      </c>
      <c r="AN294">
        <f t="shared" si="285"/>
        <v>1.0001361629454062</v>
      </c>
      <c r="AO294">
        <f t="shared" si="286"/>
        <v>-1.6501363392852325E-2</v>
      </c>
      <c r="AP294" s="41" t="str">
        <f t="shared" si="287"/>
        <v>2.87797426884614-10.3234225957158i</v>
      </c>
      <c r="AQ294">
        <f t="shared" si="288"/>
        <v>20.601528932515279</v>
      </c>
      <c r="AR294" s="43">
        <f t="shared" si="289"/>
        <v>-74.422538928454586</v>
      </c>
      <c r="AS294" t="str">
        <f t="shared" si="266"/>
        <v>-0.0000166666666666667</v>
      </c>
      <c r="AT294" t="str">
        <f t="shared" si="267"/>
        <v>0.000122930255821i</v>
      </c>
      <c r="AU294">
        <f t="shared" si="290"/>
        <v>1.2293025582100001E-4</v>
      </c>
      <c r="AV294">
        <f t="shared" si="291"/>
        <v>1.5707963267948966</v>
      </c>
      <c r="AW294" t="str">
        <f t="shared" si="268"/>
        <v>1+0.124929467593867i</v>
      </c>
      <c r="AX294">
        <f t="shared" si="292"/>
        <v>1.0077734724992948</v>
      </c>
      <c r="AY294">
        <f t="shared" si="293"/>
        <v>0.12428554665180956</v>
      </c>
      <c r="AZ294" t="str">
        <f t="shared" si="269"/>
        <v>1+4.24760189819147i</v>
      </c>
      <c r="BA294">
        <f t="shared" si="294"/>
        <v>4.36372798023889</v>
      </c>
      <c r="BB294">
        <f t="shared" si="295"/>
        <v>1.3395797902404214</v>
      </c>
      <c r="BC294" s="41" t="str">
        <f t="shared" si="296"/>
        <v>-0.550355040892649+0.20433379362115i</v>
      </c>
      <c r="BD294">
        <f t="shared" si="297"/>
        <v>-4.6263057546688584</v>
      </c>
      <c r="BE294" s="43">
        <f t="shared" si="298"/>
        <v>159.63123102417131</v>
      </c>
      <c r="BF294" s="41" t="str">
        <f t="shared" si="299"/>
        <v>0.314531111940826+1.34974044362187i</v>
      </c>
      <c r="BG294" s="20">
        <f t="shared" si="300"/>
        <v>2.8346611293156583</v>
      </c>
      <c r="BH294" s="43">
        <f t="shared" si="301"/>
        <v>76.882417004141246</v>
      </c>
      <c r="BI294" s="41" t="str">
        <f t="shared" si="255"/>
        <v>0.5255164557181+6.26961506511465i</v>
      </c>
      <c r="BJ294" s="20">
        <f t="shared" si="302"/>
        <v>15.975223177846416</v>
      </c>
      <c r="BK294" s="43">
        <f t="shared" si="256"/>
        <v>85.208692095716728</v>
      </c>
      <c r="BL294">
        <f t="shared" si="303"/>
        <v>2.8346611293156583</v>
      </c>
      <c r="BM294" s="43">
        <f t="shared" si="304"/>
        <v>76.882417004141246</v>
      </c>
    </row>
    <row r="295" spans="14:65" x14ac:dyDescent="0.25">
      <c r="N295" s="9">
        <v>77</v>
      </c>
      <c r="O295" s="34">
        <f t="shared" si="305"/>
        <v>5888.4365535558973</v>
      </c>
      <c r="P295" s="33" t="str">
        <f t="shared" si="257"/>
        <v>19.1021967526266</v>
      </c>
      <c r="Q295" s="4" t="str">
        <f t="shared" si="258"/>
        <v>1+8.30426211877457i</v>
      </c>
      <c r="R295" s="4">
        <f t="shared" si="270"/>
        <v>8.3642554562444058</v>
      </c>
      <c r="S295" s="4">
        <f t="shared" si="271"/>
        <v>1.4509532938199541</v>
      </c>
      <c r="T295" s="4" t="str">
        <f t="shared" si="259"/>
        <v>1+0.139112999013711i</v>
      </c>
      <c r="U295" s="4">
        <f t="shared" si="272"/>
        <v>1.009629846277629</v>
      </c>
      <c r="V295" s="4">
        <f t="shared" si="273"/>
        <v>0.13822588576795922</v>
      </c>
      <c r="W295" t="str">
        <f t="shared" si="260"/>
        <v>1-0.0770794542407533i</v>
      </c>
      <c r="X295" s="4">
        <f t="shared" si="274"/>
        <v>1.0029662218968554</v>
      </c>
      <c r="Y295" s="4">
        <f t="shared" si="275"/>
        <v>-7.6927346860648338E-2</v>
      </c>
      <c r="Z295" t="str">
        <f t="shared" si="261"/>
        <v>0.999965326314955+0.0573471139551205i</v>
      </c>
      <c r="AA295" s="4">
        <f t="shared" si="276"/>
        <v>1.0016083792137305</v>
      </c>
      <c r="AB295" s="4">
        <f t="shared" si="277"/>
        <v>5.7286354043260525E-2</v>
      </c>
      <c r="AC295" s="47" t="str">
        <f t="shared" si="278"/>
        <v>0.285239685382129-2.29122083040965i</v>
      </c>
      <c r="AD295" s="20">
        <f t="shared" si="279"/>
        <v>7.2681312824227406</v>
      </c>
      <c r="AE295" s="43">
        <f t="shared" si="280"/>
        <v>-82.903618747152294</v>
      </c>
      <c r="AF295" t="str">
        <f t="shared" si="262"/>
        <v>69.5520360182888</v>
      </c>
      <c r="AG295" t="str">
        <f t="shared" si="263"/>
        <v>1+6.62442852446246i</v>
      </c>
      <c r="AH295">
        <f t="shared" si="281"/>
        <v>6.699481567682076</v>
      </c>
      <c r="AI295">
        <f t="shared" si="282"/>
        <v>1.4209711387499115</v>
      </c>
      <c r="AJ295" t="str">
        <f t="shared" si="264"/>
        <v>1+0.139112999013711i</v>
      </c>
      <c r="AK295">
        <f t="shared" si="283"/>
        <v>1.009629846277629</v>
      </c>
      <c r="AL295">
        <f t="shared" si="284"/>
        <v>0.13822588576795922</v>
      </c>
      <c r="AM295" t="str">
        <f t="shared" si="265"/>
        <v>1-0.0168872623231392i</v>
      </c>
      <c r="AN295">
        <f t="shared" si="285"/>
        <v>1.000142579649907</v>
      </c>
      <c r="AO295">
        <f t="shared" si="286"/>
        <v>-1.6885657296696003E-2</v>
      </c>
      <c r="AP295" s="41" t="str">
        <f t="shared" si="287"/>
        <v>2.80796451029417-10.1001113570064i</v>
      </c>
      <c r="AQ295">
        <f t="shared" si="288"/>
        <v>20.409854976860689</v>
      </c>
      <c r="AR295" s="43">
        <f t="shared" si="289"/>
        <v>-74.463366083711861</v>
      </c>
      <c r="AS295" t="str">
        <f t="shared" si="266"/>
        <v>-0.0000166666666666667</v>
      </c>
      <c r="AT295" t="str">
        <f t="shared" si="267"/>
        <v>0.000125793669320909i</v>
      </c>
      <c r="AU295">
        <f t="shared" si="290"/>
        <v>1.2579366932090899E-4</v>
      </c>
      <c r="AV295">
        <f t="shared" si="291"/>
        <v>1.5707963267948966</v>
      </c>
      <c r="AW295" t="str">
        <f t="shared" si="268"/>
        <v>1+0.12783944871817i</v>
      </c>
      <c r="AX295">
        <f t="shared" si="292"/>
        <v>1.008138345986584</v>
      </c>
      <c r="AY295">
        <f t="shared" si="293"/>
        <v>0.12714977546564379</v>
      </c>
      <c r="AZ295" t="str">
        <f t="shared" si="269"/>
        <v>1+4.34654125641778i</v>
      </c>
      <c r="BA295">
        <f t="shared" si="294"/>
        <v>4.46009202749695</v>
      </c>
      <c r="BB295">
        <f t="shared" si="295"/>
        <v>1.3446633679806175</v>
      </c>
      <c r="BC295" s="41" t="str">
        <f t="shared" si="296"/>
        <v>-0.549956735194943+0.20279825989701i</v>
      </c>
      <c r="BD295">
        <f t="shared" si="297"/>
        <v>-4.6397270003110318</v>
      </c>
      <c r="BE295" s="43">
        <f t="shared" si="298"/>
        <v>159.75839035091875</v>
      </c>
      <c r="BF295" s="41" t="str">
        <f t="shared" si="299"/>
        <v>0.307786111326071+1.3179184393518i</v>
      </c>
      <c r="BG295" s="20">
        <f t="shared" si="300"/>
        <v>2.6284042821116871</v>
      </c>
      <c r="BH295" s="43">
        <f t="shared" si="301"/>
        <v>76.854771603766423</v>
      </c>
      <c r="BI295" s="41" t="str">
        <f t="shared" si="255"/>
        <v>0.504026013342277+6.12407458354482i</v>
      </c>
      <c r="BJ295" s="20">
        <f t="shared" si="302"/>
        <v>15.770127976549658</v>
      </c>
      <c r="BK295" s="43">
        <f t="shared" si="256"/>
        <v>85.295024267206898</v>
      </c>
      <c r="BL295">
        <f t="shared" si="303"/>
        <v>2.6284042821116871</v>
      </c>
      <c r="BM295" s="43">
        <f t="shared" si="304"/>
        <v>76.854771603766423</v>
      </c>
    </row>
    <row r="296" spans="14:65" x14ac:dyDescent="0.25">
      <c r="N296" s="9">
        <v>78</v>
      </c>
      <c r="O296" s="34">
        <f t="shared" si="305"/>
        <v>6025.595860743585</v>
      </c>
      <c r="P296" s="33" t="str">
        <f t="shared" si="257"/>
        <v>19.1021967526266</v>
      </c>
      <c r="Q296" s="4" t="str">
        <f t="shared" si="258"/>
        <v>1+8.49769323220454i</v>
      </c>
      <c r="R296" s="4">
        <f t="shared" si="270"/>
        <v>8.5563304207267983</v>
      </c>
      <c r="S296" s="4">
        <f t="shared" si="271"/>
        <v>1.4536560820855808</v>
      </c>
      <c r="T296" s="4" t="str">
        <f t="shared" si="259"/>
        <v>1+0.14235335702589i</v>
      </c>
      <c r="U296" s="4">
        <f t="shared" si="272"/>
        <v>1.0100814215975564</v>
      </c>
      <c r="V296" s="4">
        <f t="shared" si="273"/>
        <v>0.14140330970581991</v>
      </c>
      <c r="W296" t="str">
        <f t="shared" si="260"/>
        <v>1-0.0788748653733879i</v>
      </c>
      <c r="X296" s="4">
        <f t="shared" si="274"/>
        <v>1.0031057991995012</v>
      </c>
      <c r="Y296" s="4">
        <f t="shared" si="275"/>
        <v>-7.8711906621489941E-2</v>
      </c>
      <c r="Z296" t="str">
        <f t="shared" si="261"/>
        <v>0.999963692194523+0.0586828998378006i</v>
      </c>
      <c r="AA296" s="4">
        <f t="shared" si="276"/>
        <v>1.0016841160968242</v>
      </c>
      <c r="AB296" s="4">
        <f t="shared" si="277"/>
        <v>5.8617800328958351E-2</v>
      </c>
      <c r="AC296" s="47" t="str">
        <f t="shared" si="278"/>
        <v>0.27305888897365-2.24166009042891i</v>
      </c>
      <c r="AD296" s="20">
        <f t="shared" si="279"/>
        <v>7.0753620765027057</v>
      </c>
      <c r="AE296" s="43">
        <f t="shared" si="280"/>
        <v>-83.054958121730877</v>
      </c>
      <c r="AF296" t="str">
        <f t="shared" si="262"/>
        <v>69.5520360182888</v>
      </c>
      <c r="AG296" t="str">
        <f t="shared" si="263"/>
        <v>1+6.77873128694717i</v>
      </c>
      <c r="AH296">
        <f t="shared" si="281"/>
        <v>6.8520944141653821</v>
      </c>
      <c r="AI296">
        <f t="shared" si="282"/>
        <v>1.4243324597138589</v>
      </c>
      <c r="AJ296" t="str">
        <f t="shared" si="264"/>
        <v>1+0.14235335702589i</v>
      </c>
      <c r="AK296">
        <f t="shared" si="283"/>
        <v>1.0100814215975564</v>
      </c>
      <c r="AL296">
        <f t="shared" si="284"/>
        <v>0.14140330970581991</v>
      </c>
      <c r="AM296" t="str">
        <f t="shared" si="265"/>
        <v>1-0.0172806171940751i</v>
      </c>
      <c r="AN296">
        <f t="shared" si="285"/>
        <v>1.00014929872025</v>
      </c>
      <c r="AO296">
        <f t="shared" si="286"/>
        <v>-1.7278897391121099E-2</v>
      </c>
      <c r="AP296" s="41" t="str">
        <f t="shared" si="287"/>
        <v>2.74096832437121-9.8812240312578i</v>
      </c>
      <c r="AQ296">
        <f t="shared" si="288"/>
        <v>20.218154546206559</v>
      </c>
      <c r="AR296" s="43">
        <f t="shared" si="289"/>
        <v>-74.496433604917542</v>
      </c>
      <c r="AS296" t="str">
        <f t="shared" si="266"/>
        <v>-0.0000166666666666667</v>
      </c>
      <c r="AT296" t="str">
        <f t="shared" si="267"/>
        <v>0.000128723780289369i</v>
      </c>
      <c r="AU296">
        <f t="shared" si="290"/>
        <v>1.28723780289369E-4</v>
      </c>
      <c r="AV296">
        <f t="shared" si="291"/>
        <v>1.5707963267948966</v>
      </c>
      <c r="AW296" t="str">
        <f t="shared" si="268"/>
        <v>1+0.130817212010338i</v>
      </c>
      <c r="AX296">
        <f t="shared" si="292"/>
        <v>1.0085202739450296</v>
      </c>
      <c r="AY296">
        <f t="shared" si="293"/>
        <v>0.1300785505793913</v>
      </c>
      <c r="AZ296" t="str">
        <f t="shared" si="269"/>
        <v>1+4.44778520835149i</v>
      </c>
      <c r="BA296">
        <f t="shared" si="294"/>
        <v>4.558814896399098</v>
      </c>
      <c r="BB296">
        <f t="shared" si="295"/>
        <v>1.3496427460829576</v>
      </c>
      <c r="BC296" s="41" t="str">
        <f t="shared" si="296"/>
        <v>-0.549540275384285+0.201365532502029i</v>
      </c>
      <c r="BD296">
        <f t="shared" si="297"/>
        <v>-4.6528542038031988</v>
      </c>
      <c r="BE296" s="43">
        <f t="shared" si="298"/>
        <v>159.87588124762189</v>
      </c>
      <c r="BF296" s="41" t="str">
        <f t="shared" si="299"/>
        <v>0.301336220755057+1.28686715199486i</v>
      </c>
      <c r="BG296" s="20">
        <f t="shared" si="300"/>
        <v>2.4225078726995313</v>
      </c>
      <c r="BH296" s="43">
        <f t="shared" si="301"/>
        <v>76.820923125891085</v>
      </c>
      <c r="BI296" s="41" t="str">
        <f t="shared" si="255"/>
        <v>0.483465451031516+5.98206712147943i</v>
      </c>
      <c r="BJ296" s="20">
        <f t="shared" si="302"/>
        <v>15.565300342403363</v>
      </c>
      <c r="BK296" s="43">
        <f t="shared" si="256"/>
        <v>85.379447642704349</v>
      </c>
      <c r="BL296">
        <f t="shared" si="303"/>
        <v>2.4225078726995313</v>
      </c>
      <c r="BM296" s="43">
        <f t="shared" si="304"/>
        <v>76.820923125891085</v>
      </c>
    </row>
    <row r="297" spans="14:65" x14ac:dyDescent="0.25">
      <c r="N297" s="9">
        <v>79</v>
      </c>
      <c r="O297" s="34">
        <f t="shared" si="305"/>
        <v>6165.9500186148289</v>
      </c>
      <c r="P297" s="33" t="str">
        <f t="shared" si="257"/>
        <v>19.1021967526266</v>
      </c>
      <c r="Q297" s="4" t="str">
        <f t="shared" si="258"/>
        <v>1+8.69562993506651i</v>
      </c>
      <c r="R297" s="4">
        <f t="shared" si="270"/>
        <v>8.7529412181063346</v>
      </c>
      <c r="S297" s="4">
        <f t="shared" si="271"/>
        <v>1.4562990097567881</v>
      </c>
      <c r="T297" s="4" t="str">
        <f t="shared" si="259"/>
        <v>1+0.145669192672234i</v>
      </c>
      <c r="U297" s="4">
        <f t="shared" si="272"/>
        <v>1.010554062726869</v>
      </c>
      <c r="V297" s="4">
        <f t="shared" si="273"/>
        <v>0.14465177195582227</v>
      </c>
      <c r="W297" t="str">
        <f t="shared" si="260"/>
        <v>1-0.0807120970036758i</v>
      </c>
      <c r="X297" s="4">
        <f t="shared" si="274"/>
        <v>1.0032519337647603</v>
      </c>
      <c r="Y297" s="4">
        <f t="shared" si="275"/>
        <v>-8.0537514109041058E-2</v>
      </c>
      <c r="Z297" t="str">
        <f t="shared" si="261"/>
        <v>0.999961981060368+0.0600498001707348i</v>
      </c>
      <c r="AA297" s="4">
        <f t="shared" si="276"/>
        <v>1.0017634162149869</v>
      </c>
      <c r="AB297" s="4">
        <f t="shared" si="277"/>
        <v>5.9980051419575291E-2</v>
      </c>
      <c r="AC297" s="47" t="str">
        <f t="shared" si="278"/>
        <v>0.26140545876265-2.19316087219098i</v>
      </c>
      <c r="AD297" s="20">
        <f t="shared" si="279"/>
        <v>6.882673850495399</v>
      </c>
      <c r="AE297" s="43">
        <f t="shared" si="280"/>
        <v>-83.202914388230298</v>
      </c>
      <c r="AF297" t="str">
        <f t="shared" si="262"/>
        <v>69.5520360182888</v>
      </c>
      <c r="AG297" t="str">
        <f t="shared" si="263"/>
        <v>1+6.93662822248734i</v>
      </c>
      <c r="AH297">
        <f t="shared" si="281"/>
        <v>7.008338683098005</v>
      </c>
      <c r="AI297">
        <f t="shared" si="282"/>
        <v>1.4276204919304096</v>
      </c>
      <c r="AJ297" t="str">
        <f t="shared" si="264"/>
        <v>1+0.145669192672234i</v>
      </c>
      <c r="AK297">
        <f t="shared" si="283"/>
        <v>1.010554062726869</v>
      </c>
      <c r="AL297">
        <f t="shared" si="284"/>
        <v>0.14465177195582227</v>
      </c>
      <c r="AM297" t="str">
        <f t="shared" si="265"/>
        <v>1-0.0176831344769834i</v>
      </c>
      <c r="AN297">
        <f t="shared" si="285"/>
        <v>1.0001563344022428</v>
      </c>
      <c r="AO297">
        <f t="shared" si="286"/>
        <v>-1.7681291690473794E-2</v>
      </c>
      <c r="AP297" s="41" t="str">
        <f t="shared" si="287"/>
        <v>2.6768617884659-9.66670410013562i</v>
      </c>
      <c r="AQ297">
        <f t="shared" si="288"/>
        <v>20.026444175021165</v>
      </c>
      <c r="AR297" s="43">
        <f t="shared" si="289"/>
        <v>-74.521756292049304</v>
      </c>
      <c r="AS297" t="str">
        <f t="shared" si="266"/>
        <v>-0.0000166666666666667</v>
      </c>
      <c r="AT297" t="str">
        <f t="shared" si="267"/>
        <v>0.000131722142309999i</v>
      </c>
      <c r="AU297">
        <f t="shared" si="290"/>
        <v>1.3172214230999899E-4</v>
      </c>
      <c r="AV297">
        <f t="shared" si="291"/>
        <v>1.5707963267948966</v>
      </c>
      <c r="AW297" t="str">
        <f t="shared" si="268"/>
        <v>1+0.133864336319885i</v>
      </c>
      <c r="AX297">
        <f t="shared" si="292"/>
        <v>1.0089200466530355</v>
      </c>
      <c r="AY297">
        <f t="shared" si="293"/>
        <v>0.13307322378376171</v>
      </c>
      <c r="AZ297" t="str">
        <f t="shared" si="269"/>
        <v>1+4.55138743487608i</v>
      </c>
      <c r="BA297">
        <f t="shared" si="294"/>
        <v>4.6599493111350325</v>
      </c>
      <c r="BB297">
        <f t="shared" si="295"/>
        <v>1.3545195765569196</v>
      </c>
      <c r="BC297" s="41" t="str">
        <f t="shared" si="296"/>
        <v>-0.549104863916848+0.20003452570326i</v>
      </c>
      <c r="BD297">
        <f t="shared" si="297"/>
        <v>-4.6657118885903763</v>
      </c>
      <c r="BE297" s="43">
        <f t="shared" si="298"/>
        <v>159.98372091554947</v>
      </c>
      <c r="BF297" s="41" t="str">
        <f t="shared" si="299"/>
        <v>0.295168885998685+1.25656541923201i</v>
      </c>
      <c r="BG297" s="20">
        <f t="shared" si="300"/>
        <v>2.2169619619049987</v>
      </c>
      <c r="BH297" s="43">
        <f t="shared" si="301"/>
        <v>76.780806527319129</v>
      </c>
      <c r="BI297" s="41" t="str">
        <f t="shared" si="255"/>
        <v>0.463796741704609+5.84349901765836i</v>
      </c>
      <c r="BJ297" s="20">
        <f t="shared" si="302"/>
        <v>15.360732286430785</v>
      </c>
      <c r="BK297" s="43">
        <f t="shared" si="256"/>
        <v>85.461964623500165</v>
      </c>
      <c r="BL297">
        <f t="shared" si="303"/>
        <v>2.2169619619049987</v>
      </c>
      <c r="BM297" s="43">
        <f t="shared" si="304"/>
        <v>76.780806527319129</v>
      </c>
    </row>
    <row r="298" spans="14:65" x14ac:dyDescent="0.25">
      <c r="N298" s="9">
        <v>80</v>
      </c>
      <c r="O298" s="34">
        <f t="shared" si="305"/>
        <v>6309.5734448019384</v>
      </c>
      <c r="P298" s="33" t="str">
        <f t="shared" si="257"/>
        <v>19.1021967526266</v>
      </c>
      <c r="Q298" s="4" t="str">
        <f t="shared" si="258"/>
        <v>1+8.8981771760203i</v>
      </c>
      <c r="R298" s="4">
        <f t="shared" si="270"/>
        <v>8.954192149817235</v>
      </c>
      <c r="S298" s="4">
        <f t="shared" si="271"/>
        <v>1.4588833303809172</v>
      </c>
      <c r="T298" s="4" t="str">
        <f t="shared" si="259"/>
        <v>1+0.149062264052692i</v>
      </c>
      <c r="U298" s="4">
        <f t="shared" si="272"/>
        <v>1.0110487419331051</v>
      </c>
      <c r="V298" s="4">
        <f t="shared" si="273"/>
        <v>0.14797272051721727</v>
      </c>
      <c r="W298" t="str">
        <f t="shared" si="260"/>
        <v>1-0.0825921232561458i</v>
      </c>
      <c r="X298" s="4">
        <f t="shared" si="274"/>
        <v>1.0034049326288756</v>
      </c>
      <c r="Y298" s="4">
        <f t="shared" si="275"/>
        <v>-8.2405088581703034E-2</v>
      </c>
      <c r="Z298" t="str">
        <f t="shared" si="261"/>
        <v>0.999960189282945+0.0614485397025725i</v>
      </c>
      <c r="AA298" s="4">
        <f t="shared" si="276"/>
        <v>1.0018464469080888</v>
      </c>
      <c r="AB298" s="4">
        <f t="shared" si="277"/>
        <v>6.1373810005693398E-2</v>
      </c>
      <c r="AC298" s="47" t="str">
        <f t="shared" si="278"/>
        <v>0.250256622995171-2.14570566994101i</v>
      </c>
      <c r="AD298" s="20">
        <f t="shared" si="279"/>
        <v>6.6900813341493572</v>
      </c>
      <c r="AE298" s="43">
        <f t="shared" si="280"/>
        <v>-83.347569336208139</v>
      </c>
      <c r="AF298" t="str">
        <f t="shared" si="262"/>
        <v>69.5520360182888</v>
      </c>
      <c r="AG298" t="str">
        <f t="shared" si="263"/>
        <v>1+7.09820305012819i</v>
      </c>
      <c r="AH298">
        <f t="shared" si="281"/>
        <v>7.1682973250869795</v>
      </c>
      <c r="AI298">
        <f t="shared" si="282"/>
        <v>1.4308366942303454</v>
      </c>
      <c r="AJ298" t="str">
        <f t="shared" si="264"/>
        <v>1+0.149062264052692i</v>
      </c>
      <c r="AK298">
        <f t="shared" si="283"/>
        <v>1.0110487419331051</v>
      </c>
      <c r="AL298">
        <f t="shared" si="284"/>
        <v>0.14797272051721727</v>
      </c>
      <c r="AM298" t="str">
        <f t="shared" si="265"/>
        <v>1-0.0180950275918553i</v>
      </c>
      <c r="AN298">
        <f t="shared" si="285"/>
        <v>1.0001637016126661</v>
      </c>
      <c r="AO298">
        <f t="shared" si="286"/>
        <v>-1.8093053027989504E-2</v>
      </c>
      <c r="AP298" s="41" t="str">
        <f t="shared" si="287"/>
        <v>2.6155255744785-9.4564936629117i</v>
      </c>
      <c r="AQ298">
        <f t="shared" si="288"/>
        <v>19.834740383194681</v>
      </c>
      <c r="AR298" s="43">
        <f t="shared" si="289"/>
        <v>-74.539346960154205</v>
      </c>
      <c r="AS298" t="str">
        <f t="shared" si="266"/>
        <v>-0.0000166666666666667</v>
      </c>
      <c r="AT298" t="str">
        <f t="shared" si="267"/>
        <v>0.00013479034515403i</v>
      </c>
      <c r="AU298">
        <f t="shared" si="290"/>
        <v>1.3479034515403001E-4</v>
      </c>
      <c r="AV298">
        <f t="shared" si="291"/>
        <v>1.5707963267948966</v>
      </c>
      <c r="AW298" t="str">
        <f t="shared" si="268"/>
        <v>1+0.136982437272452i</v>
      </c>
      <c r="AX298">
        <f t="shared" si="292"/>
        <v>1.0093384903594538</v>
      </c>
      <c r="AY298">
        <f t="shared" si="293"/>
        <v>0.13613516792888172</v>
      </c>
      <c r="AZ298" t="str">
        <f t="shared" si="269"/>
        <v>1+4.65740286726336i</v>
      </c>
      <c r="BA298">
        <f t="shared" si="294"/>
        <v>4.7635492511354354</v>
      </c>
      <c r="BB298">
        <f t="shared" si="295"/>
        <v>1.3592955168360983</v>
      </c>
      <c r="BC298" s="41" t="str">
        <f t="shared" si="296"/>
        <v>-0.54864967103826+0.198804185742099i</v>
      </c>
      <c r="BD298">
        <f t="shared" si="297"/>
        <v>-4.6783242204809703</v>
      </c>
      <c r="BE298" s="43">
        <f t="shared" si="298"/>
        <v>160.08192566013278</v>
      </c>
      <c r="BF298" s="41" t="str">
        <f t="shared" si="299"/>
        <v>0.289272054673381+1.22699277411919i</v>
      </c>
      <c r="BG298" s="20">
        <f t="shared" si="300"/>
        <v>2.0117571136684091</v>
      </c>
      <c r="BH298" s="43">
        <f t="shared" si="301"/>
        <v>76.7343563239247</v>
      </c>
      <c r="BI298" s="41" t="str">
        <f t="shared" si="255"/>
        <v>0.444983276600695+5.70827956945373i</v>
      </c>
      <c r="BJ298" s="20">
        <f t="shared" si="302"/>
        <v>15.156416162713715</v>
      </c>
      <c r="BK298" s="43">
        <f t="shared" si="256"/>
        <v>85.542578699978591</v>
      </c>
      <c r="BL298">
        <f t="shared" si="303"/>
        <v>2.0117571136684091</v>
      </c>
      <c r="BM298" s="43">
        <f t="shared" si="304"/>
        <v>76.7343563239247</v>
      </c>
    </row>
    <row r="299" spans="14:65" x14ac:dyDescent="0.25">
      <c r="N299" s="9">
        <v>81</v>
      </c>
      <c r="O299" s="34">
        <f t="shared" si="305"/>
        <v>6456.5422903465615</v>
      </c>
      <c r="P299" s="33" t="str">
        <f t="shared" si="257"/>
        <v>19.1021967526266</v>
      </c>
      <c r="Q299" s="4" t="str">
        <f t="shared" si="258"/>
        <v>1+9.10544234829414i</v>
      </c>
      <c r="R299" s="4">
        <f t="shared" si="270"/>
        <v>9.1601899739092918</v>
      </c>
      <c r="S299" s="4">
        <f t="shared" si="271"/>
        <v>1.4614102760447716</v>
      </c>
      <c r="T299" s="4" t="str">
        <f t="shared" si="259"/>
        <v>1+0.152534370218623i</v>
      </c>
      <c r="U299" s="4">
        <f t="shared" si="272"/>
        <v>1.011566475372722</v>
      </c>
      <c r="V299" s="4">
        <f t="shared" si="273"/>
        <v>0.15136762304278364</v>
      </c>
      <c r="W299" t="str">
        <f t="shared" si="260"/>
        <v>1-0.0845159409456025i</v>
      </c>
      <c r="X299" s="4">
        <f t="shared" si="274"/>
        <v>1.0035651171069671</v>
      </c>
      <c r="Y299" s="4">
        <f t="shared" si="275"/>
        <v>-8.4315568112829975E-2</v>
      </c>
      <c r="Z299" t="str">
        <f t="shared" si="261"/>
        <v>0.999958313061653+0.0628798600635282i</v>
      </c>
      <c r="AA299" s="4">
        <f t="shared" si="276"/>
        <v>1.0019333833457771</v>
      </c>
      <c r="AB299" s="4">
        <f t="shared" si="277"/>
        <v>6.2799794092520581E-2</v>
      </c>
      <c r="AC299" s="47" t="str">
        <f t="shared" si="278"/>
        <v>0.239590513786562-2.09927700318423i</v>
      </c>
      <c r="AD299" s="20">
        <f t="shared" si="279"/>
        <v>6.4975994277026974</v>
      </c>
      <c r="AE299" s="43">
        <f t="shared" si="280"/>
        <v>-83.489004355040336</v>
      </c>
      <c r="AF299" t="str">
        <f t="shared" si="262"/>
        <v>69.5520360182888</v>
      </c>
      <c r="AG299" t="str">
        <f t="shared" si="263"/>
        <v>1+7.26354143898207i</v>
      </c>
      <c r="AH299">
        <f t="shared" si="281"/>
        <v>7.3320552531885435</v>
      </c>
      <c r="AI299">
        <f t="shared" si="282"/>
        <v>1.4339825056015016</v>
      </c>
      <c r="AJ299" t="str">
        <f t="shared" si="264"/>
        <v>1+0.152534370218623i</v>
      </c>
      <c r="AK299">
        <f t="shared" si="283"/>
        <v>1.011566475372722</v>
      </c>
      <c r="AL299">
        <f t="shared" si="284"/>
        <v>0.15136762304278364</v>
      </c>
      <c r="AM299" t="str">
        <f t="shared" si="265"/>
        <v>1-0.0185165149298724i</v>
      </c>
      <c r="AN299">
        <f t="shared" si="285"/>
        <v>1.0001714159708566</v>
      </c>
      <c r="AO299">
        <f t="shared" si="286"/>
        <v>-1.8514399166154816E-2</v>
      </c>
      <c r="AP299" s="41" t="str">
        <f t="shared" si="287"/>
        <v>2.55684482260759-9.25053362391999i</v>
      </c>
      <c r="AQ299">
        <f t="shared" si="288"/>
        <v>19.643059702661802</v>
      </c>
      <c r="AR299" s="43">
        <f t="shared" si="289"/>
        <v>-74.549216443723495</v>
      </c>
      <c r="AS299" t="str">
        <f t="shared" si="266"/>
        <v>-0.0000166666666666667</v>
      </c>
      <c r="AT299" t="str">
        <f t="shared" si="267"/>
        <v>0.000137930015623223i</v>
      </c>
      <c r="AU299">
        <f t="shared" si="290"/>
        <v>1.3793001562322299E-4</v>
      </c>
      <c r="AV299">
        <f t="shared" si="291"/>
        <v>1.5707963267948966</v>
      </c>
      <c r="AW299" t="str">
        <f t="shared" si="268"/>
        <v>1+0.140173168126438i</v>
      </c>
      <c r="AX299">
        <f t="shared" si="292"/>
        <v>1.0097764688596198</v>
      </c>
      <c r="AY299">
        <f t="shared" si="293"/>
        <v>0.13926577671879758</v>
      </c>
      <c r="AZ299" t="str">
        <f t="shared" si="269"/>
        <v>1+4.7658877162989i</v>
      </c>
      <c r="BA299">
        <f t="shared" si="294"/>
        <v>4.8696699810530015</v>
      </c>
      <c r="BB299">
        <f t="shared" si="295"/>
        <v>1.363972227287533</v>
      </c>
      <c r="BC299" s="41" t="str">
        <f t="shared" si="296"/>
        <v>-0.548173833752446+0.197673488864429i</v>
      </c>
      <c r="BD299">
        <f t="shared" si="297"/>
        <v>-4.6907150362168384</v>
      </c>
      <c r="BE299" s="43">
        <f t="shared" si="298"/>
        <v>160.17051076003585</v>
      </c>
      <c r="BF299" s="41" t="str">
        <f t="shared" si="299"/>
        <v>0.283634158839192+1.19812941570286i</v>
      </c>
      <c r="BG299" s="20">
        <f t="shared" si="300"/>
        <v>1.8068843914858881</v>
      </c>
      <c r="BH299" s="43">
        <f t="shared" si="301"/>
        <v>76.681506404995545</v>
      </c>
      <c r="BI299" s="41" t="str">
        <f t="shared" si="255"/>
        <v>0.426989826579079+5.57632091744992i</v>
      </c>
      <c r="BJ299" s="20">
        <f t="shared" si="302"/>
        <v>14.952344666444962</v>
      </c>
      <c r="BK299" s="43">
        <f t="shared" si="256"/>
        <v>85.621294316312358</v>
      </c>
      <c r="BL299">
        <f t="shared" si="303"/>
        <v>1.8068843914858881</v>
      </c>
      <c r="BM299" s="43">
        <f t="shared" si="304"/>
        <v>76.681506404995545</v>
      </c>
    </row>
    <row r="300" spans="14:65" x14ac:dyDescent="0.25">
      <c r="N300" s="9">
        <v>82</v>
      </c>
      <c r="O300" s="34">
        <f t="shared" si="305"/>
        <v>6606.9344800759654</v>
      </c>
      <c r="P300" s="33" t="str">
        <f t="shared" si="257"/>
        <v>19.1021967526266</v>
      </c>
      <c r="Q300" s="4" t="str">
        <f t="shared" si="258"/>
        <v>1+9.31753534662579i</v>
      </c>
      <c r="R300" s="4">
        <f t="shared" si="270"/>
        <v>9.371043961887116</v>
      </c>
      <c r="S300" s="4">
        <f t="shared" si="271"/>
        <v>1.4638810574127845</v>
      </c>
      <c r="T300" s="4" t="str">
        <f t="shared" si="259"/>
        <v>1+0.156087352126675i</v>
      </c>
      <c r="U300" s="4">
        <f t="shared" si="272"/>
        <v>1.0121083249800471</v>
      </c>
      <c r="V300" s="4">
        <f t="shared" si="273"/>
        <v>0.15483796637312483</v>
      </c>
      <c r="W300" t="str">
        <f t="shared" si="260"/>
        <v>1-0.0864845701056489i</v>
      </c>
      <c r="X300" s="4">
        <f t="shared" si="274"/>
        <v>1.0037328234477334</v>
      </c>
      <c r="Y300" s="4">
        <f t="shared" si="275"/>
        <v>-8.6269909847963566E-2</v>
      </c>
      <c r="Z300" t="str">
        <f t="shared" si="261"/>
        <v>0.999956348416776+0.0643445201586028i</v>
      </c>
      <c r="AA300" s="4">
        <f t="shared" si="276"/>
        <v>1.0020244088910477</v>
      </c>
      <c r="AB300" s="4">
        <f t="shared" si="277"/>
        <v>6.4258737282335582E-2</v>
      </c>
      <c r="AC300" s="47" t="str">
        <f t="shared" si="278"/>
        <v>0.229386134896593-2.05385743995875i</v>
      </c>
      <c r="AD300" s="20">
        <f t="shared" si="279"/>
        <v>6.3052432270140741</v>
      </c>
      <c r="AE300" s="43">
        <f t="shared" si="280"/>
        <v>-83.627300493712283</v>
      </c>
      <c r="AF300" t="str">
        <f t="shared" si="262"/>
        <v>69.5520360182888</v>
      </c>
      <c r="AG300" t="str">
        <f t="shared" si="263"/>
        <v>1+7.43273105365121i</v>
      </c>
      <c r="AH300">
        <f t="shared" si="281"/>
        <v>7.4996993883695788</v>
      </c>
      <c r="AI300">
        <f t="shared" si="282"/>
        <v>1.4370593448131139</v>
      </c>
      <c r="AJ300" t="str">
        <f t="shared" si="264"/>
        <v>1+0.156087352126675i</v>
      </c>
      <c r="AK300">
        <f t="shared" si="283"/>
        <v>1.0121083249800471</v>
      </c>
      <c r="AL300">
        <f t="shared" si="284"/>
        <v>0.15483796637312483</v>
      </c>
      <c r="AM300" t="str">
        <f t="shared" si="265"/>
        <v>1-0.0189478199692004i</v>
      </c>
      <c r="AN300">
        <f t="shared" si="285"/>
        <v>1.0001794938317747</v>
      </c>
      <c r="AO300">
        <f t="shared" si="286"/>
        <v>-1.8945552909504858E-2</v>
      </c>
      <c r="AP300" s="41" t="str">
        <f t="shared" si="287"/>
        <v>2.50070901445605-9.04876386774505i</v>
      </c>
      <c r="AQ300">
        <f t="shared" si="288"/>
        <v>19.451418704036442</v>
      </c>
      <c r="AR300" s="43">
        <f t="shared" si="289"/>
        <v>-74.551373608314535</v>
      </c>
      <c r="AS300" t="str">
        <f t="shared" si="266"/>
        <v>-0.0000166666666666667</v>
      </c>
      <c r="AT300" t="str">
        <f t="shared" si="267"/>
        <v>0.000141142818412419i</v>
      </c>
      <c r="AU300">
        <f t="shared" si="290"/>
        <v>1.41142818412419E-4</v>
      </c>
      <c r="AV300">
        <f t="shared" si="291"/>
        <v>1.5707963267948966</v>
      </c>
      <c r="AW300" t="str">
        <f t="shared" si="268"/>
        <v>1+0.143438220649576i</v>
      </c>
      <c r="AX300">
        <f t="shared" si="292"/>
        <v>1.0102348851346981</v>
      </c>
      <c r="AY300">
        <f t="shared" si="293"/>
        <v>0.14246646445720509</v>
      </c>
      <c r="AZ300" t="str">
        <f t="shared" si="269"/>
        <v>1+4.87689950208559i</v>
      </c>
      <c r="BA300">
        <f t="shared" si="294"/>
        <v>4.9783680813538362</v>
      </c>
      <c r="BB300">
        <f t="shared" si="295"/>
        <v>1.3685513688865585</v>
      </c>
      <c r="BC300" s="41" t="str">
        <f t="shared" si="296"/>
        <v>-0.547676454784303+0.196641439284047i</v>
      </c>
      <c r="BD300">
        <f t="shared" si="297"/>
        <v>-4.7029078725727134</v>
      </c>
      <c r="BE300" s="43">
        <f t="shared" si="298"/>
        <v>160.24949034850292</v>
      </c>
      <c r="BF300" s="41" t="str">
        <f t="shared" si="299"/>
        <v>0.278244097940897+1.16995618106684i</v>
      </c>
      <c r="BG300" s="20">
        <f t="shared" si="300"/>
        <v>1.6023353544413372</v>
      </c>
      <c r="BH300" s="43">
        <f t="shared" si="301"/>
        <v>76.622189854790577</v>
      </c>
      <c r="BI300" s="41" t="str">
        <f t="shared" si="255"/>
        <v>0.409782503210429+5.44753793510013i</v>
      </c>
      <c r="BJ300" s="20">
        <f t="shared" si="302"/>
        <v>14.748510831463719</v>
      </c>
      <c r="BK300" s="43">
        <f t="shared" si="256"/>
        <v>85.698116740188368</v>
      </c>
      <c r="BL300">
        <f t="shared" si="303"/>
        <v>1.6023353544413372</v>
      </c>
      <c r="BM300" s="43">
        <f t="shared" si="304"/>
        <v>76.622189854790577</v>
      </c>
    </row>
    <row r="301" spans="14:65" x14ac:dyDescent="0.25">
      <c r="N301" s="9">
        <v>83</v>
      </c>
      <c r="O301" s="34">
        <f t="shared" si="305"/>
        <v>6760.8297539198229</v>
      </c>
      <c r="P301" s="33" t="str">
        <f t="shared" si="257"/>
        <v>19.1021967526266</v>
      </c>
      <c r="Q301" s="4" t="str">
        <f t="shared" si="258"/>
        <v>1+9.5345686255304i</v>
      </c>
      <c r="R301" s="4">
        <f t="shared" si="270"/>
        <v>9.5868659568676904</v>
      </c>
      <c r="S301" s="4">
        <f t="shared" si="271"/>
        <v>1.4662968637920752</v>
      </c>
      <c r="T301" s="4" t="str">
        <f t="shared" si="259"/>
        <v>1+0.159723093614885i</v>
      </c>
      <c r="U301" s="4">
        <f t="shared" si="272"/>
        <v>1.0126754004289378</v>
      </c>
      <c r="V301" s="4">
        <f t="shared" si="273"/>
        <v>0.15838525600366385</v>
      </c>
      <c r="W301" t="str">
        <f t="shared" si="260"/>
        <v>1-0.0884990545295242i</v>
      </c>
      <c r="X301" s="4">
        <f t="shared" si="274"/>
        <v>1.0039084035172829</v>
      </c>
      <c r="Y301" s="4">
        <f t="shared" si="275"/>
        <v>-8.8269090255685967E-2</v>
      </c>
      <c r="Z301" t="str">
        <f t="shared" si="261"/>
        <v>0.999954291181039+0.0658432965699659i</v>
      </c>
      <c r="AA301" s="4">
        <f t="shared" si="276"/>
        <v>1.0021197154804282</v>
      </c>
      <c r="AB301" s="4">
        <f t="shared" si="277"/>
        <v>6.5751389058327933E-2</v>
      </c>
      <c r="AC301" s="47" t="str">
        <f t="shared" si="278"/>
        <v>0.219623330180633-2.0094296182019i</v>
      </c>
      <c r="AD301" s="20">
        <f t="shared" si="279"/>
        <v>6.1130280488163287</v>
      </c>
      <c r="AE301" s="43">
        <f t="shared" si="280"/>
        <v>-83.762538525720814</v>
      </c>
      <c r="AF301" t="str">
        <f t="shared" si="262"/>
        <v>69.5520360182888</v>
      </c>
      <c r="AG301" t="str">
        <f t="shared" si="263"/>
        <v>1+7.60586160070882i</v>
      </c>
      <c r="AH301">
        <f t="shared" si="281"/>
        <v>7.671318706007261</v>
      </c>
      <c r="AI301">
        <f t="shared" si="282"/>
        <v>1.4400686100972191</v>
      </c>
      <c r="AJ301" t="str">
        <f t="shared" si="264"/>
        <v>1+0.159723093614885i</v>
      </c>
      <c r="AK301">
        <f t="shared" si="283"/>
        <v>1.0126754004289378</v>
      </c>
      <c r="AL301">
        <f t="shared" si="284"/>
        <v>0.15838525600366385</v>
      </c>
      <c r="AM301" t="str">
        <f t="shared" si="265"/>
        <v>1-0.0193891713934801i</v>
      </c>
      <c r="AN301">
        <f t="shared" si="285"/>
        <v>1.0001879523206254</v>
      </c>
      <c r="AO301">
        <f t="shared" si="286"/>
        <v>-1.938674221990391E-2</v>
      </c>
      <c r="AP301" s="41" t="str">
        <f t="shared" si="287"/>
        <v>2.44701184595803-8.85112342272092i</v>
      </c>
      <c r="AQ301">
        <f t="shared" si="288"/>
        <v>19.259834023253713</v>
      </c>
      <c r="AR301" s="43">
        <f t="shared" si="289"/>
        <v>-74.545825369440777</v>
      </c>
      <c r="AS301" t="str">
        <f t="shared" si="266"/>
        <v>-0.0000166666666666667</v>
      </c>
      <c r="AT301" t="str">
        <f t="shared" si="267"/>
        <v>0.000144430456992183i</v>
      </c>
      <c r="AU301">
        <f t="shared" si="290"/>
        <v>1.44430456992183E-4</v>
      </c>
      <c r="AV301">
        <f t="shared" si="291"/>
        <v>1.5707963267948966</v>
      </c>
      <c r="AW301" t="str">
        <f t="shared" si="268"/>
        <v>1+0.146779326015932i</v>
      </c>
      <c r="AX301">
        <f t="shared" si="292"/>
        <v>1.0107146830563467</v>
      </c>
      <c r="AY301">
        <f t="shared" si="293"/>
        <v>0.14573866574080305</v>
      </c>
      <c r="AZ301" t="str">
        <f t="shared" si="269"/>
        <v>1+4.99049708454168i</v>
      </c>
      <c r="BA301">
        <f t="shared" si="294"/>
        <v>5.089701479538757</v>
      </c>
      <c r="BB301">
        <f t="shared" si="295"/>
        <v>1.3730346010507353</v>
      </c>
      <c r="BC301" s="41" t="str">
        <f t="shared" si="296"/>
        <v>-0.547156601539438+0.195707067074449i</v>
      </c>
      <c r="BD301">
        <f t="shared" si="297"/>
        <v>-4.7149259959173753</v>
      </c>
      <c r="BE301" s="43">
        <f t="shared" si="298"/>
        <v>160.31887730682001</v>
      </c>
      <c r="BF301" s="41" t="str">
        <f t="shared" si="299"/>
        <v>0.273091222110415+1.14245451873882i</v>
      </c>
      <c r="BG301" s="20">
        <f t="shared" si="300"/>
        <v>1.3981020528989769</v>
      </c>
      <c r="BH301" s="43">
        <f t="shared" si="301"/>
        <v>76.556338781099228</v>
      </c>
      <c r="BI301" s="41" t="str">
        <f t="shared" si="255"/>
        <v>0.393328719813527+5.32184812325098i</v>
      </c>
      <c r="BJ301" s="20">
        <f t="shared" si="302"/>
        <v>14.544908027336342</v>
      </c>
      <c r="BK301" s="43">
        <f t="shared" si="256"/>
        <v>85.77305193737925</v>
      </c>
      <c r="BL301">
        <f t="shared" si="303"/>
        <v>1.3981020528989769</v>
      </c>
      <c r="BM301" s="43">
        <f t="shared" si="304"/>
        <v>76.556338781099228</v>
      </c>
    </row>
    <row r="302" spans="14:65" x14ac:dyDescent="0.25">
      <c r="N302" s="9">
        <v>84</v>
      </c>
      <c r="O302" s="34">
        <f t="shared" si="305"/>
        <v>6918.3097091893687</v>
      </c>
      <c r="P302" s="33" t="str">
        <f t="shared" si="257"/>
        <v>19.1021967526266</v>
      </c>
      <c r="Q302" s="4" t="str">
        <f t="shared" si="258"/>
        <v>1+9.75665725892519i</v>
      </c>
      <c r="R302" s="4">
        <f t="shared" si="270"/>
        <v>9.8077704330871036</v>
      </c>
      <c r="S302" s="4">
        <f t="shared" si="271"/>
        <v>1.4686588632221618</v>
      </c>
      <c r="T302" s="4" t="str">
        <f t="shared" si="259"/>
        <v>1+0.163443522401515i</v>
      </c>
      <c r="U302" s="4">
        <f t="shared" si="272"/>
        <v>1.0132688611691443</v>
      </c>
      <c r="V302" s="4">
        <f t="shared" si="273"/>
        <v>0.1620110154798059</v>
      </c>
      <c r="W302" t="str">
        <f t="shared" si="260"/>
        <v>1-0.0905604623235344i</v>
      </c>
      <c r="X302" s="4">
        <f t="shared" si="274"/>
        <v>1.0040922255133002</v>
      </c>
      <c r="Y302" s="4">
        <f t="shared" si="275"/>
        <v>-9.0314105371115422E-2</v>
      </c>
      <c r="Z302" t="str">
        <f t="shared" si="261"/>
        <v>0.999952136990768+0.0673769839687095i</v>
      </c>
      <c r="AA302" s="4">
        <f t="shared" si="276"/>
        <v>1.0022195040215109</v>
      </c>
      <c r="AB302" s="4">
        <f t="shared" si="277"/>
        <v>6.7278515069505704E-2</v>
      </c>
      <c r="AC302" s="47" t="str">
        <f t="shared" si="278"/>
        <v>0.210282752745282-1.96597626532316i</v>
      </c>
      <c r="AD302" s="20">
        <f t="shared" si="279"/>
        <v>5.9209694560995292</v>
      </c>
      <c r="AE302" s="43">
        <f t="shared" si="280"/>
        <v>-83.894799019144301</v>
      </c>
      <c r="AF302" t="str">
        <f t="shared" si="262"/>
        <v>69.5520360182888</v>
      </c>
      <c r="AG302" t="str">
        <f t="shared" si="263"/>
        <v>1+7.78302487626262i</v>
      </c>
      <c r="AH302">
        <f t="shared" si="281"/>
        <v>7.8470042834525566</v>
      </c>
      <c r="AI302">
        <f t="shared" si="282"/>
        <v>1.4430116788832492</v>
      </c>
      <c r="AJ302" t="str">
        <f t="shared" si="264"/>
        <v>1+0.163443522401515i</v>
      </c>
      <c r="AK302">
        <f t="shared" si="283"/>
        <v>1.0132688611691443</v>
      </c>
      <c r="AL302">
        <f t="shared" si="284"/>
        <v>0.1620110154798059</v>
      </c>
      <c r="AM302" t="str">
        <f t="shared" si="265"/>
        <v>1-0.0198408032130786i</v>
      </c>
      <c r="AN302">
        <f t="shared" si="285"/>
        <v>1.0001968093691063</v>
      </c>
      <c r="AO302">
        <f t="shared" si="286"/>
        <v>-1.9838200334357178E-2</v>
      </c>
      <c r="AP302" s="41" t="str">
        <f t="shared" si="287"/>
        <v>2.39565110057572-8.6575506133084i</v>
      </c>
      <c r="AQ302">
        <f t="shared" si="288"/>
        <v>19.068322388215069</v>
      </c>
      <c r="AR302" s="43">
        <f t="shared" si="289"/>
        <v>-74.532576718769533</v>
      </c>
      <c r="AS302" t="str">
        <f t="shared" si="266"/>
        <v>-0.0000166666666666667</v>
      </c>
      <c r="AT302" t="str">
        <f t="shared" si="267"/>
        <v>0.000147794674512008i</v>
      </c>
      <c r="AU302">
        <f t="shared" si="290"/>
        <v>1.4779467451200799E-4</v>
      </c>
      <c r="AV302">
        <f t="shared" si="291"/>
        <v>1.5707963267948966</v>
      </c>
      <c r="AW302" t="str">
        <f t="shared" si="268"/>
        <v>1+0.150198255723795i</v>
      </c>
      <c r="AX302">
        <f t="shared" si="292"/>
        <v>1.0112168491587106</v>
      </c>
      <c r="AY302">
        <f t="shared" si="293"/>
        <v>0.14908383509645579</v>
      </c>
      <c r="AZ302" t="str">
        <f t="shared" si="269"/>
        <v>1+5.10674069460903i</v>
      </c>
      <c r="BA302">
        <f t="shared" si="294"/>
        <v>5.2037294820134461</v>
      </c>
      <c r="BB302">
        <f t="shared" si="295"/>
        <v>1.3774235796262979</v>
      </c>
      <c r="BC302" s="41" t="str">
        <f t="shared" si="296"/>
        <v>-0.546613305064504+0.194869425983867i</v>
      </c>
      <c r="BD302">
        <f t="shared" si="297"/>
        <v>-4.7267924321758201</v>
      </c>
      <c r="BE302" s="43">
        <f t="shared" si="298"/>
        <v>160.37868316973774</v>
      </c>
      <c r="BF302" s="41" t="str">
        <f t="shared" si="299"/>
        <v>0.26816531584527+1.11560646338844i</v>
      </c>
      <c r="BG302" s="20">
        <f t="shared" si="300"/>
        <v>1.1941770239236833</v>
      </c>
      <c r="BH302" s="43">
        <f t="shared" si="301"/>
        <v>76.483884150593425</v>
      </c>
      <c r="BI302" s="41" t="str">
        <f t="shared" si="255"/>
        <v>0.377597152574573+5.19917150933054i</v>
      </c>
      <c r="BJ302" s="20">
        <f t="shared" si="302"/>
        <v>14.341529956039253</v>
      </c>
      <c r="BK302" s="43">
        <f t="shared" si="256"/>
        <v>85.846106450968207</v>
      </c>
      <c r="BL302">
        <f t="shared" si="303"/>
        <v>1.1941770239236833</v>
      </c>
      <c r="BM302" s="43">
        <f t="shared" si="304"/>
        <v>76.483884150593425</v>
      </c>
    </row>
    <row r="303" spans="14:65" x14ac:dyDescent="0.25">
      <c r="N303" s="9">
        <v>85</v>
      </c>
      <c r="O303" s="34">
        <f t="shared" si="305"/>
        <v>7079.4578438413828</v>
      </c>
      <c r="P303" s="33" t="str">
        <f t="shared" si="257"/>
        <v>19.1021967526266</v>
      </c>
      <c r="Q303" s="4" t="str">
        <f t="shared" si="258"/>
        <v>1+9.9839190011433i</v>
      </c>
      <c r="R303" s="4">
        <f t="shared" si="270"/>
        <v>10.033874556789629</v>
      </c>
      <c r="S303" s="4">
        <f t="shared" si="271"/>
        <v>1.4709682025872466</v>
      </c>
      <c r="T303" s="4" t="str">
        <f t="shared" si="259"/>
        <v>1+0.167250611107152i</v>
      </c>
      <c r="U303" s="4">
        <f t="shared" si="272"/>
        <v>1.0138899185393431</v>
      </c>
      <c r="V303" s="4">
        <f t="shared" si="273"/>
        <v>0.16571678571553961</v>
      </c>
      <c r="W303" t="str">
        <f t="shared" si="260"/>
        <v>1-0.0926698864733779i</v>
      </c>
      <c r="X303" s="4">
        <f t="shared" si="274"/>
        <v>1.0042846747108056</v>
      </c>
      <c r="Y303" s="4">
        <f t="shared" si="275"/>
        <v>-9.2405971031013862E-2</v>
      </c>
      <c r="Z303" t="str">
        <f t="shared" si="261"/>
        <v>0.999949881276637+0.0689463955361931i</v>
      </c>
      <c r="AA303" s="4">
        <f t="shared" si="276"/>
        <v>1.0023239848086014</v>
      </c>
      <c r="AB303" s="4">
        <f t="shared" si="277"/>
        <v>6.8840897416318741E-2</v>
      </c>
      <c r="AC303" s="47" t="str">
        <f t="shared" si="278"/>
        <v>0.201345834830883-1.92348021609049i</v>
      </c>
      <c r="AD303" s="20">
        <f t="shared" si="279"/>
        <v>5.7290832836234955</v>
      </c>
      <c r="AE303" s="43">
        <f t="shared" si="280"/>
        <v>-84.024162411952958</v>
      </c>
      <c r="AF303" t="str">
        <f t="shared" si="262"/>
        <v>69.5520360182888</v>
      </c>
      <c r="AG303" t="str">
        <f t="shared" si="263"/>
        <v>1+7.96431481462631i</v>
      </c>
      <c r="AH303">
        <f t="shared" si="281"/>
        <v>8.0268493486844594</v>
      </c>
      <c r="AI303">
        <f t="shared" si="282"/>
        <v>1.4458899075821634</v>
      </c>
      <c r="AJ303" t="str">
        <f t="shared" si="264"/>
        <v>1+0.167250611107152i</v>
      </c>
      <c r="AK303">
        <f t="shared" si="283"/>
        <v>1.0138899185393431</v>
      </c>
      <c r="AL303">
        <f t="shared" si="284"/>
        <v>0.16571678571553961</v>
      </c>
      <c r="AM303" t="str">
        <f t="shared" si="265"/>
        <v>1-0.0203029548891648i</v>
      </c>
      <c r="AN303">
        <f t="shared" si="285"/>
        <v>1.0002060837533591</v>
      </c>
      <c r="AO303">
        <f t="shared" si="286"/>
        <v>-2.030016588540122E-2</v>
      </c>
      <c r="AP303" s="41" t="str">
        <f t="shared" si="287"/>
        <v>2.34652852316449-8.46798320190555i</v>
      </c>
      <c r="AQ303">
        <f t="shared" si="288"/>
        <v>18.876900645431146</v>
      </c>
      <c r="AR303" s="43">
        <f t="shared" si="289"/>
        <v>-74.511630757693268</v>
      </c>
      <c r="AS303" t="str">
        <f t="shared" si="266"/>
        <v>-0.0000166666666666667</v>
      </c>
      <c r="AT303" t="str">
        <f t="shared" si="267"/>
        <v>0.000151237254724553i</v>
      </c>
      <c r="AU303">
        <f t="shared" si="290"/>
        <v>1.51237254724553E-4</v>
      </c>
      <c r="AV303">
        <f t="shared" si="291"/>
        <v>1.5707963267948966</v>
      </c>
      <c r="AW303" t="str">
        <f t="shared" si="268"/>
        <v>1+0.153696822534952i</v>
      </c>
      <c r="AX303">
        <f t="shared" si="292"/>
        <v>1.0117424144797631</v>
      </c>
      <c r="AY303">
        <f t="shared" si="293"/>
        <v>0.15250344655817291</v>
      </c>
      <c r="AZ303" t="str">
        <f t="shared" si="269"/>
        <v>1+5.22569196618837i</v>
      </c>
      <c r="BA303">
        <f t="shared" si="294"/>
        <v>5.3205128066273524</v>
      </c>
      <c r="BB303">
        <f t="shared" si="295"/>
        <v>1.3817199550205868</v>
      </c>
      <c r="BC303" s="41" t="str">
        <f t="shared" si="296"/>
        <v>-0.546045559012211+0.194127591168519i</v>
      </c>
      <c r="BD303">
        <f t="shared" si="297"/>
        <v>-4.7385299971340515</v>
      </c>
      <c r="BE303" s="43">
        <f t="shared" si="298"/>
        <v>160.42891804270326</v>
      </c>
      <c r="BF303" s="41" t="str">
        <f t="shared" si="299"/>
        <v>0.263456582074939+1.08939461175159i</v>
      </c>
      <c r="BG303" s="20">
        <f t="shared" si="300"/>
        <v>0.99055328648941421</v>
      </c>
      <c r="BH303" s="43">
        <f t="shared" si="301"/>
        <v>76.404755630750287</v>
      </c>
      <c r="BI303" s="41" t="str">
        <f t="shared" si="255"/>
        <v>0.362557701871955+5.07943055100067i</v>
      </c>
      <c r="BJ303" s="20">
        <f t="shared" si="302"/>
        <v>14.138370648297089</v>
      </c>
      <c r="BK303" s="43">
        <f t="shared" si="256"/>
        <v>85.917287285010005</v>
      </c>
      <c r="BL303">
        <f t="shared" si="303"/>
        <v>0.99055328648941421</v>
      </c>
      <c r="BM303" s="43">
        <f t="shared" si="304"/>
        <v>76.404755630750287</v>
      </c>
    </row>
    <row r="304" spans="14:65" x14ac:dyDescent="0.25">
      <c r="N304" s="9">
        <v>86</v>
      </c>
      <c r="O304" s="34">
        <f t="shared" si="305"/>
        <v>7244.3596007499036</v>
      </c>
      <c r="P304" s="33" t="str">
        <f t="shared" si="257"/>
        <v>19.1021967526266</v>
      </c>
      <c r="Q304" s="4" t="str">
        <f t="shared" si="258"/>
        <v>1+10.2164743493686i</v>
      </c>
      <c r="R304" s="4">
        <f t="shared" si="270"/>
        <v>10.26529824853163</v>
      </c>
      <c r="S304" s="4">
        <f t="shared" si="271"/>
        <v>1.4732260077491073</v>
      </c>
      <c r="T304" s="4" t="str">
        <f t="shared" si="259"/>
        <v>1+0.171146378300623i</v>
      </c>
      <c r="U304" s="4">
        <f t="shared" si="272"/>
        <v>1.0145398379587762</v>
      </c>
      <c r="V304" s="4">
        <f t="shared" si="273"/>
        <v>0.16950412423055686</v>
      </c>
      <c r="W304" t="str">
        <f t="shared" si="260"/>
        <v>1-0.0948284454236608i</v>
      </c>
      <c r="X304" s="4">
        <f t="shared" si="274"/>
        <v>1.0044861542407979</v>
      </c>
      <c r="Y304" s="4">
        <f t="shared" si="275"/>
        <v>-9.4545723099384277E-2</v>
      </c>
      <c r="Z304" t="str">
        <f t="shared" si="261"/>
        <v>0.999947519253975+0.0705523633952036i</v>
      </c>
      <c r="AA304" s="4">
        <f t="shared" si="276"/>
        <v>1.0024333779572723</v>
      </c>
      <c r="AB304" s="4">
        <f t="shared" si="277"/>
        <v>7.0439334936609671E-2</v>
      </c>
      <c r="AC304" s="47" t="str">
        <f t="shared" si="278"/>
        <v>0.192794758438249-1.88192442893289i</v>
      </c>
      <c r="AD304" s="20">
        <f t="shared" si="279"/>
        <v>5.5373856635623389</v>
      </c>
      <c r="AE304" s="43">
        <f t="shared" si="280"/>
        <v>-84.150709092642657</v>
      </c>
      <c r="AF304" t="str">
        <f t="shared" si="262"/>
        <v>69.5520360182888</v>
      </c>
      <c r="AG304" t="str">
        <f t="shared" si="263"/>
        <v>1+8.14982753812491i</v>
      </c>
      <c r="AH304">
        <f t="shared" si="281"/>
        <v>8.2109493300823093</v>
      </c>
      <c r="AI304">
        <f t="shared" si="282"/>
        <v>1.4487046314166503</v>
      </c>
      <c r="AJ304" t="str">
        <f t="shared" si="264"/>
        <v>1+0.171146378300623i</v>
      </c>
      <c r="AK304">
        <f t="shared" si="283"/>
        <v>1.0145398379587762</v>
      </c>
      <c r="AL304">
        <f t="shared" si="284"/>
        <v>0.16950412423055686</v>
      </c>
      <c r="AM304" t="str">
        <f t="shared" si="265"/>
        <v>1-0.0207758714606747i</v>
      </c>
      <c r="AN304">
        <f t="shared" si="285"/>
        <v>1.0002157951337054</v>
      </c>
      <c r="AO304">
        <f t="shared" si="286"/>
        <v>-2.0772883024121232E-2</v>
      </c>
      <c r="AP304" s="41" t="str">
        <f t="shared" si="287"/>
        <v>2.29954969485942-8.28235852063166i</v>
      </c>
      <c r="AQ304">
        <f t="shared" si="288"/>
        <v>18.685585786655459</v>
      </c>
      <c r="AR304" s="43">
        <f t="shared" si="289"/>
        <v>-74.482988738358628</v>
      </c>
      <c r="AS304" t="str">
        <f t="shared" si="266"/>
        <v>-0.0000166666666666667</v>
      </c>
      <c r="AT304" t="str">
        <f t="shared" si="267"/>
        <v>0.000154760022931414i</v>
      </c>
      <c r="AU304">
        <f t="shared" si="290"/>
        <v>1.54760022931414E-4</v>
      </c>
      <c r="AV304">
        <f t="shared" si="291"/>
        <v>1.5707963267948966</v>
      </c>
      <c r="AW304" t="str">
        <f t="shared" si="268"/>
        <v>1+0.157276881435835i</v>
      </c>
      <c r="AX304">
        <f t="shared" si="292"/>
        <v>1.0122924564740081</v>
      </c>
      <c r="AY304">
        <f t="shared" si="293"/>
        <v>0.15599899317970153</v>
      </c>
      <c r="AZ304" t="str">
        <f t="shared" si="269"/>
        <v>1+5.3474139688184i</v>
      </c>
      <c r="BA304">
        <f t="shared" si="294"/>
        <v>5.4401136159012475</v>
      </c>
      <c r="BB304">
        <f t="shared" si="295"/>
        <v>1.3859253704739174</v>
      </c>
      <c r="BC304" s="41" t="str">
        <f t="shared" si="296"/>
        <v>-0.545452318615418+0.193480656838789i</v>
      </c>
      <c r="BD304">
        <f t="shared" si="297"/>
        <v>-4.7501613270348724</v>
      </c>
      <c r="BE304" s="43">
        <f t="shared" si="298"/>
        <v>160.46959053077344</v>
      </c>
      <c r="BF304" s="41" t="str">
        <f t="shared" si="299"/>
        <v>0.258955626623856+1.06380209971815i</v>
      </c>
      <c r="BG304" s="20">
        <f t="shared" si="300"/>
        <v>0.78722433652747159</v>
      </c>
      <c r="BH304" s="43">
        <f t="shared" si="301"/>
        <v>76.318881438130816</v>
      </c>
      <c r="BI304" s="41" t="str">
        <f t="shared" si="255"/>
        <v>0.348181453913707+4.96255004407754i</v>
      </c>
      <c r="BJ304" s="20">
        <f t="shared" si="302"/>
        <v>13.935424459620585</v>
      </c>
      <c r="BK304" s="43">
        <f t="shared" si="256"/>
        <v>85.986601792414831</v>
      </c>
      <c r="BL304">
        <f t="shared" si="303"/>
        <v>0.78722433652747159</v>
      </c>
      <c r="BM304" s="43">
        <f t="shared" si="304"/>
        <v>76.318881438130816</v>
      </c>
    </row>
    <row r="305" spans="14:65" x14ac:dyDescent="0.25">
      <c r="N305" s="9">
        <v>87</v>
      </c>
      <c r="O305" s="34">
        <f t="shared" si="305"/>
        <v>7413.1024130091773</v>
      </c>
      <c r="P305" s="33" t="str">
        <f t="shared" si="257"/>
        <v>19.1021967526266</v>
      </c>
      <c r="Q305" s="4" t="str">
        <f t="shared" si="258"/>
        <v>1+10.454446607525i</v>
      </c>
      <c r="R305" s="4">
        <f t="shared" si="270"/>
        <v>10.50216424693458</v>
      </c>
      <c r="S305" s="4">
        <f t="shared" si="271"/>
        <v>1.4754333836987565</v>
      </c>
      <c r="T305" s="4" t="str">
        <f t="shared" si="259"/>
        <v>1+0.175132889569258i</v>
      </c>
      <c r="U305" s="4">
        <f t="shared" si="272"/>
        <v>1.0152199411993825</v>
      </c>
      <c r="V305" s="4">
        <f t="shared" si="273"/>
        <v>0.17337460430074328</v>
      </c>
      <c r="W305" t="str">
        <f t="shared" si="260"/>
        <v>1-0.09703728367091i</v>
      </c>
      <c r="X305" s="4">
        <f t="shared" si="274"/>
        <v>1.0046970859031237</v>
      </c>
      <c r="Y305" s="4">
        <f t="shared" si="275"/>
        <v>-9.6734417682359866E-2</v>
      </c>
      <c r="Z305" t="str">
        <f t="shared" si="261"/>
        <v>0.999945045912614+0.072195739051157i</v>
      </c>
      <c r="AA305" s="4">
        <f t="shared" si="276"/>
        <v>1.0025479138586457</v>
      </c>
      <c r="AB305" s="4">
        <f t="shared" si="277"/>
        <v>7.2074643491467541E-2</v>
      </c>
      <c r="AC305" s="47" t="str">
        <f t="shared" si="278"/>
        <v>0.184612426712131-1.84129200075615i</v>
      </c>
      <c r="AD305" s="20">
        <f t="shared" si="279"/>
        <v>5.3458930512771055</v>
      </c>
      <c r="AE305" s="43">
        <f t="shared" si="280"/>
        <v>-84.274519486287716</v>
      </c>
      <c r="AF305" t="str">
        <f t="shared" si="262"/>
        <v>69.5520360182888</v>
      </c>
      <c r="AG305" t="str">
        <f t="shared" si="263"/>
        <v>1+8.33966140805993i</v>
      </c>
      <c r="AH305">
        <f t="shared" si="281"/>
        <v>8.3994019073434121</v>
      </c>
      <c r="AI305">
        <f t="shared" si="282"/>
        <v>1.4514571642940943</v>
      </c>
      <c r="AJ305" t="str">
        <f t="shared" si="264"/>
        <v>1+0.175132889569258i</v>
      </c>
      <c r="AK305">
        <f t="shared" si="283"/>
        <v>1.0152199411993825</v>
      </c>
      <c r="AL305">
        <f t="shared" si="284"/>
        <v>0.17337460430074328</v>
      </c>
      <c r="AM305" t="str">
        <f t="shared" si="265"/>
        <v>1-0.0212598036742341i</v>
      </c>
      <c r="AN305">
        <f t="shared" si="285"/>
        <v>1.0002259640962472</v>
      </c>
      <c r="AO305">
        <f t="shared" si="286"/>
        <v>-2.1256601545843936E-2</v>
      </c>
      <c r="AP305" s="41" t="str">
        <f t="shared" si="287"/>
        <v>2.25462390929379-8.10061359361075i</v>
      </c>
      <c r="AQ305">
        <f t="shared" si="288"/>
        <v>18.494394975501898</v>
      </c>
      <c r="AR305" s="43">
        <f t="shared" si="289"/>
        <v>-74.446650112263029</v>
      </c>
      <c r="AS305" t="str">
        <f t="shared" si="266"/>
        <v>-0.0000166666666666667</v>
      </c>
      <c r="AT305" t="str">
        <f t="shared" si="267"/>
        <v>0.000158364846950925i</v>
      </c>
      <c r="AU305">
        <f t="shared" si="290"/>
        <v>1.5836484695092501E-4</v>
      </c>
      <c r="AV305">
        <f t="shared" si="291"/>
        <v>1.5707963267948966</v>
      </c>
      <c r="AW305" t="str">
        <f t="shared" si="268"/>
        <v>1+0.160940330621061i</v>
      </c>
      <c r="AX305">
        <f t="shared" si="292"/>
        <v>1.0128681009985536</v>
      </c>
      <c r="AY305">
        <f t="shared" si="293"/>
        <v>0.15957198647834814</v>
      </c>
      <c r="AZ305" t="str">
        <f t="shared" si="269"/>
        <v>1+5.47197124111608i</v>
      </c>
      <c r="BA305">
        <f t="shared" si="294"/>
        <v>5.562595550963727</v>
      </c>
      <c r="BB305">
        <f t="shared" si="295"/>
        <v>1.390041460464414</v>
      </c>
      <c r="BC305" s="41" t="str">
        <f t="shared" si="296"/>
        <v>-0.544832499675313+0.192927733813175i</v>
      </c>
      <c r="BD305">
        <f t="shared" si="297"/>
        <v>-4.7617089094145753</v>
      </c>
      <c r="BE305" s="43">
        <f t="shared" si="298"/>
        <v>160.50070767908394</v>
      </c>
      <c r="BF305" s="41" t="str">
        <f t="shared" si="299"/>
        <v>0.254653443077515+1.03881258052345i</v>
      </c>
      <c r="BG305" s="20">
        <f t="shared" si="300"/>
        <v>0.58418414186250101</v>
      </c>
      <c r="BH305" s="43">
        <f t="shared" si="301"/>
        <v>76.226188192796215</v>
      </c>
      <c r="BI305" s="41" t="str">
        <f t="shared" si="255"/>
        <v>0.33444064278326+4.84845703453182i</v>
      </c>
      <c r="BJ305" s="20">
        <f t="shared" si="302"/>
        <v>13.732686066087325</v>
      </c>
      <c r="BK305" s="43">
        <f t="shared" si="256"/>
        <v>86.054057566820944</v>
      </c>
      <c r="BL305">
        <f t="shared" si="303"/>
        <v>0.58418414186250101</v>
      </c>
      <c r="BM305" s="43">
        <f t="shared" si="304"/>
        <v>76.226188192796215</v>
      </c>
    </row>
    <row r="306" spans="14:65" x14ac:dyDescent="0.25">
      <c r="N306" s="9">
        <v>88</v>
      </c>
      <c r="O306" s="34">
        <f t="shared" si="305"/>
        <v>7585.7757502918394</v>
      </c>
      <c r="P306" s="33" t="str">
        <f t="shared" si="257"/>
        <v>19.1021967526266</v>
      </c>
      <c r="Q306" s="4" t="str">
        <f t="shared" si="258"/>
        <v>1+10.6979619516536i</v>
      </c>
      <c r="R306" s="4">
        <f t="shared" si="270"/>
        <v>10.744598173921077</v>
      </c>
      <c r="S306" s="4">
        <f t="shared" si="271"/>
        <v>1.4775914147251397</v>
      </c>
      <c r="T306" s="4" t="str">
        <f t="shared" si="259"/>
        <v>1+0.179212258614101i</v>
      </c>
      <c r="U306" s="4">
        <f t="shared" si="272"/>
        <v>1.0159316087402575</v>
      </c>
      <c r="V306" s="4">
        <f t="shared" si="273"/>
        <v>0.17732981401674797</v>
      </c>
      <c r="W306" t="str">
        <f t="shared" si="260"/>
        <v>1-0.0992975723704019i</v>
      </c>
      <c r="X306" s="4">
        <f t="shared" si="274"/>
        <v>1.0049179110149522</v>
      </c>
      <c r="Y306" s="4">
        <f t="shared" si="275"/>
        <v>-9.8973131331102929E-2</v>
      </c>
      <c r="Z306" t="str">
        <f t="shared" si="261"/>
        <v>0.999942456006266+0.073877393843579i</v>
      </c>
      <c r="AA306" s="4">
        <f t="shared" si="276"/>
        <v>1.0026678336542778</v>
      </c>
      <c r="AB306" s="4">
        <f t="shared" si="277"/>
        <v>7.3747656250525012E-2</v>
      </c>
      <c r="AC306" s="47" t="str">
        <f t="shared" si="278"/>
        <v>0.17678243608983-1.80156618036467i</v>
      </c>
      <c r="AD306" s="20">
        <f t="shared" si="279"/>
        <v>5.1546222512132678</v>
      </c>
      <c r="AE306" s="43">
        <f t="shared" si="280"/>
        <v>-84.395674146118367</v>
      </c>
      <c r="AF306" t="str">
        <f t="shared" si="262"/>
        <v>69.5520360182888</v>
      </c>
      <c r="AG306" t="str">
        <f t="shared" si="263"/>
        <v>1+8.53391707686197i</v>
      </c>
      <c r="AH306">
        <f t="shared" si="281"/>
        <v>8.5923070635747401</v>
      </c>
      <c r="AI306">
        <f t="shared" si="282"/>
        <v>1.4541487987191992</v>
      </c>
      <c r="AJ306" t="str">
        <f t="shared" si="264"/>
        <v>1+0.179212258614101i</v>
      </c>
      <c r="AK306">
        <f t="shared" si="283"/>
        <v>1.0159316087402575</v>
      </c>
      <c r="AL306">
        <f t="shared" si="284"/>
        <v>0.17732981401674797</v>
      </c>
      <c r="AM306" t="str">
        <f t="shared" si="265"/>
        <v>1-0.0217550081171084i</v>
      </c>
      <c r="AN306">
        <f t="shared" si="285"/>
        <v>1.0002366121964219</v>
      </c>
      <c r="AO306">
        <f t="shared" si="286"/>
        <v>-2.1751577018555724E-2</v>
      </c>
      <c r="AP306" s="41" t="str">
        <f t="shared" si="287"/>
        <v>2.21166405042108-7.92268525026254i</v>
      </c>
      <c r="AQ306">
        <f t="shared" si="288"/>
        <v>18.303345574035571</v>
      </c>
      <c r="AR306" s="43">
        <f t="shared" si="289"/>
        <v>-74.402612586546226</v>
      </c>
      <c r="AS306" t="str">
        <f t="shared" si="266"/>
        <v>-0.0000166666666666667</v>
      </c>
      <c r="AT306" t="str">
        <f t="shared" si="267"/>
        <v>0.000162053638108496i</v>
      </c>
      <c r="AU306">
        <f t="shared" si="290"/>
        <v>1.62053638108496E-4</v>
      </c>
      <c r="AV306">
        <f t="shared" si="291"/>
        <v>1.5707963267948966</v>
      </c>
      <c r="AW306" t="str">
        <f t="shared" si="268"/>
        <v>1+0.16468911249988i</v>
      </c>
      <c r="AX306">
        <f t="shared" si="292"/>
        <v>1.0134705243745366</v>
      </c>
      <c r="AY306">
        <f t="shared" si="293"/>
        <v>0.16322395580543034</v>
      </c>
      <c r="AZ306" t="str">
        <f t="shared" si="269"/>
        <v>1+5.59942982499591i</v>
      </c>
      <c r="BA306">
        <f t="shared" si="294"/>
        <v>5.6880237662173769</v>
      </c>
      <c r="BB306">
        <f t="shared" si="295"/>
        <v>1.3940698492394126</v>
      </c>
      <c r="BC306" s="41" t="str">
        <f t="shared" si="296"/>
        <v>-0.544184977569238+0.19246794697471i</v>
      </c>
      <c r="BD306">
        <f t="shared" si="297"/>
        <v>-4.7731951141337241</v>
      </c>
      <c r="BE306" s="43">
        <f t="shared" si="298"/>
        <v>160.52227492477624</v>
      </c>
      <c r="BF306" s="41" t="str">
        <f t="shared" si="299"/>
        <v>0.250541398055679+1.01441020398664i</v>
      </c>
      <c r="BG306" s="20">
        <f t="shared" si="300"/>
        <v>0.38142713707951614</v>
      </c>
      <c r="BH306" s="43">
        <f t="shared" si="301"/>
        <v>76.126600778657846</v>
      </c>
      <c r="BI306" s="41" t="str">
        <f t="shared" ref="BI306:BI369" si="306">IMPRODUCT(AP306,BC306)</f>
        <v>0.321308612975762+4.73708073438457i</v>
      </c>
      <c r="BJ306" s="20">
        <f t="shared" si="302"/>
        <v>13.530150459901849</v>
      </c>
      <c r="BK306" s="43">
        <f t="shared" ref="BK306:BK369" si="307">(180/PI())*IMARGUMENT(BI306)</f>
        <v>86.119662338230029</v>
      </c>
      <c r="BL306">
        <f t="shared" si="303"/>
        <v>0.38142713707951614</v>
      </c>
      <c r="BM306" s="43">
        <f t="shared" si="304"/>
        <v>76.126600778657846</v>
      </c>
    </row>
    <row r="307" spans="14:65" x14ac:dyDescent="0.25">
      <c r="N307" s="9">
        <v>89</v>
      </c>
      <c r="O307" s="34">
        <f t="shared" si="305"/>
        <v>7762.4711662869322</v>
      </c>
      <c r="P307" s="33" t="str">
        <f t="shared" si="257"/>
        <v>19.1021967526266</v>
      </c>
      <c r="Q307" s="4" t="str">
        <f t="shared" si="258"/>
        <v>1+10.9471494968133i</v>
      </c>
      <c r="R307" s="4">
        <f t="shared" si="270"/>
        <v>10.992728601470143</v>
      </c>
      <c r="S307" s="4">
        <f t="shared" si="271"/>
        <v>1.4797011645992622</v>
      </c>
      <c r="T307" s="4" t="str">
        <f t="shared" si="259"/>
        <v>1+0.183386648370616i</v>
      </c>
      <c r="U307" s="4">
        <f t="shared" si="272"/>
        <v>1.0166762822061937</v>
      </c>
      <c r="V307" s="4">
        <f t="shared" si="273"/>
        <v>0.18137135524508724</v>
      </c>
      <c r="W307" t="str">
        <f t="shared" si="260"/>
        <v>1-0.101610509957123i</v>
      </c>
      <c r="X307" s="4">
        <f t="shared" si="274"/>
        <v>1.0051490912962846</v>
      </c>
      <c r="Y307" s="4">
        <f t="shared" si="275"/>
        <v>-0.10126296123133069</v>
      </c>
      <c r="Z307" t="str">
        <f t="shared" si="261"/>
        <v>0.999939744041393+0.0755982194080997i</v>
      </c>
      <c r="AA307" s="4">
        <f t="shared" si="276"/>
        <v>1.0027933897325219</v>
      </c>
      <c r="AB307" s="4">
        <f t="shared" si="277"/>
        <v>7.5459223976193562E-2</v>
      </c>
      <c r="AC307" s="47" t="str">
        <f t="shared" si="278"/>
        <v>0.1692890492195-1.76273038057713i</v>
      </c>
      <c r="AD307" s="20">
        <f t="shared" si="279"/>
        <v>4.9635904429152085</v>
      </c>
      <c r="AE307" s="43">
        <f t="shared" si="280"/>
        <v>-84.514253850739436</v>
      </c>
      <c r="AF307" t="str">
        <f t="shared" si="262"/>
        <v>69.5520360182888</v>
      </c>
      <c r="AG307" t="str">
        <f t="shared" si="263"/>
        <v>1+8.73269754145792i</v>
      </c>
      <c r="AH307">
        <f t="shared" si="281"/>
        <v>8.7897671385870755</v>
      </c>
      <c r="AI307">
        <f t="shared" si="282"/>
        <v>1.4567808057433074</v>
      </c>
      <c r="AJ307" t="str">
        <f t="shared" si="264"/>
        <v>1+0.183386648370616i</v>
      </c>
      <c r="AK307">
        <f t="shared" si="283"/>
        <v>1.0166762822061937</v>
      </c>
      <c r="AL307">
        <f t="shared" si="284"/>
        <v>0.18137135524508724</v>
      </c>
      <c r="AM307" t="str">
        <f t="shared" si="265"/>
        <v>1-0.0222617473532479i</v>
      </c>
      <c r="AN307">
        <f t="shared" si="285"/>
        <v>1.0002477620046044</v>
      </c>
      <c r="AO307">
        <f t="shared" si="286"/>
        <v>-2.2258070914092952E-2</v>
      </c>
      <c r="AP307" s="41" t="str">
        <f t="shared" si="287"/>
        <v>2.17058647217636-7.7485102300931i</v>
      </c>
      <c r="AQ307">
        <f t="shared" si="288"/>
        <v>18.112455169325784</v>
      </c>
      <c r="AR307" s="43">
        <f t="shared" si="289"/>
        <v>-74.350872188127923</v>
      </c>
      <c r="AS307" t="str">
        <f t="shared" si="266"/>
        <v>-0.0000166666666666667</v>
      </c>
      <c r="AT307" t="str">
        <f t="shared" si="267"/>
        <v>0.000165828352250025i</v>
      </c>
      <c r="AU307">
        <f t="shared" si="290"/>
        <v>1.6582835225002499E-4</v>
      </c>
      <c r="AV307">
        <f t="shared" si="291"/>
        <v>1.5707963267948966</v>
      </c>
      <c r="AW307" t="str">
        <f t="shared" si="268"/>
        <v>1+0.168525214726064i</v>
      </c>
      <c r="AX307">
        <f t="shared" si="292"/>
        <v>1.0141009555258618</v>
      </c>
      <c r="AY307">
        <f t="shared" si="293"/>
        <v>0.16695644763856407</v>
      </c>
      <c r="AZ307" t="str">
        <f t="shared" si="269"/>
        <v>1+5.72985730068617i</v>
      </c>
      <c r="BA307">
        <f t="shared" si="294"/>
        <v>5.8164649647553626</v>
      </c>
      <c r="BB307">
        <f t="shared" si="295"/>
        <v>1.3980121494671396</v>
      </c>
      <c r="BC307" s="41" t="str">
        <f t="shared" si="296"/>
        <v>-0.543508586284144+0.192100432624622i</v>
      </c>
      <c r="BD307">
        <f t="shared" si="297"/>
        <v>-4.7846422245596223</v>
      </c>
      <c r="BE307" s="43">
        <f t="shared" si="298"/>
        <v>160.53429606029295</v>
      </c>
      <c r="BF307" s="41" t="str">
        <f t="shared" si="299"/>
        <v>0.246611216894754+0.990579596741264i</v>
      </c>
      <c r="BG307" s="20">
        <f t="shared" si="300"/>
        <v>0.17894821835558772</v>
      </c>
      <c r="BH307" s="43">
        <f t="shared" si="301"/>
        <v>76.020042209553495</v>
      </c>
      <c r="BI307" s="41" t="str">
        <f t="shared" si="306"/>
        <v>0.308759782497133+4.62835244132036i</v>
      </c>
      <c r="BJ307" s="20">
        <f t="shared" si="302"/>
        <v>13.327812944766166</v>
      </c>
      <c r="BK307" s="43">
        <f t="shared" si="307"/>
        <v>86.183423872165037</v>
      </c>
      <c r="BL307">
        <f t="shared" si="303"/>
        <v>0.17894821835558772</v>
      </c>
      <c r="BM307" s="43">
        <f t="shared" si="304"/>
        <v>76.020042209553495</v>
      </c>
    </row>
    <row r="308" spans="14:65" x14ac:dyDescent="0.25">
      <c r="N308" s="9">
        <v>90</v>
      </c>
      <c r="O308" s="34">
        <f t="shared" si="305"/>
        <v>7943.2823472428154</v>
      </c>
      <c r="P308" s="33" t="str">
        <f t="shared" si="257"/>
        <v>19.1021967526266</v>
      </c>
      <c r="Q308" s="4" t="str">
        <f t="shared" si="258"/>
        <v>1+11.2021413655388i</v>
      </c>
      <c r="R308" s="4">
        <f t="shared" si="270"/>
        <v>11.246687119926273</v>
      </c>
      <c r="S308" s="4">
        <f t="shared" si="271"/>
        <v>1.4817636767722209</v>
      </c>
      <c r="T308" s="4" t="str">
        <f t="shared" si="259"/>
        <v>1+0.187658272155506i</v>
      </c>
      <c r="U308" s="4">
        <f t="shared" si="272"/>
        <v>1.0174554668919864</v>
      </c>
      <c r="V308" s="4">
        <f t="shared" si="273"/>
        <v>0.18550084248610937</v>
      </c>
      <c r="W308" t="str">
        <f t="shared" si="260"/>
        <v>1-0.103977322781198i</v>
      </c>
      <c r="X308" s="4">
        <f t="shared" si="274"/>
        <v>1.0053911097939674</v>
      </c>
      <c r="Y308" s="4">
        <f t="shared" si="275"/>
        <v>-0.10360502537800068</v>
      </c>
      <c r="Z308" t="str">
        <f t="shared" si="261"/>
        <v>0.999936904265552+0.0773591281492112i</v>
      </c>
      <c r="AA308" s="4">
        <f t="shared" si="276"/>
        <v>1.0029248462473057</v>
      </c>
      <c r="AB308" s="4">
        <f t="shared" si="277"/>
        <v>7.7210215306293864E-2</v>
      </c>
      <c r="AC308" s="47" t="str">
        <f t="shared" si="278"/>
        <v>0.162117168649413-1.72476818911902i</v>
      </c>
      <c r="AD308" s="20">
        <f t="shared" si="279"/>
        <v>4.7728152071455971</v>
      </c>
      <c r="AE308" s="43">
        <f t="shared" si="280"/>
        <v>-84.630339707112469</v>
      </c>
      <c r="AF308" t="str">
        <f t="shared" si="262"/>
        <v>69.5520360182888</v>
      </c>
      <c r="AG308" t="str">
        <f t="shared" si="263"/>
        <v>1+8.93610819788124i</v>
      </c>
      <c r="AH308">
        <f t="shared" si="281"/>
        <v>8.9918868834210937</v>
      </c>
      <c r="AI308">
        <f t="shared" si="282"/>
        <v>1.4593544349476304</v>
      </c>
      <c r="AJ308" t="str">
        <f t="shared" si="264"/>
        <v>1+0.187658272155506i</v>
      </c>
      <c r="AK308">
        <f t="shared" si="283"/>
        <v>1.0174554668919864</v>
      </c>
      <c r="AL308">
        <f t="shared" si="284"/>
        <v>0.18550084248610937</v>
      </c>
      <c r="AM308" t="str">
        <f t="shared" si="265"/>
        <v>1-0.0227802900625032i</v>
      </c>
      <c r="AN308">
        <f t="shared" si="285"/>
        <v>1.0002594371538476</v>
      </c>
      <c r="AO308">
        <f t="shared" si="286"/>
        <v>-2.277635074215591E-2</v>
      </c>
      <c r="AP308" s="41" t="str">
        <f t="shared" si="287"/>
        <v>2.13131088018047-7.57802527945887i</v>
      </c>
      <c r="AQ308">
        <f t="shared" si="288"/>
        <v>17.921741599946735</v>
      </c>
      <c r="AR308" s="43">
        <f t="shared" si="289"/>
        <v>-74.29142333585834</v>
      </c>
      <c r="AS308" t="str">
        <f t="shared" si="266"/>
        <v>-0.0000166666666666667</v>
      </c>
      <c r="AT308" t="str">
        <f t="shared" si="267"/>
        <v>0.000169690990778915i</v>
      </c>
      <c r="AU308">
        <f t="shared" si="290"/>
        <v>1.69690990778915E-4</v>
      </c>
      <c r="AV308">
        <f t="shared" si="291"/>
        <v>1.5707963267948966</v>
      </c>
      <c r="AW308" t="str">
        <f t="shared" si="268"/>
        <v>1+0.17245067125179i</v>
      </c>
      <c r="AX308">
        <f t="shared" si="292"/>
        <v>1.0147606781971761</v>
      </c>
      <c r="AY308">
        <f t="shared" si="293"/>
        <v>0.17077102479079836</v>
      </c>
      <c r="AZ308" t="str">
        <f t="shared" si="269"/>
        <v>1+5.86332282256086i</v>
      </c>
      <c r="BA308">
        <f t="shared" si="294"/>
        <v>5.9479874345498613</v>
      </c>
      <c r="BB308">
        <f t="shared" si="295"/>
        <v>1.4018699610025214</v>
      </c>
      <c r="BC308" s="41" t="str">
        <f t="shared" si="296"/>
        <v>-0.542802117482449+0.191824335728037i</v>
      </c>
      <c r="BD308">
        <f t="shared" si="297"/>
        <v>-4.7960724688575205</v>
      </c>
      <c r="BE308" s="43">
        <f t="shared" si="298"/>
        <v>160.53677320797703</v>
      </c>
      <c r="BF308" s="41" t="str">
        <f t="shared" si="299"/>
        <v>0.242854969739445+0.967305843406457i</v>
      </c>
      <c r="BG308" s="20">
        <f t="shared" si="300"/>
        <v>-2.3257261711922633E-2</v>
      </c>
      <c r="BH308" s="43">
        <f t="shared" si="301"/>
        <v>75.906433500864537</v>
      </c>
      <c r="BI308" s="41" t="str">
        <f t="shared" si="306"/>
        <v>0.296769606587129+4.52220546184636i</v>
      </c>
      <c r="BJ308" s="20">
        <f t="shared" si="302"/>
        <v>13.125669131089218</v>
      </c>
      <c r="BK308" s="43">
        <f t="shared" si="307"/>
        <v>86.245349872118695</v>
      </c>
      <c r="BL308">
        <f t="shared" si="303"/>
        <v>-2.3257261711922633E-2</v>
      </c>
      <c r="BM308" s="43">
        <f t="shared" si="304"/>
        <v>75.906433500864537</v>
      </c>
    </row>
    <row r="309" spans="14:65" x14ac:dyDescent="0.25">
      <c r="N309" s="9">
        <v>91</v>
      </c>
      <c r="O309" s="34">
        <f t="shared" si="305"/>
        <v>8128.3051616410066</v>
      </c>
      <c r="P309" s="33" t="str">
        <f t="shared" si="257"/>
        <v>19.1021967526266</v>
      </c>
      <c r="Q309" s="4" t="str">
        <f t="shared" si="258"/>
        <v>1+11.4630727578943i</v>
      </c>
      <c r="R309" s="4">
        <f t="shared" si="270"/>
        <v>11.506608407901021</v>
      </c>
      <c r="S309" s="4">
        <f t="shared" si="271"/>
        <v>1.4837799745857456</v>
      </c>
      <c r="T309" s="4" t="str">
        <f t="shared" si="259"/>
        <v>1+0.192029394840244i</v>
      </c>
      <c r="U309" s="4">
        <f t="shared" si="272"/>
        <v>1.0182707343740713</v>
      </c>
      <c r="V309" s="4">
        <f t="shared" si="273"/>
        <v>0.18971990162294192</v>
      </c>
      <c r="W309" t="str">
        <f t="shared" si="260"/>
        <v>1-0.106399265758114i</v>
      </c>
      <c r="X309" s="4">
        <f t="shared" si="274"/>
        <v>1.0056444718457243</v>
      </c>
      <c r="Y309" s="4">
        <f t="shared" si="275"/>
        <v>-0.1060004627335706</v>
      </c>
      <c r="Z309" t="str">
        <f t="shared" si="261"/>
        <v>0.999933930655199+0.0791610537240369i</v>
      </c>
      <c r="AA309" s="4">
        <f t="shared" si="276"/>
        <v>1.0030624796602932</v>
      </c>
      <c r="AB309" s="4">
        <f t="shared" si="277"/>
        <v>7.9001517034486782E-2</v>
      </c>
      <c r="AC309" s="47" t="str">
        <f t="shared" si="278"/>
        <v>0.155252311286415-1.68766337837117i</v>
      </c>
      <c r="AD309" s="20">
        <f t="shared" si="279"/>
        <v>4.5823145520966229</v>
      </c>
      <c r="AE309" s="43">
        <f t="shared" si="280"/>
        <v>-84.744013259434354</v>
      </c>
      <c r="AF309" t="str">
        <f t="shared" si="262"/>
        <v>69.5520360182888</v>
      </c>
      <c r="AG309" t="str">
        <f t="shared" si="263"/>
        <v>1+9.1442568971545i</v>
      </c>
      <c r="AH309">
        <f t="shared" si="281"/>
        <v>9.1987735161355975</v>
      </c>
      <c r="AI309">
        <f t="shared" si="282"/>
        <v>1.461870914457764</v>
      </c>
      <c r="AJ309" t="str">
        <f t="shared" si="264"/>
        <v>1+0.192029394840244i</v>
      </c>
      <c r="AK309">
        <f t="shared" si="283"/>
        <v>1.0182707343740713</v>
      </c>
      <c r="AL309">
        <f t="shared" si="284"/>
        <v>0.18971990162294192</v>
      </c>
      <c r="AM309" t="str">
        <f t="shared" si="265"/>
        <v>1-0.0233109111830825i</v>
      </c>
      <c r="AN309">
        <f t="shared" si="285"/>
        <v>1.0002716623898658</v>
      </c>
      <c r="AO309">
        <f t="shared" si="286"/>
        <v>-2.3306690187193724E-2</v>
      </c>
      <c r="AP309" s="41" t="str">
        <f t="shared" si="287"/>
        <v>2.09376021565967-7.41116724075965i</v>
      </c>
      <c r="AQ309">
        <f t="shared" si="288"/>
        <v>17.731222982408447</v>
      </c>
      <c r="AR309" s="43">
        <f t="shared" si="289"/>
        <v>-74.224258920873481</v>
      </c>
      <c r="AS309" t="str">
        <f t="shared" si="266"/>
        <v>-0.0000166666666666667</v>
      </c>
      <c r="AT309" t="str">
        <f t="shared" si="267"/>
        <v>0.000173643601717242i</v>
      </c>
      <c r="AU309">
        <f t="shared" si="290"/>
        <v>1.73643601717242E-4</v>
      </c>
      <c r="AV309">
        <f t="shared" si="291"/>
        <v>1.5707963267948966</v>
      </c>
      <c r="AW309" t="str">
        <f t="shared" si="268"/>
        <v>1+0.176467563406069i</v>
      </c>
      <c r="AX309">
        <f t="shared" si="292"/>
        <v>1.0154510332529456</v>
      </c>
      <c r="AY309">
        <f t="shared" si="293"/>
        <v>0.17466926553139878</v>
      </c>
      <c r="AZ309" t="str">
        <f t="shared" si="269"/>
        <v>1+5.99989715580636i</v>
      </c>
      <c r="BA309">
        <f t="shared" si="294"/>
        <v>6.08266108543401</v>
      </c>
      <c r="BB309">
        <f t="shared" si="295"/>
        <v>1.4056448697611117</v>
      </c>
      <c r="BC309" s="41" t="str">
        <f t="shared" si="296"/>
        <v>-0.542064319607619+0.191638807046594i</v>
      </c>
      <c r="BD309">
        <f t="shared" si="297"/>
        <v>-4.8075080513506885</v>
      </c>
      <c r="BE309" s="43">
        <f t="shared" si="298"/>
        <v>160.52970680592892</v>
      </c>
      <c r="BF309" s="41" t="str">
        <f t="shared" si="299"/>
        <v>0.239265058042295+0.944574468649619i</v>
      </c>
      <c r="BG309" s="20">
        <f t="shared" si="300"/>
        <v>-0.22519349925406409</v>
      </c>
      <c r="BH309" s="43">
        <f t="shared" si="301"/>
        <v>75.785693546494556</v>
      </c>
      <c r="BI309" s="41" t="str">
        <f t="shared" si="306"/>
        <v>0.285314542118916+4.41857503783129i</v>
      </c>
      <c r="BJ309" s="20">
        <f t="shared" si="302"/>
        <v>12.923714931057752</v>
      </c>
      <c r="BK309" s="43">
        <f t="shared" si="307"/>
        <v>86.305447885055443</v>
      </c>
      <c r="BL309">
        <f t="shared" si="303"/>
        <v>-0.22519349925406409</v>
      </c>
      <c r="BM309" s="43">
        <f t="shared" si="304"/>
        <v>75.785693546494556</v>
      </c>
    </row>
    <row r="310" spans="14:65" x14ac:dyDescent="0.25">
      <c r="N310" s="9">
        <v>92</v>
      </c>
      <c r="O310" s="34">
        <f t="shared" si="305"/>
        <v>8317.6377110267094</v>
      </c>
      <c r="P310" s="33" t="str">
        <f t="shared" si="257"/>
        <v>19.1021967526266</v>
      </c>
      <c r="Q310" s="4" t="str">
        <f t="shared" si="258"/>
        <v>1+11.7300820231576i</v>
      </c>
      <c r="R310" s="4">
        <f t="shared" si="270"/>
        <v>11.772630303802337</v>
      </c>
      <c r="S310" s="4">
        <f t="shared" si="271"/>
        <v>1.4857510614939091</v>
      </c>
      <c r="T310" s="4" t="str">
        <f t="shared" si="259"/>
        <v>1+0.196502334051936i</v>
      </c>
      <c r="U310" s="4">
        <f t="shared" si="272"/>
        <v>1.0191237252109573</v>
      </c>
      <c r="V310" s="4">
        <f t="shared" si="273"/>
        <v>0.19403016855538979</v>
      </c>
      <c r="W310" t="str">
        <f t="shared" si="260"/>
        <v>1-0.108877623034096i</v>
      </c>
      <c r="X310" s="4">
        <f t="shared" si="274"/>
        <v>1.0059097060857674</v>
      </c>
      <c r="Y310" s="4">
        <f t="shared" si="275"/>
        <v>-0.10845043336815983</v>
      </c>
      <c r="Z310" t="str">
        <f t="shared" si="261"/>
        <v>0.999930816902908+0.0810049515373671i</v>
      </c>
      <c r="AA310" s="4">
        <f t="shared" si="276"/>
        <v>1.0032065793074167</v>
      </c>
      <c r="AB310" s="4">
        <f t="shared" si="277"/>
        <v>8.0834034387862283E-2</v>
      </c>
      <c r="AC310" s="47" t="str">
        <f t="shared" si="278"/>
        <v>0.148680583619252-1.65139991404861i</v>
      </c>
      <c r="AD310" s="20">
        <f t="shared" si="279"/>
        <v>4.3921069396737744</v>
      </c>
      <c r="AE310" s="43">
        <f t="shared" si="280"/>
        <v>-84.855356604047401</v>
      </c>
      <c r="AF310" t="str">
        <f t="shared" si="262"/>
        <v>69.5520360182888</v>
      </c>
      <c r="AG310" t="str">
        <f t="shared" si="263"/>
        <v>1+9.35725400247314i</v>
      </c>
      <c r="AH310">
        <f t="shared" si="281"/>
        <v>9.4105367788877796</v>
      </c>
      <c r="AI310">
        <f t="shared" si="282"/>
        <v>1.464331450986994</v>
      </c>
      <c r="AJ310" t="str">
        <f t="shared" si="264"/>
        <v>1+0.196502334051936i</v>
      </c>
      <c r="AK310">
        <f t="shared" si="283"/>
        <v>1.0191237252109573</v>
      </c>
      <c r="AL310">
        <f t="shared" si="284"/>
        <v>0.19403016855538979</v>
      </c>
      <c r="AM310" t="str">
        <f t="shared" si="265"/>
        <v>1-0.0238538920573273i</v>
      </c>
      <c r="AN310">
        <f t="shared" si="285"/>
        <v>1.0002844636233648</v>
      </c>
      <c r="AO310">
        <f t="shared" si="286"/>
        <v>-2.3849369248210031E-2</v>
      </c>
      <c r="AP310" s="41" t="str">
        <f t="shared" si="287"/>
        <v>2.05786054172731-7.24787313449889i</v>
      </c>
      <c r="AQ310">
        <f t="shared" si="288"/>
        <v>17.540917737498461</v>
      </c>
      <c r="AR310" s="43">
        <f t="shared" si="289"/>
        <v>-74.149370395358403</v>
      </c>
      <c r="AS310" t="str">
        <f t="shared" si="266"/>
        <v>-0.0000166666666666667</v>
      </c>
      <c r="AT310" t="str">
        <f t="shared" si="267"/>
        <v>0.000177688280791644i</v>
      </c>
      <c r="AU310">
        <f t="shared" si="290"/>
        <v>1.7768828079164399E-4</v>
      </c>
      <c r="AV310">
        <f t="shared" si="291"/>
        <v>1.5707963267948966</v>
      </c>
      <c r="AW310" t="str">
        <f t="shared" si="268"/>
        <v>1+0.18057802099829i</v>
      </c>
      <c r="AX310">
        <f t="shared" si="292"/>
        <v>1.0161734210594464</v>
      </c>
      <c r="AY310">
        <f t="shared" si="293"/>
        <v>0.17865276261289148</v>
      </c>
      <c r="AZ310" t="str">
        <f t="shared" si="269"/>
        <v>1+6.13965271394186i</v>
      </c>
      <c r="BA310">
        <f t="shared" si="294"/>
        <v>6.2205574868988744</v>
      </c>
      <c r="BB310">
        <f t="shared" si="295"/>
        <v>1.4093384466952876</v>
      </c>
      <c r="BC310" s="41" t="str">
        <f t="shared" si="296"/>
        <v>-0.541293897037473+0.191543000153i</v>
      </c>
      <c r="BD310">
        <f t="shared" si="297"/>
        <v>-4.8189711839101923</v>
      </c>
      <c r="BE310" s="43">
        <f t="shared" si="298"/>
        <v>160.51309560509191</v>
      </c>
      <c r="BF310" s="41" t="str">
        <f t="shared" si="299"/>
        <v>0.235834201468206+0.922371420093651i</v>
      </c>
      <c r="BG310" s="20">
        <f t="shared" si="300"/>
        <v>-0.42686424423641739</v>
      </c>
      <c r="BH310" s="43">
        <f t="shared" si="301"/>
        <v>75.657739001044547</v>
      </c>
      <c r="BI310" s="41" t="str">
        <f t="shared" si="306"/>
        <v>0.274372012719025+4.31739827626504i</v>
      </c>
      <c r="BJ310" s="20">
        <f t="shared" si="302"/>
        <v>12.721946553588278</v>
      </c>
      <c r="BK310" s="43">
        <f t="shared" si="307"/>
        <v>86.363725209733531</v>
      </c>
      <c r="BL310">
        <f t="shared" si="303"/>
        <v>-0.42686424423641739</v>
      </c>
      <c r="BM310" s="43">
        <f t="shared" si="304"/>
        <v>75.657739001044547</v>
      </c>
    </row>
    <row r="311" spans="14:65" x14ac:dyDescent="0.25">
      <c r="N311" s="9">
        <v>93</v>
      </c>
      <c r="O311" s="34">
        <f t="shared" si="305"/>
        <v>8511.3803820237772</v>
      </c>
      <c r="P311" s="33" t="str">
        <f t="shared" si="257"/>
        <v>19.1021967526266</v>
      </c>
      <c r="Q311" s="4" t="str">
        <f t="shared" si="258"/>
        <v>1+12.0033107331756i</v>
      </c>
      <c r="R311" s="4">
        <f t="shared" si="270"/>
        <v>12.044893879033079</v>
      </c>
      <c r="S311" s="4">
        <f t="shared" si="271"/>
        <v>1.4876779212948006</v>
      </c>
      <c r="T311" s="4" t="str">
        <f t="shared" si="259"/>
        <v>1+0.201079461402158i</v>
      </c>
      <c r="U311" s="4">
        <f t="shared" si="272"/>
        <v>1.0200161517337762</v>
      </c>
      <c r="V311" s="4">
        <f t="shared" si="273"/>
        <v>0.19843328771261159</v>
      </c>
      <c r="W311" t="str">
        <f t="shared" si="260"/>
        <v>1-0.111413708666976i</v>
      </c>
      <c r="X311" s="4">
        <f t="shared" si="274"/>
        <v>1.0061873654935893</v>
      </c>
      <c r="Y311" s="4">
        <f t="shared" si="275"/>
        <v>-0.11095611857980442</v>
      </c>
      <c r="Z311" t="str">
        <f t="shared" si="261"/>
        <v>0.999927556403992+0.08289179924823i</v>
      </c>
      <c r="AA311" s="4">
        <f t="shared" si="276"/>
        <v>1.003357447990828</v>
      </c>
      <c r="AB311" s="4">
        <f t="shared" si="277"/>
        <v>8.2708691300997325E-2</v>
      </c>
      <c r="AC311" s="47" t="str">
        <f t="shared" si="278"/>
        <v>0.142388657700043-1.61596196288002i</v>
      </c>
      <c r="AD311" s="20">
        <f t="shared" si="279"/>
        <v>4.2022113118287567</v>
      </c>
      <c r="AE311" s="43">
        <f t="shared" si="280"/>
        <v>-84.964452510523131</v>
      </c>
      <c r="AF311" t="str">
        <f t="shared" si="262"/>
        <v>69.5520360182888</v>
      </c>
      <c r="AG311" t="str">
        <f t="shared" si="263"/>
        <v>1+9.57521244772181i</v>
      </c>
      <c r="AH311">
        <f t="shared" si="281"/>
        <v>9.627288996337791</v>
      </c>
      <c r="AI311">
        <f t="shared" si="282"/>
        <v>1.4667372299060739</v>
      </c>
      <c r="AJ311" t="str">
        <f t="shared" si="264"/>
        <v>1+0.201079461402158i</v>
      </c>
      <c r="AK311">
        <f t="shared" si="283"/>
        <v>1.0200161517337762</v>
      </c>
      <c r="AL311">
        <f t="shared" si="284"/>
        <v>0.19843328771261159</v>
      </c>
      <c r="AM311" t="str">
        <f t="shared" si="265"/>
        <v>1-0.0244095205808846i</v>
      </c>
      <c r="AN311">
        <f t="shared" si="285"/>
        <v>1.0002978679848262</v>
      </c>
      <c r="AO311">
        <f t="shared" si="286"/>
        <v>-2.4404674381539506E-2</v>
      </c>
      <c r="AP311" s="41" t="str">
        <f t="shared" si="287"/>
        <v>2.02354093214816-7.08808023462948i</v>
      </c>
      <c r="AQ311">
        <f t="shared" si="288"/>
        <v>17.350844616508979</v>
      </c>
      <c r="AR311" s="43">
        <f t="shared" si="289"/>
        <v>-74.066747869942958</v>
      </c>
      <c r="AS311" t="str">
        <f t="shared" si="266"/>
        <v>-0.0000166666666666667</v>
      </c>
      <c r="AT311" t="str">
        <f t="shared" si="267"/>
        <v>0.000181827172544504i</v>
      </c>
      <c r="AU311">
        <f t="shared" si="290"/>
        <v>1.8182717254450401E-4</v>
      </c>
      <c r="AV311">
        <f t="shared" si="291"/>
        <v>1.5707963267948966</v>
      </c>
      <c r="AW311" t="str">
        <f t="shared" si="268"/>
        <v>1+0.184784223447477i</v>
      </c>
      <c r="AX311">
        <f t="shared" si="292"/>
        <v>1.016929303951404</v>
      </c>
      <c r="AY311">
        <f t="shared" si="293"/>
        <v>0.18272312219880518</v>
      </c>
      <c r="AZ311" t="str">
        <f t="shared" si="269"/>
        <v>1+6.28266359721423i</v>
      </c>
      <c r="BA311">
        <f t="shared" si="294"/>
        <v>6.3617499067285603</v>
      </c>
      <c r="BB311">
        <f t="shared" si="295"/>
        <v>1.4129522468670619</v>
      </c>
      <c r="BC311" s="41" t="str">
        <f t="shared" si="296"/>
        <v>-0.540489509293991+0.191536068322677i</v>
      </c>
      <c r="BD311">
        <f t="shared" si="297"/>
        <v>-4.8304841173352333</v>
      </c>
      <c r="BE311" s="43">
        <f t="shared" si="298"/>
        <v>160.48693667756467</v>
      </c>
      <c r="BF311" s="41" t="str">
        <f t="shared" si="299"/>
        <v>0.232555425199708+0.900683052024386i</v>
      </c>
      <c r="BG311" s="20">
        <f t="shared" si="300"/>
        <v>-0.62827280550648035</v>
      </c>
      <c r="BH311" s="43">
        <f t="shared" si="301"/>
        <v>75.522484167041554</v>
      </c>
      <c r="BI311" s="41" t="str">
        <f t="shared" si="306"/>
        <v>0.263920374643544+4.21861408208499i</v>
      </c>
      <c r="BJ311" s="20">
        <f t="shared" si="302"/>
        <v>12.520360499173748</v>
      </c>
      <c r="BK311" s="43">
        <f t="shared" si="307"/>
        <v>86.420188807621727</v>
      </c>
      <c r="BL311">
        <f t="shared" si="303"/>
        <v>-0.62827280550648035</v>
      </c>
      <c r="BM311" s="43">
        <f t="shared" si="304"/>
        <v>75.522484167041554</v>
      </c>
    </row>
    <row r="312" spans="14:65" x14ac:dyDescent="0.25">
      <c r="N312" s="9">
        <v>94</v>
      </c>
      <c r="O312" s="34">
        <f t="shared" si="305"/>
        <v>8709.6358995608189</v>
      </c>
      <c r="P312" s="33" t="str">
        <f t="shared" si="257"/>
        <v>19.1021967526266</v>
      </c>
      <c r="Q312" s="4" t="str">
        <f t="shared" si="258"/>
        <v>1+12.282903757427i</v>
      </c>
      <c r="R312" s="4">
        <f t="shared" si="270"/>
        <v>12.323543512894913</v>
      </c>
      <c r="S312" s="4">
        <f t="shared" si="271"/>
        <v>1.4895615183709887</v>
      </c>
      <c r="T312" s="4" t="str">
        <f t="shared" si="259"/>
        <v>1+0.205763203744416i</v>
      </c>
      <c r="U312" s="4">
        <f t="shared" si="272"/>
        <v>1.020949800928119</v>
      </c>
      <c r="V312" s="4">
        <f t="shared" si="273"/>
        <v>0.20293091043826866</v>
      </c>
      <c r="W312" t="str">
        <f t="shared" si="260"/>
        <v>1-0.114008867322926i</v>
      </c>
      <c r="X312" s="4">
        <f t="shared" si="274"/>
        <v>1.0064780284875854</v>
      </c>
      <c r="Y312" s="4">
        <f t="shared" si="275"/>
        <v>-0.11351872099289864</v>
      </c>
      <c r="Z312" t="str">
        <f t="shared" si="261"/>
        <v>0.999924142242497+0.0848225972882568i</v>
      </c>
      <c r="AA312" s="4">
        <f t="shared" si="276"/>
        <v>1.0035154025973489</v>
      </c>
      <c r="AB312" s="4">
        <f t="shared" si="277"/>
        <v>8.462643068572194E-2</v>
      </c>
      <c r="AC312" s="47" t="str">
        <f t="shared" si="278"/>
        <v>0.136363747875287-1.58133389935417i</v>
      </c>
      <c r="AD312" s="20">
        <f t="shared" si="279"/>
        <v>4.0126471169141862</v>
      </c>
      <c r="AE312" s="43">
        <f t="shared" si="280"/>
        <v>-85.071384549060681</v>
      </c>
      <c r="AF312" t="str">
        <f t="shared" si="262"/>
        <v>69.5520360182888</v>
      </c>
      <c r="AG312" t="str">
        <f t="shared" si="263"/>
        <v>1+9.79824779735318i</v>
      </c>
      <c r="AH312">
        <f t="shared" si="281"/>
        <v>9.8491451354082713</v>
      </c>
      <c r="AI312">
        <f t="shared" si="282"/>
        <v>1.4690894153372582</v>
      </c>
      <c r="AJ312" t="str">
        <f t="shared" si="264"/>
        <v>1+0.205763203744416i</v>
      </c>
      <c r="AK312">
        <f t="shared" si="283"/>
        <v>1.020949800928119</v>
      </c>
      <c r="AL312">
        <f t="shared" si="284"/>
        <v>0.20293091043826866</v>
      </c>
      <c r="AM312" t="str">
        <f t="shared" si="265"/>
        <v>1-0.0249780913553521i</v>
      </c>
      <c r="AN312">
        <f t="shared" si="285"/>
        <v>1.0003119038818624</v>
      </c>
      <c r="AO312">
        <f t="shared" si="286"/>
        <v>-2.4972898646641206E-2</v>
      </c>
      <c r="AP312" s="41" t="str">
        <f t="shared" si="287"/>
        <v>1.99073336268461-6.93172613758733i</v>
      </c>
      <c r="AQ312">
        <f t="shared" si="288"/>
        <v>17.161022727322898</v>
      </c>
      <c r="AR312" s="43">
        <f t="shared" si="289"/>
        <v>-73.976380219966927</v>
      </c>
      <c r="AS312" t="str">
        <f t="shared" si="266"/>
        <v>-0.0000166666666666667</v>
      </c>
      <c r="AT312" t="str">
        <f t="shared" si="267"/>
        <v>0.000186062471471015i</v>
      </c>
      <c r="AU312">
        <f t="shared" si="290"/>
        <v>1.86062471471015E-4</v>
      </c>
      <c r="AV312">
        <f t="shared" si="291"/>
        <v>1.5707963267948966</v>
      </c>
      <c r="AW312" t="str">
        <f t="shared" si="268"/>
        <v>1+0.189088400937845i</v>
      </c>
      <c r="AX312">
        <f t="shared" si="292"/>
        <v>1.0177202087849251</v>
      </c>
      <c r="AY312">
        <f t="shared" si="293"/>
        <v>0.18688196268634555</v>
      </c>
      <c r="AZ312" t="str">
        <f t="shared" si="269"/>
        <v>1+6.42900563188672i</v>
      </c>
      <c r="BA312">
        <f t="shared" si="294"/>
        <v>6.5063133504951303</v>
      </c>
      <c r="BB312">
        <f t="shared" si="295"/>
        <v>1.4164878086120058</v>
      </c>
      <c r="BC312" s="41" t="str">
        <f t="shared" si="296"/>
        <v>-0.539649770319104+0.191617161297924i</v>
      </c>
      <c r="BD312">
        <f t="shared" si="297"/>
        <v>-4.8420691726853518</v>
      </c>
      <c r="BE312" s="43">
        <f t="shared" si="298"/>
        <v>160.45122543615366</v>
      </c>
      <c r="BF312" s="41" t="str">
        <f t="shared" si="299"/>
        <v>0.229422047637672+0.879496109856099i</v>
      </c>
      <c r="BG312" s="20">
        <f t="shared" si="300"/>
        <v>-0.82942205577116734</v>
      </c>
      <c r="BH312" s="43">
        <f t="shared" si="301"/>
        <v>75.379840887092996</v>
      </c>
      <c r="BI312" s="41" t="str">
        <f t="shared" si="306"/>
        <v>0.25393888343978+4.12216309392263i</v>
      </c>
      <c r="BJ312" s="20">
        <f t="shared" si="302"/>
        <v>12.318953554637551</v>
      </c>
      <c r="BK312" s="43">
        <f t="shared" si="307"/>
        <v>86.474845216186736</v>
      </c>
      <c r="BL312">
        <f t="shared" si="303"/>
        <v>-0.82942205577116734</v>
      </c>
      <c r="BM312" s="43">
        <f t="shared" si="304"/>
        <v>75.379840887092996</v>
      </c>
    </row>
    <row r="313" spans="14:65" x14ac:dyDescent="0.25">
      <c r="N313" s="9">
        <v>95</v>
      </c>
      <c r="O313" s="34">
        <f t="shared" si="305"/>
        <v>8912.5093813374679</v>
      </c>
      <c r="P313" s="33" t="str">
        <f t="shared" si="257"/>
        <v>19.1021967526266</v>
      </c>
      <c r="Q313" s="4" t="str">
        <f t="shared" si="258"/>
        <v>1+12.569009339834i</v>
      </c>
      <c r="R313" s="4">
        <f t="shared" si="270"/>
        <v>12.608726969239772</v>
      </c>
      <c r="S313" s="4">
        <f t="shared" si="271"/>
        <v>1.4914027979377251</v>
      </c>
      <c r="T313" s="4" t="str">
        <f t="shared" si="259"/>
        <v>1+0.210556044460898i</v>
      </c>
      <c r="U313" s="4">
        <f t="shared" si="272"/>
        <v>1.0219265374081543</v>
      </c>
      <c r="V313" s="4">
        <f t="shared" si="273"/>
        <v>0.20752469324173842</v>
      </c>
      <c r="W313" t="str">
        <f t="shared" si="260"/>
        <v>1-0.116664474989416i</v>
      </c>
      <c r="X313" s="4">
        <f t="shared" si="274"/>
        <v>1.006782300065191</v>
      </c>
      <c r="Y313" s="4">
        <f t="shared" si="275"/>
        <v>-0.1161394646327738</v>
      </c>
      <c r="Z313" t="str">
        <f t="shared" si="261"/>
        <v>0.999920567176528+0.0867983693921257i</v>
      </c>
      <c r="AA313" s="4">
        <f t="shared" si="276"/>
        <v>1.0036807747445207</v>
      </c>
      <c r="AB313" s="4">
        <f t="shared" si="277"/>
        <v>8.65882146957936E-2</v>
      </c>
      <c r="AC313" s="47" t="str">
        <f t="shared" si="278"/>
        <v>0.130593588255971-1.54750031159604i</v>
      </c>
      <c r="AD313" s="20">
        <f t="shared" si="279"/>
        <v>3.8234343360283751</v>
      </c>
      <c r="AE313" s="43">
        <f t="shared" si="280"/>
        <v>-85.176237224343694</v>
      </c>
      <c r="AF313" t="str">
        <f t="shared" si="262"/>
        <v>69.5520360182888</v>
      </c>
      <c r="AG313" t="str">
        <f t="shared" si="263"/>
        <v>1+10.0264783076618i</v>
      </c>
      <c r="AH313">
        <f t="shared" si="281"/>
        <v>10.076222866432273</v>
      </c>
      <c r="AI313">
        <f t="shared" si="282"/>
        <v>1.4713891502705405</v>
      </c>
      <c r="AJ313" t="str">
        <f t="shared" si="264"/>
        <v>1+0.210556044460898i</v>
      </c>
      <c r="AK313">
        <f t="shared" si="283"/>
        <v>1.0219265374081543</v>
      </c>
      <c r="AL313">
        <f t="shared" si="284"/>
        <v>0.20752469324173842</v>
      </c>
      <c r="AM313" t="str">
        <f t="shared" si="265"/>
        <v>1-0.0255599058444803i</v>
      </c>
      <c r="AN313">
        <f t="shared" si="285"/>
        <v>1.0003266010592633</v>
      </c>
      <c r="AO313">
        <f t="shared" si="286"/>
        <v>-2.5554341854960312E-2</v>
      </c>
      <c r="AP313" s="41" t="str">
        <f t="shared" si="287"/>
        <v>1.95937260510264-6.778748825395i</v>
      </c>
      <c r="AQ313">
        <f t="shared" si="288"/>
        <v>16.97147156032549</v>
      </c>
      <c r="AR313" s="43">
        <f t="shared" si="289"/>
        <v>-73.878255200867514</v>
      </c>
      <c r="AS313" t="str">
        <f t="shared" si="266"/>
        <v>-0.0000166666666666667</v>
      </c>
      <c r="AT313" t="str">
        <f t="shared" si="267"/>
        <v>0.000190396423182727i</v>
      </c>
      <c r="AU313">
        <f t="shared" si="290"/>
        <v>1.9039642318272699E-4</v>
      </c>
      <c r="AV313">
        <f t="shared" si="291"/>
        <v>1.5707963267948966</v>
      </c>
      <c r="AW313" t="str">
        <f t="shared" si="268"/>
        <v>1+0.19349283560127i</v>
      </c>
      <c r="AX313">
        <f t="shared" si="292"/>
        <v>1.0185477295782559</v>
      </c>
      <c r="AY313">
        <f t="shared" si="293"/>
        <v>0.19113091341807906</v>
      </c>
      <c r="AZ313" t="str">
        <f t="shared" si="269"/>
        <v>1+6.57875641044318i</v>
      </c>
      <c r="BA313">
        <f t="shared" si="294"/>
        <v>6.6543246019372422</v>
      </c>
      <c r="BB313">
        <f t="shared" si="295"/>
        <v>1.4199466527890083</v>
      </c>
      <c r="BC313" s="41" t="str">
        <f t="shared" si="296"/>
        <v>-0.538773247826831+0.191785421920319i</v>
      </c>
      <c r="BD313">
        <f t="shared" si="297"/>
        <v>-4.8537487725238702</v>
      </c>
      <c r="BE313" s="43">
        <f t="shared" si="298"/>
        <v>160.40595566520193</v>
      </c>
      <c r="BF313" s="41" t="str">
        <f t="shared" si="299"/>
        <v>0.226427668491242+0.858797715315391i</v>
      </c>
      <c r="BG313" s="20">
        <f t="shared" si="300"/>
        <v>-1.0303144364954986</v>
      </c>
      <c r="BH313" s="43">
        <f t="shared" si="301"/>
        <v>75.22971844085825</v>
      </c>
      <c r="BI313" s="41" t="str">
        <f t="shared" si="306"/>
        <v>0.244407661416179+4.0279876226291i</v>
      </c>
      <c r="BJ313" s="20">
        <f t="shared" si="302"/>
        <v>12.117722787801613</v>
      </c>
      <c r="BK313" s="43">
        <f t="shared" si="307"/>
        <v>86.527700464334401</v>
      </c>
      <c r="BL313">
        <f t="shared" si="303"/>
        <v>-1.0303144364954986</v>
      </c>
      <c r="BM313" s="43">
        <f t="shared" si="304"/>
        <v>75.22971844085825</v>
      </c>
    </row>
    <row r="314" spans="14:65" x14ac:dyDescent="0.25">
      <c r="N314" s="9">
        <v>96</v>
      </c>
      <c r="O314" s="34">
        <f t="shared" si="305"/>
        <v>9120.1083935591087</v>
      </c>
      <c r="P314" s="33" t="str">
        <f t="shared" si="257"/>
        <v>19.1021967526266</v>
      </c>
      <c r="Q314" s="4" t="str">
        <f t="shared" si="258"/>
        <v>1+12.8617791773634i</v>
      </c>
      <c r="R314" s="4">
        <f t="shared" si="270"/>
        <v>12.900595474909627</v>
      </c>
      <c r="S314" s="4">
        <f t="shared" si="271"/>
        <v>1.4932026862978902</v>
      </c>
      <c r="T314" s="4" t="str">
        <f t="shared" si="259"/>
        <v>1+0.215460524779192i</v>
      </c>
      <c r="U314" s="4">
        <f t="shared" si="272"/>
        <v>1.0229483064838247</v>
      </c>
      <c r="V314" s="4">
        <f t="shared" si="273"/>
        <v>0.21221629590889488</v>
      </c>
      <c r="W314" t="str">
        <f t="shared" si="260"/>
        <v>1-0.119381939704783i</v>
      </c>
      <c r="X314" s="4">
        <f t="shared" si="274"/>
        <v>1.0071008129912697</v>
      </c>
      <c r="Y314" s="4">
        <f t="shared" si="275"/>
        <v>-0.11881959497424938</v>
      </c>
      <c r="Z314" t="str">
        <f t="shared" si="261"/>
        <v>0.99991682362289+0.0888201631403584i</v>
      </c>
      <c r="AA314" s="4">
        <f t="shared" si="276"/>
        <v>1.0038539114554317</v>
      </c>
      <c r="AB314" s="4">
        <f t="shared" si="277"/>
        <v>8.8595024985597362E-2</v>
      </c>
      <c r="AC314" s="47" t="str">
        <f t="shared" si="278"/>
        <v>0.125066410914836-1.51444600643095i</v>
      </c>
      <c r="AD314" s="20">
        <f t="shared" si="279"/>
        <v>3.6345935093094179</v>
      </c>
      <c r="AE314" s="43">
        <f t="shared" si="280"/>
        <v>-85.279096115996211</v>
      </c>
      <c r="AF314" t="str">
        <f t="shared" si="262"/>
        <v>69.5520360182888</v>
      </c>
      <c r="AG314" t="str">
        <f t="shared" si="263"/>
        <v>1+10.2600249894854i</v>
      </c>
      <c r="AH314">
        <f t="shared" si="281"/>
        <v>10.308642625722598</v>
      </c>
      <c r="AI314">
        <f t="shared" si="282"/>
        <v>1.4736375567001487</v>
      </c>
      <c r="AJ314" t="str">
        <f t="shared" si="264"/>
        <v>1+0.215460524779192i</v>
      </c>
      <c r="AK314">
        <f t="shared" si="283"/>
        <v>1.0229483064838247</v>
      </c>
      <c r="AL314">
        <f t="shared" si="284"/>
        <v>0.21221629590889488</v>
      </c>
      <c r="AM314" t="str">
        <f t="shared" si="265"/>
        <v>1-0.0261552725340125i</v>
      </c>
      <c r="AN314">
        <f t="shared" si="285"/>
        <v>1.0003419906618578</v>
      </c>
      <c r="AO314">
        <f t="shared" si="286"/>
        <v>-2.6149310721904434E-2</v>
      </c>
      <c r="AP314" s="41" t="str">
        <f t="shared" si="287"/>
        <v>1.9293961238979-6.62908672320076i</v>
      </c>
      <c r="AQ314">
        <f t="shared" si="288"/>
        <v>16.782211014104679</v>
      </c>
      <c r="AR314" s="43">
        <f t="shared" si="289"/>
        <v>-73.772359572951316</v>
      </c>
      <c r="AS314" t="str">
        <f t="shared" si="266"/>
        <v>-0.0000166666666666667</v>
      </c>
      <c r="AT314" t="str">
        <f t="shared" si="267"/>
        <v>0.000194831325598206i</v>
      </c>
      <c r="AU314">
        <f t="shared" si="290"/>
        <v>1.94831325598206E-4</v>
      </c>
      <c r="AV314">
        <f t="shared" si="291"/>
        <v>1.5707963267948966</v>
      </c>
      <c r="AW314" t="str">
        <f t="shared" si="268"/>
        <v>1+0.197999862727311i</v>
      </c>
      <c r="AX314">
        <f t="shared" si="292"/>
        <v>1.0194135302417924</v>
      </c>
      <c r="AY314">
        <f t="shared" si="293"/>
        <v>0.19547161327655788</v>
      </c>
      <c r="AZ314" t="str">
        <f t="shared" si="269"/>
        <v>1+6.73199533272859i</v>
      </c>
      <c r="BA314">
        <f t="shared" si="294"/>
        <v>6.8058622642453992</v>
      </c>
      <c r="BB314">
        <f t="shared" si="295"/>
        <v>1.4233302821107607</v>
      </c>
      <c r="BC314" s="41" t="str">
        <f t="shared" si="296"/>
        <v>-0.537858462742799+0.192039982627382i</v>
      </c>
      <c r="BD314">
        <f t="shared" si="297"/>
        <v>-4.8655454720333227</v>
      </c>
      <c r="BE314" s="43">
        <f t="shared" si="298"/>
        <v>160.35111956275117</v>
      </c>
      <c r="BF314" s="41" t="str">
        <f t="shared" si="299"/>
        <v>0.223566157249695+0.838575352305276i</v>
      </c>
      <c r="BG314" s="20">
        <f t="shared" si="300"/>
        <v>-1.2309519627239047</v>
      </c>
      <c r="BH314" s="43">
        <f t="shared" si="301"/>
        <v>75.072023446754955</v>
      </c>
      <c r="BI314" s="41" t="str">
        <f t="shared" si="306"/>
        <v>0.235307665937243+3.93603159244415i</v>
      </c>
      <c r="BJ314" s="20">
        <f t="shared" si="302"/>
        <v>11.916665542071357</v>
      </c>
      <c r="BK314" s="43">
        <f t="shared" si="307"/>
        <v>86.578759989799863</v>
      </c>
      <c r="BL314">
        <f t="shared" si="303"/>
        <v>-1.2309519627239047</v>
      </c>
      <c r="BM314" s="43">
        <f t="shared" si="304"/>
        <v>75.072023446754955</v>
      </c>
    </row>
    <row r="315" spans="14:65" x14ac:dyDescent="0.25">
      <c r="N315" s="9">
        <v>97</v>
      </c>
      <c r="O315" s="34">
        <f t="shared" si="305"/>
        <v>9332.5430079699217</v>
      </c>
      <c r="P315" s="33" t="str">
        <f t="shared" si="257"/>
        <v>19.1021967526266</v>
      </c>
      <c r="Q315" s="4" t="str">
        <f t="shared" si="258"/>
        <v>1+13.1613685004585i</v>
      </c>
      <c r="R315" s="4">
        <f t="shared" si="270"/>
        <v>13.199303800006318</v>
      </c>
      <c r="S315" s="4">
        <f t="shared" si="271"/>
        <v>1.4949620911027552</v>
      </c>
      <c r="T315" s="4" t="str">
        <f t="shared" si="259"/>
        <v>1+0.220479245119681i</v>
      </c>
      <c r="U315" s="4">
        <f t="shared" si="272"/>
        <v>1.0240171373217073</v>
      </c>
      <c r="V315" s="4">
        <f t="shared" si="273"/>
        <v>0.21700737946592974</v>
      </c>
      <c r="W315" t="str">
        <f t="shared" si="260"/>
        <v>1-0.122162702304788i</v>
      </c>
      <c r="X315" s="4">
        <f t="shared" si="274"/>
        <v>1.0074342290365204</v>
      </c>
      <c r="Y315" s="4">
        <f t="shared" si="275"/>
        <v>-0.12156037896183759</v>
      </c>
      <c r="Z315" t="str">
        <f t="shared" si="261"/>
        <v>0.999912903641004+0.090889050514762i</v>
      </c>
      <c r="AA315" s="4">
        <f t="shared" si="276"/>
        <v>1.0040351758635049</v>
      </c>
      <c r="AB315" s="4">
        <f t="shared" si="277"/>
        <v>9.0647862961935236E-2</v>
      </c>
      <c r="AC315" s="47" t="str">
        <f t="shared" si="278"/>
        <v>0.11977092479769-1.48215601369232i</v>
      </c>
      <c r="AD315" s="20">
        <f t="shared" si="279"/>
        <v>3.4461457621364038</v>
      </c>
      <c r="AE315" s="43">
        <f t="shared" si="280"/>
        <v>-85.3800480257716</v>
      </c>
      <c r="AF315" t="str">
        <f t="shared" si="262"/>
        <v>69.5520360182888</v>
      </c>
      <c r="AG315" t="str">
        <f t="shared" si="263"/>
        <v>1+10.4990116723658i</v>
      </c>
      <c r="AH315">
        <f t="shared" si="281"/>
        <v>10.546527679595467</v>
      </c>
      <c r="AI315">
        <f t="shared" si="282"/>
        <v>1.4758357357794722</v>
      </c>
      <c r="AJ315" t="str">
        <f t="shared" si="264"/>
        <v>1+0.220479245119681i</v>
      </c>
      <c r="AK315">
        <f t="shared" si="283"/>
        <v>1.0240171373217073</v>
      </c>
      <c r="AL315">
        <f t="shared" si="284"/>
        <v>0.21700737946592974</v>
      </c>
      <c r="AM315" t="str">
        <f t="shared" si="265"/>
        <v>1-0.0267645070952483i</v>
      </c>
      <c r="AN315">
        <f t="shared" si="285"/>
        <v>1.0003581053003228</v>
      </c>
      <c r="AO315">
        <f t="shared" si="286"/>
        <v>-2.6758119021982881E-2</v>
      </c>
      <c r="AP315" s="41" t="str">
        <f t="shared" si="287"/>
        <v>1.90074397578546-6.48267875160186i</v>
      </c>
      <c r="AQ315">
        <f t="shared" si="288"/>
        <v>16.593261420898877</v>
      </c>
      <c r="AR315" s="43">
        <f t="shared" si="289"/>
        <v>-73.658679235824948</v>
      </c>
      <c r="AS315" t="str">
        <f t="shared" si="266"/>
        <v>-0.0000166666666666667</v>
      </c>
      <c r="AT315" t="str">
        <f t="shared" si="267"/>
        <v>0.000199369530161414i</v>
      </c>
      <c r="AU315">
        <f t="shared" si="290"/>
        <v>1.99369530161414E-4</v>
      </c>
      <c r="AV315">
        <f t="shared" si="291"/>
        <v>1.5707963267948966</v>
      </c>
      <c r="AW315" t="str">
        <f t="shared" si="268"/>
        <v>1+0.202611872001409i</v>
      </c>
      <c r="AX315">
        <f t="shared" si="292"/>
        <v>1.020319347398605</v>
      </c>
      <c r="AY315">
        <f t="shared" si="293"/>
        <v>0.19990570915564773</v>
      </c>
      <c r="AZ315" t="str">
        <f t="shared" si="269"/>
        <v>1+6.8888036480479i</v>
      </c>
      <c r="BA315">
        <f t="shared" si="294"/>
        <v>6.9610068022778178</v>
      </c>
      <c r="BB315">
        <f t="shared" si="295"/>
        <v>1.4266401805500755</v>
      </c>
      <c r="BC315" s="41" t="str">
        <f t="shared" si="296"/>
        <v>-0.536903888743281+0.192379961810054i</v>
      </c>
      <c r="BD315">
        <f t="shared" si="297"/>
        <v>-4.8774819899581097</v>
      </c>
      <c r="BE315" s="43">
        <f t="shared" si="298"/>
        <v>160.2867077941126</v>
      </c>
      <c r="BF315" s="41" t="str">
        <f t="shared" si="299"/>
        <v>0.220831642028412+0.818816853414181i</v>
      </c>
      <c r="BG315" s="20">
        <f t="shared" si="300"/>
        <v>-1.4313362278217026</v>
      </c>
      <c r="BH315" s="43">
        <f t="shared" si="301"/>
        <v>74.906659768340987</v>
      </c>
      <c r="BI315" s="41" t="str">
        <f t="shared" si="306"/>
        <v>0.226620658555436+3.84624048468077i</v>
      </c>
      <c r="BJ315" s="20">
        <f t="shared" si="302"/>
        <v>11.715779430940758</v>
      </c>
      <c r="BK315" s="43">
        <f t="shared" si="307"/>
        <v>86.628028558287653</v>
      </c>
      <c r="BL315">
        <f t="shared" si="303"/>
        <v>-1.4313362278217026</v>
      </c>
      <c r="BM315" s="43">
        <f t="shared" si="304"/>
        <v>74.906659768340987</v>
      </c>
    </row>
    <row r="316" spans="14:65" x14ac:dyDescent="0.25">
      <c r="N316" s="9">
        <v>98</v>
      </c>
      <c r="O316" s="34">
        <f t="shared" si="305"/>
        <v>9549.9258602143691</v>
      </c>
      <c r="P316" s="33" t="str">
        <f t="shared" si="257"/>
        <v>19.1021967526266</v>
      </c>
      <c r="Q316" s="4" t="str">
        <f t="shared" si="258"/>
        <v>1+13.4679361553439i</v>
      </c>
      <c r="R316" s="4">
        <f t="shared" si="270"/>
        <v>13.505010340033783</v>
      </c>
      <c r="S316" s="4">
        <f t="shared" si="271"/>
        <v>1.4966819016177058</v>
      </c>
      <c r="T316" s="4" t="str">
        <f t="shared" si="259"/>
        <v>1+0.22561486647432i</v>
      </c>
      <c r="U316" s="4">
        <f t="shared" si="272"/>
        <v>1.0251351461998681</v>
      </c>
      <c r="V316" s="4">
        <f t="shared" si="273"/>
        <v>0.2218996039896505</v>
      </c>
      <c r="W316" t="str">
        <f t="shared" si="260"/>
        <v>1-0.125008237186569i</v>
      </c>
      <c r="X316" s="4">
        <f t="shared" si="274"/>
        <v>1.0077832402677143</v>
      </c>
      <c r="Y316" s="4">
        <f t="shared" si="275"/>
        <v>-0.1243631049991606</v>
      </c>
      <c r="Z316" t="str">
        <f t="shared" si="261"/>
        <v>0.999908798916064+0.0930061284668076i</v>
      </c>
      <c r="AA316" s="4">
        <f t="shared" si="276"/>
        <v>1.0042249479484913</v>
      </c>
      <c r="AB316" s="4">
        <f t="shared" si="277"/>
        <v>9.2747750027888931E-2</v>
      </c>
      <c r="AC316" s="47" t="str">
        <f t="shared" si="278"/>
        <v>0.114696295334478-1.45061558982487i</v>
      </c>
      <c r="AD316" s="20">
        <f t="shared" si="279"/>
        <v>3.2581128311869607</v>
      </c>
      <c r="AE316" s="43">
        <f t="shared" si="280"/>
        <v>-85.479181131604136</v>
      </c>
      <c r="AF316" t="str">
        <f t="shared" si="262"/>
        <v>69.5520360182888</v>
      </c>
      <c r="AG316" t="str">
        <f t="shared" si="263"/>
        <v>1+10.7435650702057i</v>
      </c>
      <c r="AH316">
        <f t="shared" si="281"/>
        <v>10.790004189885378</v>
      </c>
      <c r="AI316">
        <f t="shared" si="282"/>
        <v>1.4779847679927369</v>
      </c>
      <c r="AJ316" t="str">
        <f t="shared" si="264"/>
        <v>1+0.22561486647432i</v>
      </c>
      <c r="AK316">
        <f t="shared" si="283"/>
        <v>1.0251351461998681</v>
      </c>
      <c r="AL316">
        <f t="shared" si="284"/>
        <v>0.2218996039896505</v>
      </c>
      <c r="AM316" t="str">
        <f t="shared" si="265"/>
        <v>1-0.0273879325524161i</v>
      </c>
      <c r="AN316">
        <f t="shared" si="285"/>
        <v>1.0003749791200776</v>
      </c>
      <c r="AO316">
        <f t="shared" si="286"/>
        <v>-2.7381087747154569E-2</v>
      </c>
      <c r="AP316" s="41" t="str">
        <f t="shared" si="287"/>
        <v>1.87335871198171-6.33946437408099i</v>
      </c>
      <c r="AQ316">
        <f t="shared" si="288"/>
        <v>16.40464357174239</v>
      </c>
      <c r="AR316" s="43">
        <f t="shared" si="289"/>
        <v>-73.537199372763993</v>
      </c>
      <c r="AS316" t="str">
        <f t="shared" si="266"/>
        <v>-0.0000166666666666667</v>
      </c>
      <c r="AT316" t="str">
        <f t="shared" si="267"/>
        <v>0.000204013443088481i</v>
      </c>
      <c r="AU316">
        <f t="shared" si="290"/>
        <v>2.0401344308848101E-4</v>
      </c>
      <c r="AV316">
        <f t="shared" si="291"/>
        <v>1.5707963267948966</v>
      </c>
      <c r="AW316" t="str">
        <f t="shared" si="268"/>
        <v>1+0.207331308771927i</v>
      </c>
      <c r="AX316">
        <f t="shared" si="292"/>
        <v>1.0212669932966012</v>
      </c>
      <c r="AY316">
        <f t="shared" si="293"/>
        <v>0.20443485430222513</v>
      </c>
      <c r="AZ316" t="str">
        <f t="shared" si="269"/>
        <v>1+7.04926449824552i</v>
      </c>
      <c r="BA316">
        <f t="shared" si="294"/>
        <v>7.1198405857311631</v>
      </c>
      <c r="BB316">
        <f t="shared" si="295"/>
        <v>1.4298778128173402</v>
      </c>
      <c r="BC316" s="41" t="str">
        <f t="shared" si="296"/>
        <v>-0.535907951906514+0.192804460027972i</v>
      </c>
      <c r="BD316">
        <f t="shared" si="297"/>
        <v>-4.8895812393315268</v>
      </c>
      <c r="BE316" s="43">
        <f t="shared" si="298"/>
        <v>160.21270955694135</v>
      </c>
      <c r="BF316" s="41" t="str">
        <f t="shared" si="299"/>
        <v>0.218218498780377+0.799510387035879i</v>
      </c>
      <c r="BG316" s="20">
        <f t="shared" si="300"/>
        <v>-1.6314684081445652</v>
      </c>
      <c r="BH316" s="43">
        <f t="shared" si="301"/>
        <v>74.733528425337255</v>
      </c>
      <c r="BI316" s="41" t="str">
        <f t="shared" si="306"/>
        <v>0.218329174986907+3.75856128380038i</v>
      </c>
      <c r="BJ316" s="20">
        <f t="shared" si="302"/>
        <v>11.515062332410849</v>
      </c>
      <c r="BK316" s="43">
        <f t="shared" si="307"/>
        <v>86.675510184177355</v>
      </c>
      <c r="BL316">
        <f t="shared" si="303"/>
        <v>-1.6314684081445652</v>
      </c>
      <c r="BM316" s="43">
        <f t="shared" si="304"/>
        <v>74.733528425337255</v>
      </c>
    </row>
    <row r="317" spans="14:65" x14ac:dyDescent="0.25">
      <c r="N317" s="9">
        <v>99</v>
      </c>
      <c r="O317" s="34">
        <f t="shared" si="305"/>
        <v>9772.3722095581161</v>
      </c>
      <c r="P317" s="33" t="str">
        <f t="shared" si="257"/>
        <v>19.1021967526266</v>
      </c>
      <c r="Q317" s="4" t="str">
        <f t="shared" si="258"/>
        <v>1+13.781644688248i</v>
      </c>
      <c r="R317" s="4">
        <f t="shared" si="270"/>
        <v>13.817877199957826</v>
      </c>
      <c r="S317" s="4">
        <f t="shared" si="271"/>
        <v>1.4983629889921319</v>
      </c>
      <c r="T317" s="4" t="str">
        <f t="shared" si="259"/>
        <v>1+0.23087011181753i</v>
      </c>
      <c r="U317" s="4">
        <f t="shared" si="272"/>
        <v>1.0263045398567809</v>
      </c>
      <c r="V317" s="4">
        <f t="shared" si="273"/>
        <v>0.22689462625773094</v>
      </c>
      <c r="W317" t="str">
        <f t="shared" si="260"/>
        <v>1-0.127920053090387i</v>
      </c>
      <c r="X317" s="4">
        <f t="shared" si="274"/>
        <v>1.0081485703916102</v>
      </c>
      <c r="Y317" s="4">
        <f t="shared" si="275"/>
        <v>-0.12722908290496979</v>
      </c>
      <c r="Z317" t="str">
        <f t="shared" si="261"/>
        <v>0.999904500741398+0.0951725194992478i</v>
      </c>
      <c r="AA317" s="4">
        <f t="shared" si="276"/>
        <v>1.0044236253049503</v>
      </c>
      <c r="AB317" s="4">
        <f t="shared" si="277"/>
        <v>9.4895727817667155E-2</v>
      </c>
      <c r="AC317" s="47" t="str">
        <f t="shared" si="278"/>
        <v>0.109832124734992-1.41981022083168i</v>
      </c>
      <c r="AD317" s="20">
        <f t="shared" si="279"/>
        <v>3.0705170902928201</v>
      </c>
      <c r="AE317" s="43">
        <f t="shared" si="280"/>
        <v>-85.576585148639353</v>
      </c>
      <c r="AF317" t="str">
        <f t="shared" si="262"/>
        <v>69.5520360182888</v>
      </c>
      <c r="AG317" t="str">
        <f t="shared" si="263"/>
        <v>1+10.9938148484538i</v>
      </c>
      <c r="AH317">
        <f t="shared" si="281"/>
        <v>11.039201280984203</v>
      </c>
      <c r="AI317">
        <f t="shared" si="282"/>
        <v>1.4800857133418071</v>
      </c>
      <c r="AJ317" t="str">
        <f t="shared" si="264"/>
        <v>1+0.23087011181753i</v>
      </c>
      <c r="AK317">
        <f t="shared" si="283"/>
        <v>1.0263045398567809</v>
      </c>
      <c r="AL317">
        <f t="shared" si="284"/>
        <v>0.22689462625773094</v>
      </c>
      <c r="AM317" t="str">
        <f t="shared" si="265"/>
        <v>1-0.0280258794539454i</v>
      </c>
      <c r="AN317">
        <f t="shared" si="285"/>
        <v>1.0003926478734073</v>
      </c>
      <c r="AO317">
        <f t="shared" si="286"/>
        <v>-2.8018545268432615E-2</v>
      </c>
      <c r="AP317" s="41" t="str">
        <f t="shared" si="287"/>
        <v>1.84718528329431-6.1993836398721i</v>
      </c>
      <c r="AQ317">
        <f t="shared" si="288"/>
        <v>16.216378741257138</v>
      </c>
      <c r="AR317" s="43">
        <f t="shared" si="289"/>
        <v>-73.407904605306541</v>
      </c>
      <c r="AS317" t="str">
        <f t="shared" si="266"/>
        <v>-0.0000166666666666667</v>
      </c>
      <c r="AT317" t="str">
        <f t="shared" si="267"/>
        <v>0.000208765526643511i</v>
      </c>
      <c r="AU317">
        <f t="shared" si="290"/>
        <v>2.08765526643511E-4</v>
      </c>
      <c r="AV317">
        <f t="shared" si="291"/>
        <v>1.5707963267948966</v>
      </c>
      <c r="AW317" t="str">
        <f t="shared" si="268"/>
        <v>1+0.21216067534671i</v>
      </c>
      <c r="AX317">
        <f t="shared" si="292"/>
        <v>1.0222583588132561</v>
      </c>
      <c r="AY317">
        <f t="shared" si="293"/>
        <v>0.20906070652181166</v>
      </c>
      <c r="AZ317" t="str">
        <f t="shared" si="269"/>
        <v>1+7.21346296178815i</v>
      </c>
      <c r="BA317">
        <f t="shared" si="294"/>
        <v>7.2824479332906638</v>
      </c>
      <c r="BB317">
        <f t="shared" si="295"/>
        <v>1.4330446239046055</v>
      </c>
      <c r="BC317" s="41" t="str">
        <f t="shared" si="296"/>
        <v>-0.534869030490196+0.193312556080242i</v>
      </c>
      <c r="BD317">
        <f t="shared" si="297"/>
        <v>-4.9018663579379655</v>
      </c>
      <c r="BE317" s="43">
        <f t="shared" si="298"/>
        <v>160.12911265792326</v>
      </c>
      <c r="BF317" s="41" t="str">
        <f t="shared" si="299"/>
        <v>0.215721340864141+0.780644445068557i</v>
      </c>
      <c r="BG317" s="20">
        <f t="shared" si="300"/>
        <v>-1.831349267645147</v>
      </c>
      <c r="BH317" s="43">
        <f t="shared" si="301"/>
        <v>74.552527509283962</v>
      </c>
      <c r="BI317" s="41" t="str">
        <f t="shared" si="306"/>
        <v>0.210416495934325+3.6729424257626i</v>
      </c>
      <c r="BJ317" s="20">
        <f t="shared" si="302"/>
        <v>11.314512383319169</v>
      </c>
      <c r="BK317" s="43">
        <f t="shared" si="307"/>
        <v>86.721208052616717</v>
      </c>
      <c r="BL317">
        <f t="shared" si="303"/>
        <v>-1.831349267645147</v>
      </c>
      <c r="BM317" s="43">
        <f t="shared" si="304"/>
        <v>74.552527509283962</v>
      </c>
    </row>
    <row r="318" spans="14:65" x14ac:dyDescent="0.25">
      <c r="N318" s="9">
        <v>100</v>
      </c>
      <c r="O318" s="34">
        <f t="shared" si="305"/>
        <v>10000</v>
      </c>
      <c r="P318" s="33" t="str">
        <f t="shared" si="257"/>
        <v>19.1021967526266</v>
      </c>
      <c r="Q318" s="4" t="str">
        <f t="shared" si="258"/>
        <v>1+14.1026604315874i</v>
      </c>
      <c r="R318" s="4">
        <f t="shared" si="270"/>
        <v>14.138070280227812</v>
      </c>
      <c r="S318" s="4">
        <f t="shared" si="271"/>
        <v>1.5000062065327544</v>
      </c>
      <c r="T318" s="4" t="str">
        <f t="shared" si="259"/>
        <v>1+0.236247767549952i</v>
      </c>
      <c r="U318" s="4">
        <f t="shared" si="272"/>
        <v>1.0275276189340783</v>
      </c>
      <c r="V318" s="4">
        <f t="shared" si="273"/>
        <v>0.23199409723245054</v>
      </c>
      <c r="W318" t="str">
        <f t="shared" si="260"/>
        <v>1-0.130899693899575i</v>
      </c>
      <c r="X318" s="4">
        <f t="shared" si="274"/>
        <v>1.0085309761544274</v>
      </c>
      <c r="Y318" s="4">
        <f t="shared" si="275"/>
        <v>-0.13015964383300516</v>
      </c>
      <c r="Z318" t="str">
        <f t="shared" si="261"/>
        <v>0.9999+0.0973893722612836i</v>
      </c>
      <c r="AA318" s="4">
        <f t="shared" si="276"/>
        <v>1.0046316239445416</v>
      </c>
      <c r="AB318" s="4">
        <f t="shared" si="277"/>
        <v>9.7092858421269981E-2</v>
      </c>
      <c r="AC318" s="47" t="str">
        <f t="shared" si="278"/>
        <v>0.105168432953403-1.38972562461077i</v>
      </c>
      <c r="AD318" s="20">
        <f t="shared" si="279"/>
        <v>2.8833815760297812</v>
      </c>
      <c r="AE318" s="43">
        <f t="shared" si="280"/>
        <v>-85.672351497345844</v>
      </c>
      <c r="AF318" t="str">
        <f t="shared" si="262"/>
        <v>69.5520360182888</v>
      </c>
      <c r="AG318" t="str">
        <f t="shared" si="263"/>
        <v>1+11.2498936928549i</v>
      </c>
      <c r="AH318">
        <f t="shared" si="281"/>
        <v>11.294251108441696</v>
      </c>
      <c r="AI318">
        <f t="shared" si="282"/>
        <v>1.4821396115466319</v>
      </c>
      <c r="AJ318" t="str">
        <f t="shared" si="264"/>
        <v>1+0.236247767549952i</v>
      </c>
      <c r="AK318">
        <f t="shared" si="283"/>
        <v>1.0275276189340783</v>
      </c>
      <c r="AL318">
        <f t="shared" si="284"/>
        <v>0.23199409723245054</v>
      </c>
      <c r="AM318" t="str">
        <f t="shared" si="265"/>
        <v>1-0.0286786860477275i</v>
      </c>
      <c r="AN318">
        <f t="shared" si="285"/>
        <v>1.0004111489949641</v>
      </c>
      <c r="AO318">
        <f t="shared" si="286"/>
        <v>-2.8670827500788545E-2</v>
      </c>
      <c r="AP318" s="41" t="str">
        <f t="shared" si="287"/>
        <v>1.82217094802399-6.06237722255271i</v>
      </c>
      <c r="AQ318">
        <f t="shared" si="288"/>
        <v>16.028488712029706</v>
      </c>
      <c r="AR318" s="43">
        <f t="shared" si="289"/>
        <v>-73.270779158357058</v>
      </c>
      <c r="AS318" t="str">
        <f t="shared" si="266"/>
        <v>-0.0000166666666666667</v>
      </c>
      <c r="AT318" t="str">
        <f t="shared" si="267"/>
        <v>0.000213628300444106i</v>
      </c>
      <c r="AU318">
        <f t="shared" si="290"/>
        <v>2.13628300444106E-4</v>
      </c>
      <c r="AV318">
        <f t="shared" si="291"/>
        <v>1.5707963267948966</v>
      </c>
      <c r="AW318" t="str">
        <f t="shared" si="268"/>
        <v>1+0.217102532319841i</v>
      </c>
      <c r="AX318">
        <f t="shared" si="292"/>
        <v>1.0232954165536401</v>
      </c>
      <c r="AY318">
        <f t="shared" si="293"/>
        <v>0.21378492624162446</v>
      </c>
      <c r="AZ318" t="str">
        <f t="shared" si="269"/>
        <v>1+7.38148609887458i</v>
      </c>
      <c r="BA318">
        <f t="shared" si="294"/>
        <v>7.4489151577849695</v>
      </c>
      <c r="BB318">
        <f t="shared" si="295"/>
        <v>1.4361420386920183</v>
      </c>
      <c r="BC318" s="41" t="str">
        <f t="shared" si="296"/>
        <v>-0.533785454849888+0.193903302930024i</v>
      </c>
      <c r="BD318">
        <f t="shared" si="297"/>
        <v>-4.914360738459763</v>
      </c>
      <c r="BE318" s="43">
        <f t="shared" si="298"/>
        <v>160.03590360120577</v>
      </c>
      <c r="BF318" s="41" t="str">
        <f t="shared" si="299"/>
        <v>0.213335008958637+0.762207831163044i</v>
      </c>
      <c r="BG318" s="20">
        <f t="shared" si="300"/>
        <v>-2.0309791624299853</v>
      </c>
      <c r="BH318" s="43">
        <f t="shared" si="301"/>
        <v>74.363552103859931</v>
      </c>
      <c r="BI318" s="41" t="str">
        <f t="shared" si="306"/>
        <v>0.202866618755478+3.58933374853688i</v>
      </c>
      <c r="BJ318" s="20">
        <f t="shared" si="302"/>
        <v>11.114127973569934</v>
      </c>
      <c r="BK318" s="43">
        <f t="shared" si="307"/>
        <v>86.765124442848716</v>
      </c>
      <c r="BL318">
        <f t="shared" si="303"/>
        <v>-2.0309791624299853</v>
      </c>
      <c r="BM318" s="43">
        <f t="shared" si="304"/>
        <v>74.363552103859931</v>
      </c>
    </row>
    <row r="319" spans="14:65" x14ac:dyDescent="0.25">
      <c r="N319" s="9">
        <v>1</v>
      </c>
      <c r="O319" s="34">
        <f>10^(4+(N319/100))</f>
        <v>10232.929922807549</v>
      </c>
      <c r="P319" s="33" t="str">
        <f t="shared" si="257"/>
        <v>19.1021967526266</v>
      </c>
      <c r="Q319" s="4" t="str">
        <f t="shared" si="258"/>
        <v>1+14.4311535921585i</v>
      </c>
      <c r="R319" s="4">
        <f t="shared" si="270"/>
        <v>14.465759364805885</v>
      </c>
      <c r="S319" s="4">
        <f t="shared" si="271"/>
        <v>1.5016123899796985</v>
      </c>
      <c r="T319" s="4" t="str">
        <f t="shared" si="259"/>
        <v>1+0.241750684975839i</v>
      </c>
      <c r="U319" s="4">
        <f t="shared" si="272"/>
        <v>1.0288067815125868</v>
      </c>
      <c r="V319" s="4">
        <f t="shared" si="273"/>
        <v>0.23719965937159754</v>
      </c>
      <c r="W319" t="str">
        <f t="shared" si="260"/>
        <v>1-0.133948739459131i</v>
      </c>
      <c r="X319" s="4">
        <f t="shared" si="274"/>
        <v>1.008931248798792</v>
      </c>
      <c r="Y319" s="4">
        <f t="shared" si="275"/>
        <v>-0.13315614015279176</v>
      </c>
      <c r="Z319" t="str">
        <f t="shared" si="261"/>
        <v>0.999895287145195+0.0996578621575931i</v>
      </c>
      <c r="AA319" s="4">
        <f t="shared" si="276"/>
        <v>1.0048493791335067</v>
      </c>
      <c r="AB319" s="4">
        <f t="shared" si="277"/>
        <v>9.9340224597711788E-2</v>
      </c>
      <c r="AC319" s="47" t="str">
        <f t="shared" si="278"/>
        <v>0.100695639305193-1.36034775272371i</v>
      </c>
      <c r="AD319" s="20">
        <f t="shared" si="279"/>
        <v>2.6967300129697542</v>
      </c>
      <c r="AE319" s="43">
        <f t="shared" si="280"/>
        <v>-85.766573478794086</v>
      </c>
      <c r="AF319" t="str">
        <f t="shared" si="262"/>
        <v>69.5520360182888</v>
      </c>
      <c r="AG319" t="str">
        <f t="shared" si="263"/>
        <v>1+11.5119373798019i</v>
      </c>
      <c r="AH319">
        <f t="shared" si="281"/>
        <v>11.55528892916487</v>
      </c>
      <c r="AI319">
        <f t="shared" si="282"/>
        <v>1.4841474822579468</v>
      </c>
      <c r="AJ319" t="str">
        <f t="shared" si="264"/>
        <v>1+0.241750684975839i</v>
      </c>
      <c r="AK319">
        <f t="shared" si="283"/>
        <v>1.0288067815125868</v>
      </c>
      <c r="AL319">
        <f t="shared" si="284"/>
        <v>0.23719965937159754</v>
      </c>
      <c r="AM319" t="str">
        <f t="shared" si="265"/>
        <v>1-0.0293466984604593i</v>
      </c>
      <c r="AN319">
        <f t="shared" si="285"/>
        <v>1.0004305216808058</v>
      </c>
      <c r="AO319">
        <f t="shared" si="286"/>
        <v>-2.9338278071401915E-2</v>
      </c>
      <c r="AP319" s="41" t="str">
        <f t="shared" si="287"/>
        <v>1.79826518267136-5.92838645464493i</v>
      </c>
      <c r="AQ319">
        <f t="shared" si="288"/>
        <v>15.840995798506736</v>
      </c>
      <c r="AR319" s="43">
        <f t="shared" si="289"/>
        <v>-73.125807036086854</v>
      </c>
      <c r="AS319" t="str">
        <f t="shared" si="266"/>
        <v>-0.0000166666666666667</v>
      </c>
      <c r="AT319" t="str">
        <f t="shared" si="267"/>
        <v>0.000218604342797301i</v>
      </c>
      <c r="AU319">
        <f t="shared" si="290"/>
        <v>2.18604342797301E-4</v>
      </c>
      <c r="AV319">
        <f t="shared" si="291"/>
        <v>1.5707963267948966</v>
      </c>
      <c r="AW319" t="str">
        <f t="shared" si="268"/>
        <v>1+0.222159499929299i</v>
      </c>
      <c r="AX319">
        <f t="shared" si="292"/>
        <v>1.024380224042243</v>
      </c>
      <c r="AY319">
        <f t="shared" si="293"/>
        <v>0.21860917442449759</v>
      </c>
      <c r="AZ319" t="str">
        <f t="shared" si="269"/>
        <v>1+7.55342299759616i</v>
      </c>
      <c r="BA319">
        <f t="shared" si="294"/>
        <v>7.6193306123710469</v>
      </c>
      <c r="BB319">
        <f t="shared" si="295"/>
        <v>1.4391714616124911</v>
      </c>
      <c r="BC319" s="41" t="str">
        <f t="shared" si="296"/>
        <v>-0.532655507513994+0.194575723482182i</v>
      </c>
      <c r="BD319">
        <f t="shared" si="297"/>
        <v>-4.927088058253835</v>
      </c>
      <c r="BE319" s="43">
        <f t="shared" si="298"/>
        <v>159.93306768870676</v>
      </c>
      <c r="BF319" s="41" t="str">
        <f t="shared" si="299"/>
        <v>0.211054561315023+0.744189649491878i</v>
      </c>
      <c r="BG319" s="20">
        <f t="shared" si="300"/>
        <v>-2.2303580452840772</v>
      </c>
      <c r="BH319" s="43">
        <f t="shared" si="301"/>
        <v>74.166494209912642</v>
      </c>
      <c r="BI319" s="41" t="str">
        <f t="shared" si="306"/>
        <v>0.195664229973947+3.50768644466908i</v>
      </c>
      <c r="BJ319" s="20">
        <f t="shared" si="302"/>
        <v>10.913907740252897</v>
      </c>
      <c r="BK319" s="43">
        <f t="shared" si="307"/>
        <v>86.807260652619902</v>
      </c>
      <c r="BL319">
        <f t="shared" si="303"/>
        <v>-2.2303580452840772</v>
      </c>
      <c r="BM319" s="43">
        <f t="shared" si="304"/>
        <v>74.166494209912642</v>
      </c>
    </row>
    <row r="320" spans="14:65" x14ac:dyDescent="0.25">
      <c r="N320" s="9">
        <v>2</v>
      </c>
      <c r="O320" s="34">
        <f t="shared" ref="O320:O383" si="308">10^(4+(N320/100))</f>
        <v>10471.285480509003</v>
      </c>
      <c r="P320" s="33" t="str">
        <f t="shared" si="257"/>
        <v>19.1021967526266</v>
      </c>
      <c r="Q320" s="4" t="str">
        <f t="shared" si="258"/>
        <v>1+14.767298341383i</v>
      </c>
      <c r="R320" s="4">
        <f t="shared" si="270"/>
        <v>14.801118211250564</v>
      </c>
      <c r="S320" s="4">
        <f t="shared" si="271"/>
        <v>1.5031823577846899</v>
      </c>
      <c r="T320" s="4" t="str">
        <f t="shared" si="259"/>
        <v>1+0.247381781814848i</v>
      </c>
      <c r="U320" s="4">
        <f t="shared" si="272"/>
        <v>1.0301445267407332</v>
      </c>
      <c r="V320" s="4">
        <f t="shared" si="273"/>
        <v>0.24251294376035634</v>
      </c>
      <c r="W320" t="str">
        <f t="shared" si="260"/>
        <v>1-0.137068806413369i</v>
      </c>
      <c r="X320" s="4">
        <f t="shared" si="274"/>
        <v>1.0093502155800957</v>
      </c>
      <c r="Y320" s="4">
        <f t="shared" si="275"/>
        <v>-0.13621994528826628</v>
      </c>
      <c r="Z320" t="str">
        <f t="shared" si="261"/>
        <v>0.999890352180386+0.101979191971546i</v>
      </c>
      <c r="AA320" s="4">
        <f t="shared" si="276"/>
        <v>1.0050773462667368</v>
      </c>
      <c r="AB320" s="4">
        <f t="shared" si="277"/>
        <v>0.10163892997545966</v>
      </c>
      <c r="AC320" s="47" t="str">
        <f t="shared" si="278"/>
        <v>0.0964045447196957-1.33166279163617i</v>
      </c>
      <c r="AD320" s="20">
        <f t="shared" si="279"/>
        <v>2.5105868385160846</v>
      </c>
      <c r="AE320" s="43">
        <f t="shared" si="280"/>
        <v>-85.859346457165103</v>
      </c>
      <c r="AF320" t="str">
        <f t="shared" si="262"/>
        <v>69.5520360182888</v>
      </c>
      <c r="AG320" t="str">
        <f t="shared" si="263"/>
        <v>1+11.7800848483261i</v>
      </c>
      <c r="AH320">
        <f t="shared" si="281"/>
        <v>11.822453173253095</v>
      </c>
      <c r="AI320">
        <f t="shared" si="282"/>
        <v>1.4861103252809169</v>
      </c>
      <c r="AJ320" t="str">
        <f t="shared" si="264"/>
        <v>1+0.247381781814848i</v>
      </c>
      <c r="AK320">
        <f t="shared" si="283"/>
        <v>1.0301445267407332</v>
      </c>
      <c r="AL320">
        <f t="shared" si="284"/>
        <v>0.24251294376035634</v>
      </c>
      <c r="AM320" t="str">
        <f t="shared" si="265"/>
        <v>1-0.0300302708811644i</v>
      </c>
      <c r="AN320">
        <f t="shared" si="285"/>
        <v>1.0004508069711355</v>
      </c>
      <c r="AO320">
        <f t="shared" si="286"/>
        <v>-3.0021248491297049E-2</v>
      </c>
      <c r="AP320" s="41" t="str">
        <f t="shared" si="287"/>
        <v>1.77541959543309-5.79735335849347i</v>
      </c>
      <c r="AQ320">
        <f t="shared" si="288"/>
        <v>15.653922870336279</v>
      </c>
      <c r="AR320" s="43">
        <f t="shared" si="289"/>
        <v>-72.972972208913305</v>
      </c>
      <c r="AS320" t="str">
        <f t="shared" si="266"/>
        <v>-0.0000166666666666667</v>
      </c>
      <c r="AT320" t="str">
        <f t="shared" si="267"/>
        <v>0.000223696292066618i</v>
      </c>
      <c r="AU320">
        <f t="shared" si="290"/>
        <v>2.23696292066618E-4</v>
      </c>
      <c r="AV320">
        <f t="shared" si="291"/>
        <v>1.5707963267948966</v>
      </c>
      <c r="AW320" t="str">
        <f t="shared" si="268"/>
        <v>1+0.227334259446248i</v>
      </c>
      <c r="AX320">
        <f t="shared" si="292"/>
        <v>1.0255149270088535</v>
      </c>
      <c r="AY320">
        <f t="shared" si="293"/>
        <v>0.22353511032713269</v>
      </c>
      <c r="AZ320" t="str">
        <f t="shared" si="269"/>
        <v>1+7.72936482117244i</v>
      </c>
      <c r="BA320">
        <f t="shared" si="294"/>
        <v>7.7937847377752272</v>
      </c>
      <c r="BB320">
        <f t="shared" si="295"/>
        <v>1.4421342763707052</v>
      </c>
      <c r="BC320" s="41" t="str">
        <f t="shared" si="296"/>
        <v>-0.531477423431974+0.195328806214104i</v>
      </c>
      <c r="BD320">
        <f t="shared" si="297"/>
        <v>-4.940072308699003</v>
      </c>
      <c r="BE320" s="43">
        <f t="shared" si="298"/>
        <v>159.82058913245851</v>
      </c>
      <c r="BF320" s="41" t="str">
        <f t="shared" si="299"/>
        <v>0.208875264335278+0.726579294012734i</v>
      </c>
      <c r="BG320" s="20">
        <f t="shared" si="300"/>
        <v>-2.4294854701829163</v>
      </c>
      <c r="BH320" s="43">
        <f t="shared" si="301"/>
        <v>73.961242675293391</v>
      </c>
      <c r="BI320" s="41" t="str">
        <f t="shared" si="306"/>
        <v>0.18879467862444+3.42795301580188i</v>
      </c>
      <c r="BJ320" s="20">
        <f t="shared" si="302"/>
        <v>10.713850561637265</v>
      </c>
      <c r="BK320" s="43">
        <f t="shared" si="307"/>
        <v>86.847616923545175</v>
      </c>
      <c r="BL320">
        <f t="shared" si="303"/>
        <v>-2.4294854701829163</v>
      </c>
      <c r="BM320" s="43">
        <f t="shared" si="304"/>
        <v>73.961242675293391</v>
      </c>
    </row>
    <row r="321" spans="14:65" x14ac:dyDescent="0.25">
      <c r="N321" s="9">
        <v>3</v>
      </c>
      <c r="O321" s="34">
        <f t="shared" si="308"/>
        <v>10715.193052376071</v>
      </c>
      <c r="P321" s="33" t="str">
        <f t="shared" si="257"/>
        <v>19.1021967526266</v>
      </c>
      <c r="Q321" s="4" t="str">
        <f t="shared" si="258"/>
        <v>1+15.1112729076564i</v>
      </c>
      <c r="R321" s="4">
        <f t="shared" si="270"/>
        <v>15.144324642904031</v>
      </c>
      <c r="S321" s="4">
        <f t="shared" si="271"/>
        <v>1.5047169113907974</v>
      </c>
      <c r="T321" s="4" t="str">
        <f t="shared" si="259"/>
        <v>1+0.25314404374906i</v>
      </c>
      <c r="U321" s="4">
        <f t="shared" si="272"/>
        <v>1.031543458554038</v>
      </c>
      <c r="V321" s="4">
        <f t="shared" si="273"/>
        <v>0.24793556705828843</v>
      </c>
      <c r="W321" t="str">
        <f t="shared" si="260"/>
        <v>1-0.140261549063088i</v>
      </c>
      <c r="X321" s="4">
        <f t="shared" si="274"/>
        <v>1.0097887413442364</v>
      </c>
      <c r="Y321" s="4">
        <f t="shared" si="275"/>
        <v>-0.13935245351098871</v>
      </c>
      <c r="Z321" t="str">
        <f t="shared" si="261"/>
        <v>0.99988518463785+0.104354592502937i</v>
      </c>
      <c r="AA321" s="4">
        <f t="shared" si="276"/>
        <v>1.0053160017798988</v>
      </c>
      <c r="AB321" s="4">
        <f t="shared" si="277"/>
        <v>0.10399009923864953</v>
      </c>
      <c r="AC321" s="47" t="str">
        <f t="shared" si="278"/>
        <v>0.0922863146111122-1.30365716346712i</v>
      </c>
      <c r="AD321" s="20">
        <f t="shared" si="279"/>
        <v>2.3249772272315012</v>
      </c>
      <c r="AE321" s="43">
        <f t="shared" si="280"/>
        <v>-85.950768049524513</v>
      </c>
      <c r="AF321" t="str">
        <f t="shared" si="262"/>
        <v>69.5520360182888</v>
      </c>
      <c r="AG321" t="str">
        <f t="shared" si="263"/>
        <v>1+12.0544782737648i</v>
      </c>
      <c r="AH321">
        <f t="shared" si="281"/>
        <v>12.095885517508323</v>
      </c>
      <c r="AI321">
        <f t="shared" si="282"/>
        <v>1.4880291208085141</v>
      </c>
      <c r="AJ321" t="str">
        <f t="shared" si="264"/>
        <v>1+0.25314404374906i</v>
      </c>
      <c r="AK321">
        <f t="shared" si="283"/>
        <v>1.031543458554038</v>
      </c>
      <c r="AL321">
        <f t="shared" si="284"/>
        <v>0.24793556705828843</v>
      </c>
      <c r="AM321" t="str">
        <f t="shared" si="265"/>
        <v>1-0.0307297657489884i</v>
      </c>
      <c r="AN321">
        <f t="shared" si="285"/>
        <v>1.0004720478369136</v>
      </c>
      <c r="AO321">
        <f t="shared" si="286"/>
        <v>-3.072009833040781E-2</v>
      </c>
      <c r="AP321" s="41" t="str">
        <f t="shared" si="287"/>
        <v>1.75358784246358-5.66922067367262i</v>
      </c>
      <c r="AQ321">
        <f t="shared" si="288"/>
        <v>15.467293375073126</v>
      </c>
      <c r="AR321" s="43">
        <f t="shared" si="289"/>
        <v>-72.812258811826894</v>
      </c>
      <c r="AS321" t="str">
        <f t="shared" si="266"/>
        <v>-0.0000166666666666667</v>
      </c>
      <c r="AT321" t="str">
        <f t="shared" si="267"/>
        <v>0.000228906848070959i</v>
      </c>
      <c r="AU321">
        <f t="shared" si="290"/>
        <v>2.2890684807095899E-4</v>
      </c>
      <c r="AV321">
        <f t="shared" si="291"/>
        <v>1.5707963267948966</v>
      </c>
      <c r="AW321" t="str">
        <f t="shared" si="268"/>
        <v>1+0.232629554596681i</v>
      </c>
      <c r="AX321">
        <f t="shared" si="292"/>
        <v>1.0267017627684536</v>
      </c>
      <c r="AY321">
        <f t="shared" si="293"/>
        <v>0.22856438909615573</v>
      </c>
      <c r="AZ321" t="str">
        <f t="shared" si="269"/>
        <v>1+7.90940485628714i</v>
      </c>
      <c r="BA321">
        <f t="shared" si="294"/>
        <v>7.9723701106169544</v>
      </c>
      <c r="BB321">
        <f t="shared" si="295"/>
        <v>1.4450318457127342</v>
      </c>
      <c r="BC321" s="41" t="str">
        <f t="shared" si="296"/>
        <v>-0.530249390413403+0.196161500660959i</v>
      </c>
      <c r="BD321">
        <f t="shared" si="297"/>
        <v>-4.9533378240494903</v>
      </c>
      <c r="BE321" s="43">
        <f t="shared" si="298"/>
        <v>159.69845117914352</v>
      </c>
      <c r="BF321" s="41" t="str">
        <f t="shared" si="299"/>
        <v>0.206792583467078+0.709366438201092i</v>
      </c>
      <c r="BG321" s="20">
        <f t="shared" si="300"/>
        <v>-2.628360596817982</v>
      </c>
      <c r="BH321" s="43">
        <f t="shared" si="301"/>
        <v>73.747683129619006</v>
      </c>
      <c r="BI321" s="41" t="str">
        <f t="shared" si="306"/>
        <v>0.182243950423086+3.35008722905244i</v>
      </c>
      <c r="BJ321" s="20">
        <f t="shared" si="302"/>
        <v>10.513955551023638</v>
      </c>
      <c r="BK321" s="43">
        <f t="shared" si="307"/>
        <v>86.886192367316639</v>
      </c>
      <c r="BL321">
        <f t="shared" si="303"/>
        <v>-2.628360596817982</v>
      </c>
      <c r="BM321" s="43">
        <f t="shared" si="304"/>
        <v>73.747683129619006</v>
      </c>
    </row>
    <row r="322" spans="14:65" x14ac:dyDescent="0.25">
      <c r="N322" s="9">
        <v>4</v>
      </c>
      <c r="O322" s="34">
        <f t="shared" si="308"/>
        <v>10964.781961431856</v>
      </c>
      <c r="P322" s="33" t="str">
        <f t="shared" si="257"/>
        <v>19.1021967526266</v>
      </c>
      <c r="Q322" s="4" t="str">
        <f t="shared" si="258"/>
        <v>1+15.4632596708469i</v>
      </c>
      <c r="R322" s="4">
        <f t="shared" si="270"/>
        <v>15.4955606432307</v>
      </c>
      <c r="S322" s="4">
        <f t="shared" si="271"/>
        <v>1.5062168355131811</v>
      </c>
      <c r="T322" s="4" t="str">
        <f t="shared" si="259"/>
        <v>1+0.259040526006026i</v>
      </c>
      <c r="U322" s="4">
        <f t="shared" si="272"/>
        <v>1.0330062894839889</v>
      </c>
      <c r="V322" s="4">
        <f t="shared" si="273"/>
        <v>0.25346912825578133</v>
      </c>
      <c r="W322" t="str">
        <f t="shared" si="260"/>
        <v>1-0.143528660242701i</v>
      </c>
      <c r="X322" s="4">
        <f t="shared" si="274"/>
        <v>1.0102477301687269</v>
      </c>
      <c r="Y322" s="4">
        <f t="shared" si="275"/>
        <v>-0.14255507968448825</v>
      </c>
      <c r="Z322" t="str">
        <f t="shared" si="261"/>
        <v>0.999879773556538+0.106785323220569i</v>
      </c>
      <c r="AA322" s="4">
        <f t="shared" si="276"/>
        <v>1.0055658441011186</v>
      </c>
      <c r="AB322" s="4">
        <f t="shared" si="277"/>
        <v>0.1063948782975313</v>
      </c>
      <c r="AC322" s="47" t="str">
        <f t="shared" si="278"/>
        <v>0.088332462350726-1.27631752628162i</v>
      </c>
      <c r="AD322" s="20">
        <f t="shared" si="279"/>
        <v>2.1399271145644825</v>
      </c>
      <c r="AE322" s="43">
        <f t="shared" si="280"/>
        <v>-86.040938322868257</v>
      </c>
      <c r="AF322" t="str">
        <f t="shared" si="262"/>
        <v>69.5520360182888</v>
      </c>
      <c r="AG322" t="str">
        <f t="shared" si="263"/>
        <v>1+12.3352631431441i</v>
      </c>
      <c r="AH322">
        <f t="shared" si="281"/>
        <v>12.375730960658821</v>
      </c>
      <c r="AI322">
        <f t="shared" si="282"/>
        <v>1.4899048296634907</v>
      </c>
      <c r="AJ322" t="str">
        <f t="shared" si="264"/>
        <v>1+0.259040526006026i</v>
      </c>
      <c r="AK322">
        <f t="shared" si="283"/>
        <v>1.0330062894839889</v>
      </c>
      <c r="AL322">
        <f t="shared" si="284"/>
        <v>0.25346912825578133</v>
      </c>
      <c r="AM322" t="str">
        <f t="shared" si="265"/>
        <v>1-0.0314455539453689i</v>
      </c>
      <c r="AN322">
        <f t="shared" si="285"/>
        <v>1.000494289270524</v>
      </c>
      <c r="AO322">
        <f t="shared" si="286"/>
        <v>-3.1435195396110706E-2</v>
      </c>
      <c r="AP322" s="41" t="str">
        <f t="shared" si="287"/>
        <v>1.73272554687135-5.54393188116206i</v>
      </c>
      <c r="AQ322">
        <f t="shared" si="288"/>
        <v>15.281131360160987</v>
      </c>
      <c r="AR322" s="43">
        <f t="shared" si="289"/>
        <v>-72.643651354325598</v>
      </c>
      <c r="AS322" t="str">
        <f t="shared" si="266"/>
        <v>-0.0000166666666666667</v>
      </c>
      <c r="AT322" t="str">
        <f t="shared" si="267"/>
        <v>0.000234238773516088i</v>
      </c>
      <c r="AU322">
        <f t="shared" si="290"/>
        <v>2.3423877351608799E-4</v>
      </c>
      <c r="AV322">
        <f t="shared" si="291"/>
        <v>1.5707963267948966</v>
      </c>
      <c r="AW322" t="str">
        <f t="shared" si="268"/>
        <v>1+0.238048193016176i</v>
      </c>
      <c r="AX322">
        <f t="shared" si="292"/>
        <v>1.0279430636948073</v>
      </c>
      <c r="AY322">
        <f t="shared" si="293"/>
        <v>0.23369865919555835</v>
      </c>
      <c r="AZ322" t="str">
        <f t="shared" si="269"/>
        <v>1+8.09363856254999i</v>
      </c>
      <c r="BA322">
        <f t="shared" si="294"/>
        <v>8.1551814928422193</v>
      </c>
      <c r="BB322">
        <f t="shared" si="295"/>
        <v>1.4478655112427572</v>
      </c>
      <c r="BC322" s="41" t="str">
        <f t="shared" si="296"/>
        <v>-0.528969549776379+0.197072712757829i</v>
      </c>
      <c r="BD322">
        <f t="shared" si="297"/>
        <v>-4.9669093097256658</v>
      </c>
      <c r="BE322" s="43">
        <f t="shared" si="298"/>
        <v>159.56663624698948</v>
      </c>
      <c r="BF322" s="41" t="str">
        <f t="shared" si="299"/>
        <v>0.204802174404378+0.692541025228927i</v>
      </c>
      <c r="BG322" s="20">
        <f t="shared" si="300"/>
        <v>-2.8269821951611798</v>
      </c>
      <c r="BH322" s="43">
        <f t="shared" si="301"/>
        <v>73.525697924121246</v>
      </c>
      <c r="BI322" s="41" t="str">
        <f t="shared" si="306"/>
        <v>0.175998642750653+3.27404407515594i</v>
      </c>
      <c r="BJ322" s="20">
        <f t="shared" si="302"/>
        <v>10.314222050435324</v>
      </c>
      <c r="BK322" s="43">
        <f t="shared" si="307"/>
        <v>86.922984892663891</v>
      </c>
      <c r="BL322">
        <f t="shared" si="303"/>
        <v>-2.8269821951611798</v>
      </c>
      <c r="BM322" s="43">
        <f t="shared" si="304"/>
        <v>73.525697924121246</v>
      </c>
    </row>
    <row r="323" spans="14:65" x14ac:dyDescent="0.25">
      <c r="N323" s="9">
        <v>5</v>
      </c>
      <c r="O323" s="34">
        <f t="shared" si="308"/>
        <v>11220.184543019639</v>
      </c>
      <c r="P323" s="33" t="str">
        <f t="shared" si="257"/>
        <v>19.1021967526266</v>
      </c>
      <c r="Q323" s="4" t="str">
        <f t="shared" si="258"/>
        <v>1+15.8234452589952i</v>
      </c>
      <c r="R323" s="4">
        <f t="shared" si="270"/>
        <v>15.855012452357698</v>
      </c>
      <c r="S323" s="4">
        <f t="shared" si="271"/>
        <v>1.5076828984203554</v>
      </c>
      <c r="T323" s="4" t="str">
        <f t="shared" si="259"/>
        <v>1+0.265074354978687i</v>
      </c>
      <c r="U323" s="4">
        <f t="shared" si="272"/>
        <v>1.0345358445541493</v>
      </c>
      <c r="V323" s="4">
        <f t="shared" si="273"/>
        <v>0.25911520523476073</v>
      </c>
      <c r="W323" t="str">
        <f t="shared" si="260"/>
        <v>1-0.146871872217801i</v>
      </c>
      <c r="X323" s="4">
        <f t="shared" si="274"/>
        <v>1.0107281270691748</v>
      </c>
      <c r="Y323" s="4">
        <f t="shared" si="275"/>
        <v>-0.14582925895613119</v>
      </c>
      <c r="Z323" t="str">
        <f t="shared" si="261"/>
        <v>0.999874107458821+0.109272672930044i</v>
      </c>
      <c r="AA323" s="4">
        <f t="shared" si="276"/>
        <v>1.0058273946437581</v>
      </c>
      <c r="AB323" s="4">
        <f t="shared" si="277"/>
        <v>0.10885443444151015</v>
      </c>
      <c r="AC323" s="47" t="str">
        <f t="shared" si="278"/>
        <v>0.0845348333229246-1.24963077395903i</v>
      </c>
      <c r="AD323" s="20">
        <f t="shared" si="279"/>
        <v>1.9554632198661637</v>
      </c>
      <c r="AE323" s="43">
        <f t="shared" si="280"/>
        <v>-86.129959998408324</v>
      </c>
      <c r="AF323" t="str">
        <f t="shared" si="262"/>
        <v>69.5520360182888</v>
      </c>
      <c r="AG323" t="str">
        <f t="shared" si="263"/>
        <v>1+12.6225883323185i</v>
      </c>
      <c r="AH323">
        <f t="shared" si="281"/>
        <v>12.662137900338282</v>
      </c>
      <c r="AI323">
        <f t="shared" si="282"/>
        <v>1.4917383935479021</v>
      </c>
      <c r="AJ323" t="str">
        <f t="shared" si="264"/>
        <v>1+0.265074354978687i</v>
      </c>
      <c r="AK323">
        <f t="shared" si="283"/>
        <v>1.0345358445541493</v>
      </c>
      <c r="AL323">
        <f t="shared" si="284"/>
        <v>0.25911520523476073</v>
      </c>
      <c r="AM323" t="str">
        <f t="shared" si="265"/>
        <v>1-0.0321780149906824i</v>
      </c>
      <c r="AN323">
        <f t="shared" si="285"/>
        <v>1.0005175783806801</v>
      </c>
      <c r="AO323">
        <f t="shared" si="286"/>
        <v>-3.2166915915264341E-2</v>
      </c>
      <c r="AP323" s="41" t="str">
        <f t="shared" si="287"/>
        <v>1.71279022041261-5.42143122451613i</v>
      </c>
      <c r="AQ323">
        <f t="shared" si="288"/>
        <v>15.095461494093795</v>
      </c>
      <c r="AR323" s="43">
        <f t="shared" si="289"/>
        <v>-72.467134942199152</v>
      </c>
      <c r="AS323" t="str">
        <f t="shared" si="266"/>
        <v>-0.0000166666666666667</v>
      </c>
      <c r="AT323" t="str">
        <f t="shared" si="267"/>
        <v>0.000239694895459451i</v>
      </c>
      <c r="AU323">
        <f t="shared" si="290"/>
        <v>2.3969489545945099E-4</v>
      </c>
      <c r="AV323">
        <f t="shared" si="291"/>
        <v>1.5707963267948966</v>
      </c>
      <c r="AW323" t="str">
        <f t="shared" si="268"/>
        <v>1+0.24359304773855i</v>
      </c>
      <c r="AX323">
        <f t="shared" si="292"/>
        <v>1.0292412607870691</v>
      </c>
      <c r="AY323">
        <f t="shared" si="293"/>
        <v>0.2389395596592534</v>
      </c>
      <c r="AZ323" t="str">
        <f t="shared" si="269"/>
        <v>1+8.28216362311069i</v>
      </c>
      <c r="BA323">
        <f t="shared" si="294"/>
        <v>8.3423158822941961</v>
      </c>
      <c r="BB323">
        <f t="shared" si="295"/>
        <v>1.4506365932835119</v>
      </c>
      <c r="BC323" s="41" t="str">
        <f t="shared" si="296"/>
        <v>-0.527635997224756+0.198061300042545i</v>
      </c>
      <c r="BD323">
        <f t="shared" si="297"/>
        <v>-4.9808118699662387</v>
      </c>
      <c r="BE323" s="43">
        <f t="shared" si="298"/>
        <v>159.4251260751914</v>
      </c>
      <c r="BF323" s="41" t="str">
        <f t="shared" si="299"/>
        <v>0.202899874582927+0.676093258567435i</v>
      </c>
      <c r="BG323" s="20">
        <f t="shared" si="300"/>
        <v>-3.0253486501000748</v>
      </c>
      <c r="BH323" s="43">
        <f t="shared" si="301"/>
        <v>73.295166076783119</v>
      </c>
      <c r="BI323" s="41" t="str">
        <f t="shared" si="306"/>
        <v>0.170045940434694+3.19977972828808i</v>
      </c>
      <c r="BJ323" s="20">
        <f t="shared" si="302"/>
        <v>10.11464962412756</v>
      </c>
      <c r="BK323" s="43">
        <f t="shared" si="307"/>
        <v>86.957991132992277</v>
      </c>
      <c r="BL323">
        <f t="shared" si="303"/>
        <v>-3.0253486501000748</v>
      </c>
      <c r="BM323" s="43">
        <f t="shared" si="304"/>
        <v>73.295166076783119</v>
      </c>
    </row>
    <row r="324" spans="14:65" x14ac:dyDescent="0.25">
      <c r="N324" s="9">
        <v>6</v>
      </c>
      <c r="O324" s="34">
        <f t="shared" si="308"/>
        <v>11481.536214968832</v>
      </c>
      <c r="P324" s="33" t="str">
        <f t="shared" si="257"/>
        <v>19.1021967526266</v>
      </c>
      <c r="Q324" s="4" t="str">
        <f t="shared" si="258"/>
        <v>1+16.1920206472679i</v>
      </c>
      <c r="R324" s="4">
        <f t="shared" si="270"/>
        <v>16.222870665870143</v>
      </c>
      <c r="S324" s="4">
        <f t="shared" si="271"/>
        <v>1.5091158522155219</v>
      </c>
      <c r="T324" s="4" t="str">
        <f t="shared" si="259"/>
        <v>1+0.271248729883031i</v>
      </c>
      <c r="U324" s="4">
        <f t="shared" si="272"/>
        <v>1.036135065260875</v>
      </c>
      <c r="V324" s="4">
        <f t="shared" si="273"/>
        <v>0.26487535112893074</v>
      </c>
      <c r="W324" t="str">
        <f t="shared" si="260"/>
        <v>1-0.15029295760363i</v>
      </c>
      <c r="X324" s="4">
        <f t="shared" si="274"/>
        <v>1.0112309197731477</v>
      </c>
      <c r="Y324" s="4">
        <f t="shared" si="275"/>
        <v>-0.1491764463926904</v>
      </c>
      <c r="Z324" t="str">
        <f t="shared" si="261"/>
        <v>0.999868174326144+0.111817960457101i</v>
      </c>
      <c r="AA324" s="4">
        <f t="shared" si="276"/>
        <v>1.0061011988418871</v>
      </c>
      <c r="AB324" s="4">
        <f t="shared" si="277"/>
        <v>0.11136995647301001</v>
      </c>
      <c r="AC324" s="47" t="str">
        <f t="shared" si="278"/>
        <v>0.0808855895476954-1.22358403566649i</v>
      </c>
      <c r="AD324" s="20">
        <f t="shared" si="279"/>
        <v>1.7716130685827536</v>
      </c>
      <c r="AE324" s="43">
        <f t="shared" si="280"/>
        <v>-86.21793866302427</v>
      </c>
      <c r="AF324" t="str">
        <f t="shared" si="262"/>
        <v>69.5520360182888</v>
      </c>
      <c r="AG324" t="str">
        <f t="shared" si="263"/>
        <v>1+12.9166061849063i</v>
      </c>
      <c r="AH324">
        <f t="shared" si="281"/>
        <v>12.955258211859757</v>
      </c>
      <c r="AI324">
        <f t="shared" si="282"/>
        <v>1.4935307352991902</v>
      </c>
      <c r="AJ324" t="str">
        <f t="shared" si="264"/>
        <v>1+0.271248729883031i</v>
      </c>
      <c r="AK324">
        <f t="shared" si="283"/>
        <v>1.036135065260875</v>
      </c>
      <c r="AL324">
        <f t="shared" si="284"/>
        <v>0.26487535112893074</v>
      </c>
      <c r="AM324" t="str">
        <f t="shared" si="265"/>
        <v>1-0.0329275372454704i</v>
      </c>
      <c r="AN324">
        <f t="shared" si="285"/>
        <v>1.0005419644917708</v>
      </c>
      <c r="AO324">
        <f t="shared" si="286"/>
        <v>-3.2915644719788577E-2</v>
      </c>
      <c r="AP324" s="41" t="str">
        <f t="shared" si="287"/>
        <v>1.69374118784035-5.30166372824003i</v>
      </c>
      <c r="AQ324">
        <f t="shared" si="288"/>
        <v>14.91030908665304</v>
      </c>
      <c r="AR324" s="43">
        <f t="shared" si="289"/>
        <v>-72.282695511376588</v>
      </c>
      <c r="AS324" t="str">
        <f t="shared" si="266"/>
        <v>-0.0000166666666666667</v>
      </c>
      <c r="AT324" t="str">
        <f t="shared" si="267"/>
        <v>0.000245278106809124i</v>
      </c>
      <c r="AU324">
        <f t="shared" si="290"/>
        <v>2.4527810680912402E-4</v>
      </c>
      <c r="AV324">
        <f t="shared" si="291"/>
        <v>1.5707963267948966</v>
      </c>
      <c r="AW324" t="str">
        <f t="shared" si="268"/>
        <v>1+0.249267058719169i</v>
      </c>
      <c r="AX324">
        <f t="shared" si="292"/>
        <v>1.0305988873283851</v>
      </c>
      <c r="AY324">
        <f t="shared" si="293"/>
        <v>0.24428871716262779</v>
      </c>
      <c r="AZ324" t="str">
        <f t="shared" si="269"/>
        <v>1+8.47507999645175i</v>
      </c>
      <c r="BA324">
        <f t="shared" si="294"/>
        <v>8.5338725644490729</v>
      </c>
      <c r="BB324">
        <f t="shared" si="295"/>
        <v>1.4533463907773205</v>
      </c>
      <c r="BC324" s="41" t="str">
        <f t="shared" si="296"/>
        <v>-0.526246783974431+0.199126066724559i</v>
      </c>
      <c r="BD324">
        <f t="shared" si="297"/>
        <v>-4.9950710347615743</v>
      </c>
      <c r="BE324" s="43">
        <f t="shared" si="298"/>
        <v>159.27390188602763</v>
      </c>
      <c r="BF324" s="41" t="str">
        <f t="shared" si="299"/>
        <v>0.20108169495988+0.660013592993276i</v>
      </c>
      <c r="BG324" s="20">
        <f t="shared" si="300"/>
        <v>-3.2234579661788141</v>
      </c>
      <c r="BH324" s="43">
        <f t="shared" si="301"/>
        <v>73.055963223003388</v>
      </c>
      <c r="BI324" s="41" t="str">
        <f t="shared" si="306"/>
        <v>0.164373592314681+3.12725150748424i</v>
      </c>
      <c r="BJ324" s="20">
        <f t="shared" si="302"/>
        <v>9.9152380518914693</v>
      </c>
      <c r="BK324" s="43">
        <f t="shared" si="307"/>
        <v>86.991206374651043</v>
      </c>
      <c r="BL324">
        <f t="shared" si="303"/>
        <v>-3.2234579661788141</v>
      </c>
      <c r="BM324" s="43">
        <f t="shared" si="304"/>
        <v>73.055963223003388</v>
      </c>
    </row>
    <row r="325" spans="14:65" x14ac:dyDescent="0.25">
      <c r="N325" s="9">
        <v>7</v>
      </c>
      <c r="O325" s="34">
        <f t="shared" si="308"/>
        <v>11748.975549395318</v>
      </c>
      <c r="P325" s="33" t="str">
        <f t="shared" si="257"/>
        <v>19.1021967526266</v>
      </c>
      <c r="Q325" s="4" t="str">
        <f t="shared" si="258"/>
        <v>1+16.5691812592145i</v>
      </c>
      <c r="R325" s="4">
        <f t="shared" si="270"/>
        <v>16.599330335911294</v>
      </c>
      <c r="S325" s="4">
        <f t="shared" si="271"/>
        <v>1.5105164331175485</v>
      </c>
      <c r="T325" s="4" t="str">
        <f t="shared" si="259"/>
        <v>1+0.277566924454362i</v>
      </c>
      <c r="U325" s="4">
        <f t="shared" si="272"/>
        <v>1.0378070136355091</v>
      </c>
      <c r="V325" s="4">
        <f t="shared" si="273"/>
        <v>0.27075109047936735</v>
      </c>
      <c r="W325" t="str">
        <f t="shared" si="260"/>
        <v>1-0.153793730304944i</v>
      </c>
      <c r="X325" s="4">
        <f t="shared" si="274"/>
        <v>1.0117571405634407</v>
      </c>
      <c r="Y325" s="4">
        <f t="shared" si="275"/>
        <v>-0.15259811655561734</v>
      </c>
      <c r="Z325" t="str">
        <f t="shared" si="261"/>
        <v>0.99986196157354+0.114422535346878i</v>
      </c>
      <c r="AA325" s="4">
        <f t="shared" si="276"/>
        <v>1.0063878272300866</v>
      </c>
      <c r="AB325" s="4">
        <f t="shared" si="277"/>
        <v>0.11394265482029825</v>
      </c>
      <c r="AC325" s="47" t="str">
        <f t="shared" si="278"/>
        <v>0.0773771948523254-1.19816467496536i</v>
      </c>
      <c r="AD325" s="20">
        <f t="shared" si="279"/>
        <v>1.5884050134987757</v>
      </c>
      <c r="AE325" s="43">
        <f t="shared" si="280"/>
        <v>-86.304982987759544</v>
      </c>
      <c r="AF325" t="str">
        <f t="shared" si="262"/>
        <v>69.5520360182888</v>
      </c>
      <c r="AG325" t="str">
        <f t="shared" si="263"/>
        <v>1+13.2174725930649i</v>
      </c>
      <c r="AH325">
        <f t="shared" si="281"/>
        <v>13.255247328828752</v>
      </c>
      <c r="AI325">
        <f t="shared" si="282"/>
        <v>1.49528275915193</v>
      </c>
      <c r="AJ325" t="str">
        <f t="shared" si="264"/>
        <v>1+0.277566924454362i</v>
      </c>
      <c r="AK325">
        <f t="shared" si="283"/>
        <v>1.0378070136355091</v>
      </c>
      <c r="AL325">
        <f t="shared" si="284"/>
        <v>0.27075109047936735</v>
      </c>
      <c r="AM325" t="str">
        <f t="shared" si="265"/>
        <v>1-0.0336945181163534i</v>
      </c>
      <c r="AN325">
        <f t="shared" si="285"/>
        <v>1.0005674992478486</v>
      </c>
      <c r="AO325">
        <f t="shared" si="286"/>
        <v>-3.3681775435818476E-2</v>
      </c>
      <c r="AP325" s="41" t="str">
        <f t="shared" si="287"/>
        <v>1.67553951386141-5.18457521357251i</v>
      </c>
      <c r="AQ325">
        <f t="shared" si="288"/>
        <v>14.725700108106864</v>
      </c>
      <c r="AR325" s="43">
        <f t="shared" si="289"/>
        <v>-72.090320074029705</v>
      </c>
      <c r="AS325" t="str">
        <f t="shared" si="266"/>
        <v>-0.0000166666666666667</v>
      </c>
      <c r="AT325" t="str">
        <f t="shared" si="267"/>
        <v>0.000250991367857668i</v>
      </c>
      <c r="AU325">
        <f t="shared" si="290"/>
        <v>2.5099136785766799E-4</v>
      </c>
      <c r="AV325">
        <f t="shared" si="291"/>
        <v>1.5707963267948966</v>
      </c>
      <c r="AW325" t="str">
        <f t="shared" si="268"/>
        <v>1+0.255073234393761i</v>
      </c>
      <c r="AX325">
        <f t="shared" si="292"/>
        <v>1.0320185826350678</v>
      </c>
      <c r="AY325">
        <f t="shared" si="293"/>
        <v>0.24974774290730956</v>
      </c>
      <c r="AZ325" t="str">
        <f t="shared" si="269"/>
        <v>1+8.67248996938788i</v>
      </c>
      <c r="BA325">
        <f t="shared" si="294"/>
        <v>8.729953165345929</v>
      </c>
      <c r="BB325">
        <f t="shared" si="295"/>
        <v>1.4559961812246833</v>
      </c>
      <c r="BC325" s="41" t="str">
        <f t="shared" si="296"/>
        <v>-0.524799918149893+0.2002657586269i</v>
      </c>
      <c r="BD325">
        <f t="shared" si="297"/>
        <v>-5.0097127859786204</v>
      </c>
      <c r="BE325" s="43">
        <f t="shared" si="298"/>
        <v>159.11294455983221</v>
      </c>
      <c r="BF325" s="41" t="str">
        <f t="shared" si="299"/>
        <v>0.199343812066722+0.644292725979437i</v>
      </c>
      <c r="BG325" s="20">
        <f t="shared" si="300"/>
        <v>-3.421307772479842</v>
      </c>
      <c r="BH325" s="43">
        <f t="shared" si="301"/>
        <v>72.807961572072713</v>
      </c>
      <c r="BI325" s="41" t="str">
        <f t="shared" si="306"/>
        <v>0.158969888572941+3.05641783957762i</v>
      </c>
      <c r="BJ325" s="20">
        <f t="shared" si="302"/>
        <v>9.7159873221282425</v>
      </c>
      <c r="BK325" s="43">
        <f t="shared" si="307"/>
        <v>87.022624485802524</v>
      </c>
      <c r="BL325">
        <f t="shared" si="303"/>
        <v>-3.421307772479842</v>
      </c>
      <c r="BM325" s="43">
        <f t="shared" si="304"/>
        <v>72.807961572072713</v>
      </c>
    </row>
    <row r="326" spans="14:65" x14ac:dyDescent="0.25">
      <c r="N326" s="9">
        <v>8</v>
      </c>
      <c r="O326" s="34">
        <f t="shared" si="308"/>
        <v>12022.644346174151</v>
      </c>
      <c r="P326" s="33" t="str">
        <f t="shared" si="257"/>
        <v>19.1021967526266</v>
      </c>
      <c r="Q326" s="4" t="str">
        <f t="shared" si="258"/>
        <v>1+16.9551270703838i</v>
      </c>
      <c r="R326" s="4">
        <f t="shared" si="270"/>
        <v>16.984591074643554</v>
      </c>
      <c r="S326" s="4">
        <f t="shared" si="271"/>
        <v>1.5118853617412196</v>
      </c>
      <c r="T326" s="4" t="str">
        <f t="shared" si="259"/>
        <v>1+0.28403228868307i</v>
      </c>
      <c r="U326" s="4">
        <f t="shared" si="272"/>
        <v>1.0395548763843796</v>
      </c>
      <c r="V326" s="4">
        <f t="shared" si="273"/>
        <v>0.27674391518195285</v>
      </c>
      <c r="W326" t="str">
        <f t="shared" si="260"/>
        <v>1-0.157376046477765i</v>
      </c>
      <c r="X326" s="4">
        <f t="shared" si="274"/>
        <v>1.0123078681927606</v>
      </c>
      <c r="Y326" s="4">
        <f t="shared" si="275"/>
        <v>-0.15609576301180991</v>
      </c>
      <c r="Z326" t="str">
        <f t="shared" si="261"/>
        <v>0.999855456022925+0.117087778579457i</v>
      </c>
      <c r="AA326" s="4">
        <f t="shared" si="276"/>
        <v>1.0066878765692389</v>
      </c>
      <c r="AB326" s="4">
        <f t="shared" si="277"/>
        <v>0.11657376162726445</v>
      </c>
      <c r="AC326" s="47" t="str">
        <f t="shared" si="278"/>
        <v>0.0740024005752269-1.17336028857613i</v>
      </c>
      <c r="AD326" s="20">
        <f t="shared" si="279"/>
        <v>1.4058682548959414</v>
      </c>
      <c r="AE326" s="43">
        <f t="shared" si="280"/>
        <v>-86.391204953186659</v>
      </c>
      <c r="AF326" t="str">
        <f t="shared" si="262"/>
        <v>69.5520360182888</v>
      </c>
      <c r="AG326" t="str">
        <f t="shared" si="263"/>
        <v>1+13.5253470801462i</v>
      </c>
      <c r="AH326">
        <f t="shared" si="281"/>
        <v>13.562264325636017</v>
      </c>
      <c r="AI326">
        <f t="shared" si="282"/>
        <v>1.4969953510043763</v>
      </c>
      <c r="AJ326" t="str">
        <f t="shared" si="264"/>
        <v>1+0.28403228868307i</v>
      </c>
      <c r="AK326">
        <f t="shared" si="283"/>
        <v>1.0395548763843796</v>
      </c>
      <c r="AL326">
        <f t="shared" si="284"/>
        <v>0.27674391518195285</v>
      </c>
      <c r="AM326" t="str">
        <f t="shared" si="265"/>
        <v>1-0.0344793642667414i</v>
      </c>
      <c r="AN326">
        <f t="shared" si="285"/>
        <v>1.0005942367214788</v>
      </c>
      <c r="AO326">
        <f t="shared" si="286"/>
        <v>-3.4465710676462639E-2</v>
      </c>
      <c r="AP326" s="41" t="str">
        <f t="shared" si="287"/>
        <v>1.65814793265152-5.07011231186489i</v>
      </c>
      <c r="AQ326">
        <f t="shared" si="288"/>
        <v>14.541661207251659</v>
      </c>
      <c r="AR326" s="43">
        <f t="shared" si="289"/>
        <v>-71.889996977083968</v>
      </c>
      <c r="AS326" t="str">
        <f t="shared" si="266"/>
        <v>-0.0000166666666666667</v>
      </c>
      <c r="AT326" t="str">
        <f t="shared" si="267"/>
        <v>0.000256837707851712i</v>
      </c>
      <c r="AU326">
        <f t="shared" si="290"/>
        <v>2.5683770785171203E-4</v>
      </c>
      <c r="AV326">
        <f t="shared" si="291"/>
        <v>1.5707963267948966</v>
      </c>
      <c r="AW326" t="str">
        <f t="shared" si="268"/>
        <v>1+0.261014653273522i</v>
      </c>
      <c r="AX326">
        <f t="shared" si="292"/>
        <v>1.0335030958944909</v>
      </c>
      <c r="AY326">
        <f t="shared" si="293"/>
        <v>0.2553182293136293</v>
      </c>
      <c r="AZ326" t="str">
        <f t="shared" si="269"/>
        <v>1+8.87449821129974i</v>
      </c>
      <c r="BA326">
        <f t="shared" si="294"/>
        <v>8.9306617057395172</v>
      </c>
      <c r="BB326">
        <f t="shared" si="295"/>
        <v>1.4585872206576047</v>
      </c>
      <c r="BC326" s="41" t="str">
        <f t="shared" si="296"/>
        <v>-0.523293366472794+0.201479058010105i</v>
      </c>
      <c r="BD326">
        <f t="shared" si="297"/>
        <v>-5.0247635825835504</v>
      </c>
      <c r="BE326" s="43">
        <f t="shared" si="298"/>
        <v>158.94223482297349</v>
      </c>
      <c r="BF326" s="41" t="str">
        <f t="shared" si="299"/>
        <v>0.197682560324705+0.628921589452875i</v>
      </c>
      <c r="BG326" s="20">
        <f t="shared" si="300"/>
        <v>-3.6188953276876128</v>
      </c>
      <c r="BH326" s="43">
        <f t="shared" si="301"/>
        <v>72.551029869786802</v>
      </c>
      <c r="BI326" s="41" t="str">
        <f t="shared" si="306"/>
        <v>0.153823638812856+2.98723822358297i</v>
      </c>
      <c r="BJ326" s="20">
        <f t="shared" si="302"/>
        <v>9.5168976246681094</v>
      </c>
      <c r="BK326" s="43">
        <f t="shared" si="307"/>
        <v>87.052237845889508</v>
      </c>
      <c r="BL326">
        <f t="shared" si="303"/>
        <v>-3.6188953276876128</v>
      </c>
      <c r="BM326" s="43">
        <f t="shared" si="304"/>
        <v>72.551029869786802</v>
      </c>
    </row>
    <row r="327" spans="14:65" x14ac:dyDescent="0.25">
      <c r="N327" s="9">
        <v>9</v>
      </c>
      <c r="O327" s="34">
        <f t="shared" si="308"/>
        <v>12302.687708123816</v>
      </c>
      <c r="P327" s="33" t="str">
        <f t="shared" si="257"/>
        <v>19.1021967526266</v>
      </c>
      <c r="Q327" s="4" t="str">
        <f t="shared" si="258"/>
        <v>1+17.3500627143535i</v>
      </c>
      <c r="R327" s="4">
        <f t="shared" si="270"/>
        <v>17.378857160124181</v>
      </c>
      <c r="S327" s="4">
        <f t="shared" si="271"/>
        <v>1.5132233433764128</v>
      </c>
      <c r="T327" s="4" t="str">
        <f t="shared" si="259"/>
        <v>1+0.290648250590849i</v>
      </c>
      <c r="U327" s="4">
        <f t="shared" si="272"/>
        <v>1.041381969102366</v>
      </c>
      <c r="V327" s="4">
        <f t="shared" si="273"/>
        <v>0.28285528022394585</v>
      </c>
      <c r="W327" t="str">
        <f t="shared" si="260"/>
        <v>1-0.161041805513547i</v>
      </c>
      <c r="X327" s="4">
        <f t="shared" si="274"/>
        <v>1.0128842298718364</v>
      </c>
      <c r="Y327" s="4">
        <f t="shared" si="275"/>
        <v>-0.15967089777549368</v>
      </c>
      <c r="Z327" t="str">
        <f t="shared" si="261"/>
        <v>0.999848643875156+0.119815103302079i</v>
      </c>
      <c r="AA327" s="4">
        <f t="shared" si="276"/>
        <v>1.0070019710200553</v>
      </c>
      <c r="AB327" s="4">
        <f t="shared" si="277"/>
        <v>0.11926453081802921</v>
      </c>
      <c r="AC327" s="47" t="str">
        <f t="shared" si="278"/>
        <v>0.0707542317850574-1.14915870482538i</v>
      </c>
      <c r="AD327" s="20">
        <f t="shared" si="279"/>
        <v>1.2240328594825642</v>
      </c>
      <c r="AE327" s="43">
        <f t="shared" si="280"/>
        <v>-86.476720081403514</v>
      </c>
      <c r="AF327" t="str">
        <f t="shared" si="262"/>
        <v>69.5520360182888</v>
      </c>
      <c r="AG327" t="str">
        <f t="shared" si="263"/>
        <v>1+13.8403928852786i</v>
      </c>
      <c r="AH327">
        <f t="shared" si="281"/>
        <v>13.876472001876794</v>
      </c>
      <c r="AI327">
        <f t="shared" si="282"/>
        <v>1.498669378689047</v>
      </c>
      <c r="AJ327" t="str">
        <f t="shared" si="264"/>
        <v>1+0.290648250590849i</v>
      </c>
      <c r="AK327">
        <f t="shared" si="283"/>
        <v>1.041381969102366</v>
      </c>
      <c r="AL327">
        <f t="shared" si="284"/>
        <v>0.28285528022394585</v>
      </c>
      <c r="AM327" t="str">
        <f t="shared" si="265"/>
        <v>1-0.0352824918324519i</v>
      </c>
      <c r="AN327">
        <f t="shared" si="285"/>
        <v>1.000622233527672</v>
      </c>
      <c r="AO327">
        <f t="shared" si="286"/>
        <v>-3.5267862238192588E-2</v>
      </c>
      <c r="AP327" s="41" t="str">
        <f t="shared" si="287"/>
        <v>1.64153077987403-4.95822247573259i</v>
      </c>
      <c r="AQ327">
        <f t="shared" si="288"/>
        <v>14.358219728164306</v>
      </c>
      <c r="AR327" s="43">
        <f t="shared" si="289"/>
        <v>-71.681716173250592</v>
      </c>
      <c r="AS327" t="str">
        <f t="shared" si="266"/>
        <v>-0.0000166666666666667</v>
      </c>
      <c r="AT327" t="str">
        <f t="shared" si="267"/>
        <v>0.000262820226598108i</v>
      </c>
      <c r="AU327">
        <f t="shared" si="290"/>
        <v>2.6282022659810799E-4</v>
      </c>
      <c r="AV327">
        <f t="shared" si="291"/>
        <v>1.5707963267948966</v>
      </c>
      <c r="AW327" t="str">
        <f t="shared" si="268"/>
        <v>1+0.267094465577386i</v>
      </c>
      <c r="AX327">
        <f t="shared" si="292"/>
        <v>1.0350552900894086</v>
      </c>
      <c r="AY327">
        <f t="shared" si="293"/>
        <v>0.26100174651573399</v>
      </c>
      <c r="AZ327" t="str">
        <f t="shared" si="269"/>
        <v>1+9.08121182963111i</v>
      </c>
      <c r="BA327">
        <f t="shared" si="294"/>
        <v>9.1361046565060757</v>
      </c>
      <c r="BB327">
        <f t="shared" si="295"/>
        <v>1.4611207436449747</v>
      </c>
      <c r="BC327" s="41" t="str">
        <f t="shared" si="296"/>
        <v>-0.521725056265049+0.20276457828902i</v>
      </c>
      <c r="BD327">
        <f t="shared" si="297"/>
        <v>-5.0402503848594549</v>
      </c>
      <c r="BE327" s="43">
        <f t="shared" si="298"/>
        <v>158.76175344897848</v>
      </c>
      <c r="BF327" s="41" t="str">
        <f t="shared" si="299"/>
        <v>0.196094424612025+0.613891341902553i</v>
      </c>
      <c r="BG327" s="20">
        <f t="shared" si="300"/>
        <v>-3.8162175253768864</v>
      </c>
      <c r="BH327" s="43">
        <f t="shared" si="301"/>
        <v>72.285033367574997</v>
      </c>
      <c r="BI327" s="41" t="str">
        <f t="shared" si="306"/>
        <v>0.148924150864472+2.91967319645582i</v>
      </c>
      <c r="BJ327" s="20">
        <f t="shared" si="302"/>
        <v>9.3179693433048527</v>
      </c>
      <c r="BK327" s="43">
        <f t="shared" si="307"/>
        <v>87.080037275727875</v>
      </c>
      <c r="BL327">
        <f t="shared" si="303"/>
        <v>-3.8162175253768864</v>
      </c>
      <c r="BM327" s="43">
        <f t="shared" si="304"/>
        <v>72.285033367574997</v>
      </c>
    </row>
    <row r="328" spans="14:65" x14ac:dyDescent="0.25">
      <c r="N328" s="9">
        <v>10</v>
      </c>
      <c r="O328" s="34">
        <f t="shared" si="308"/>
        <v>12589.254117941671</v>
      </c>
      <c r="P328" s="33" t="str">
        <f t="shared" si="257"/>
        <v>19.1021967526266</v>
      </c>
      <c r="Q328" s="4" t="str">
        <f t="shared" si="258"/>
        <v>1+17.7541975912295i</v>
      </c>
      <c r="R328" s="4">
        <f t="shared" si="270"/>
        <v>17.78233764465233</v>
      </c>
      <c r="S328" s="4">
        <f t="shared" si="271"/>
        <v>1.5145310682658815</v>
      </c>
      <c r="T328" s="4" t="str">
        <f t="shared" si="259"/>
        <v>1+0.297418318048276i</v>
      </c>
      <c r="U328" s="4">
        <f t="shared" si="272"/>
        <v>1.043291740555184</v>
      </c>
      <c r="V328" s="4">
        <f t="shared" si="273"/>
        <v>0.28908659920782331</v>
      </c>
      <c r="W328" t="str">
        <f t="shared" si="260"/>
        <v>1-0.164792951046252i</v>
      </c>
      <c r="X328" s="4">
        <f t="shared" si="274"/>
        <v>1.0134874033329335</v>
      </c>
      <c r="Y328" s="4">
        <f t="shared" si="275"/>
        <v>-0.16332505067659248</v>
      </c>
      <c r="Z328" t="str">
        <f t="shared" si="261"/>
        <v>0.999841510680754+0.122605955578412i</v>
      </c>
      <c r="AA328" s="4">
        <f t="shared" si="276"/>
        <v>1.0073307633660693</v>
      </c>
      <c r="AB328" s="4">
        <f t="shared" si="277"/>
        <v>0.12201623813411944</v>
      </c>
      <c r="AC328" s="47" t="str">
        <f t="shared" si="278"/>
        <v>0.0676259739986239-1.12554798179642i</v>
      </c>
      <c r="AD328" s="20">
        <f t="shared" si="279"/>
        <v>1.0429297779374909</v>
      </c>
      <c r="AE328" s="43">
        <f t="shared" si="280"/>
        <v>-86.561647674354035</v>
      </c>
      <c r="AF328" t="str">
        <f t="shared" si="262"/>
        <v>69.5520360182888</v>
      </c>
      <c r="AG328" t="str">
        <f t="shared" si="263"/>
        <v>1+14.1627770499179i</v>
      </c>
      <c r="AH328">
        <f t="shared" si="281"/>
        <v>14.198036968739064</v>
      </c>
      <c r="AI328">
        <f t="shared" si="282"/>
        <v>1.5003056922466012</v>
      </c>
      <c r="AJ328" t="str">
        <f t="shared" si="264"/>
        <v>1+0.297418318048276i</v>
      </c>
      <c r="AK328">
        <f t="shared" si="283"/>
        <v>1.043291740555184</v>
      </c>
      <c r="AL328">
        <f t="shared" si="284"/>
        <v>0.28908659920782331</v>
      </c>
      <c r="AM328" t="str">
        <f t="shared" si="265"/>
        <v>1-0.0361043266423509i</v>
      </c>
      <c r="AN328">
        <f t="shared" si="285"/>
        <v>1.000651548943136</v>
      </c>
      <c r="AO328">
        <f t="shared" si="286"/>
        <v>-3.6088651300888244E-2</v>
      </c>
      <c r="AP328" s="41" t="str">
        <f t="shared" si="287"/>
        <v>1.62565392714619-4.84885398814732i</v>
      </c>
      <c r="AQ328">
        <f t="shared" si="288"/>
        <v>14.175403725528826</v>
      </c>
      <c r="AR328" s="43">
        <f t="shared" si="289"/>
        <v>-71.465469504645597</v>
      </c>
      <c r="AS328" t="str">
        <f t="shared" si="266"/>
        <v>-0.0000166666666666667</v>
      </c>
      <c r="AT328" t="str">
        <f t="shared" si="267"/>
        <v>0.000268942096107484i</v>
      </c>
      <c r="AU328">
        <f t="shared" si="290"/>
        <v>2.6894209610748399E-4</v>
      </c>
      <c r="AV328">
        <f t="shared" si="291"/>
        <v>1.5707963267948966</v>
      </c>
      <c r="AW328" t="str">
        <f t="shared" si="268"/>
        <v>1+0.273315894902312i</v>
      </c>
      <c r="AX328">
        <f t="shared" si="292"/>
        <v>1.0366781460059105</v>
      </c>
      <c r="AY328">
        <f t="shared" si="293"/>
        <v>0.26679983865477963</v>
      </c>
      <c r="AZ328" t="str">
        <f t="shared" si="269"/>
        <v>1+9.29274042667859i</v>
      </c>
      <c r="BA328">
        <f t="shared" si="294"/>
        <v>9.346390995332186</v>
      </c>
      <c r="BB328">
        <f t="shared" si="295"/>
        <v>1.4635979633274778</v>
      </c>
      <c r="BC328" s="41" t="str">
        <f t="shared" si="296"/>
        <v>-0.520092877789478+0.204120858655659i</v>
      </c>
      <c r="BD328">
        <f t="shared" si="297"/>
        <v>-5.0562006775085777</v>
      </c>
      <c r="BE328" s="43">
        <f t="shared" si="298"/>
        <v>158.57148147291727</v>
      </c>
      <c r="BF328" s="41" t="str">
        <f t="shared" si="299"/>
        <v>0.194576033072169+0.599193360822664i</v>
      </c>
      <c r="BG328" s="20">
        <f t="shared" si="300"/>
        <v>-4.0132708995710811</v>
      </c>
      <c r="BH328" s="43">
        <f t="shared" si="301"/>
        <v>72.009833798563207</v>
      </c>
      <c r="BI328" s="41" t="str">
        <f t="shared" si="306"/>
        <v>0.144261210297319+2.85368430016255i</v>
      </c>
      <c r="BJ328" s="20">
        <f t="shared" si="302"/>
        <v>9.1192030480202408</v>
      </c>
      <c r="BK328" s="43">
        <f t="shared" si="307"/>
        <v>87.106011968271673</v>
      </c>
      <c r="BL328">
        <f t="shared" si="303"/>
        <v>-4.0132708995710811</v>
      </c>
      <c r="BM328" s="43">
        <f t="shared" si="304"/>
        <v>72.009833798563207</v>
      </c>
    </row>
    <row r="329" spans="14:65" x14ac:dyDescent="0.25">
      <c r="N329" s="9">
        <v>11</v>
      </c>
      <c r="O329" s="34">
        <f t="shared" si="308"/>
        <v>12882.49551693136</v>
      </c>
      <c r="P329" s="33" t="str">
        <f t="shared" si="257"/>
        <v>19.1021967526266</v>
      </c>
      <c r="Q329" s="4" t="str">
        <f t="shared" si="258"/>
        <v>1+18.167745978673i</v>
      </c>
      <c r="R329" s="4">
        <f t="shared" si="270"/>
        <v>18.195246465645607</v>
      </c>
      <c r="S329" s="4">
        <f t="shared" si="271"/>
        <v>1.5158092118813595</v>
      </c>
      <c r="T329" s="4" t="str">
        <f t="shared" si="259"/>
        <v>1+0.30434608063473i</v>
      </c>
      <c r="U329" s="4">
        <f t="shared" si="272"/>
        <v>1.0452877770249309</v>
      </c>
      <c r="V329" s="4">
        <f t="shared" si="273"/>
        <v>0.29543923966158031</v>
      </c>
      <c r="W329" t="str">
        <f t="shared" si="260"/>
        <v>1-0.168631471982896i</v>
      </c>
      <c r="X329" s="4">
        <f t="shared" si="274"/>
        <v>1.0141186189707387</v>
      </c>
      <c r="Y329" s="4">
        <f t="shared" si="275"/>
        <v>-0.16705976865081396</v>
      </c>
      <c r="Z329" t="str">
        <f t="shared" si="261"/>
        <v>0.999834041309256+0.125461815155274i</v>
      </c>
      <c r="AA329" s="4">
        <f t="shared" si="276"/>
        <v>1.0076749362879158</v>
      </c>
      <c r="AB329" s="4">
        <f t="shared" si="277"/>
        <v>0.12483018114180855</v>
      </c>
      <c r="AC329" s="47" t="str">
        <f t="shared" si="278"/>
        <v>0.0646111603813895-1.10251640520378i</v>
      </c>
      <c r="AD329" s="20">
        <f t="shared" si="279"/>
        <v>0.86259086090452453</v>
      </c>
      <c r="AE329" s="43">
        <f t="shared" si="280"/>
        <v>-86.646111058093652</v>
      </c>
      <c r="AF329" t="str">
        <f t="shared" si="262"/>
        <v>69.5520360182888</v>
      </c>
      <c r="AG329" t="str">
        <f t="shared" si="263"/>
        <v>1+14.4926705064157i</v>
      </c>
      <c r="AH329">
        <f t="shared" si="281"/>
        <v>14.52712973740964</v>
      </c>
      <c r="AI329">
        <f t="shared" si="282"/>
        <v>1.5019051242023556</v>
      </c>
      <c r="AJ329" t="str">
        <f t="shared" si="264"/>
        <v>1+0.30434608063473i</v>
      </c>
      <c r="AK329">
        <f t="shared" si="283"/>
        <v>1.0452877770249309</v>
      </c>
      <c r="AL329">
        <f t="shared" si="284"/>
        <v>0.29543923966158031</v>
      </c>
      <c r="AM329" t="str">
        <f t="shared" si="265"/>
        <v>1-0.0369453044441331i</v>
      </c>
      <c r="AN329">
        <f t="shared" si="285"/>
        <v>1.0006822450310937</v>
      </c>
      <c r="AO329">
        <f t="shared" si="286"/>
        <v>-3.6928508631558936E-2</v>
      </c>
      <c r="AP329" s="41" t="str">
        <f t="shared" si="287"/>
        <v>1.61048471889429-4.74195596962559i</v>
      </c>
      <c r="AQ329">
        <f t="shared" si="288"/>
        <v>13.993241978389083</v>
      </c>
      <c r="AR329" s="43">
        <f t="shared" si="289"/>
        <v>-71.241250999004791</v>
      </c>
      <c r="AS329" t="str">
        <f t="shared" si="266"/>
        <v>-0.0000166666666666667</v>
      </c>
      <c r="AT329" t="str">
        <f t="shared" si="267"/>
        <v>0.000275206562276086i</v>
      </c>
      <c r="AU329">
        <f t="shared" si="290"/>
        <v>2.75206562276086E-4</v>
      </c>
      <c r="AV329">
        <f t="shared" si="291"/>
        <v>1.5707963267948966</v>
      </c>
      <c r="AW329" t="str">
        <f t="shared" si="268"/>
        <v>1+0.279682239932479i</v>
      </c>
      <c r="AX329">
        <f t="shared" si="292"/>
        <v>1.0383747663217018</v>
      </c>
      <c r="AY329">
        <f t="shared" si="293"/>
        <v>0.27271401996624411</v>
      </c>
      <c r="AZ329" t="str">
        <f t="shared" si="269"/>
        <v>1+9.50919615770429i</v>
      </c>
      <c r="BA329">
        <f t="shared" si="294"/>
        <v>9.5616322647180922</v>
      </c>
      <c r="BB329">
        <f t="shared" si="295"/>
        <v>1.4660200714796532</v>
      </c>
      <c r="BC329" s="41" t="str">
        <f t="shared" si="296"/>
        <v>-0.518394686951354+0.205546358623635i</v>
      </c>
      <c r="BD329">
        <f t="shared" si="297"/>
        <v>-5.0726424915214521</v>
      </c>
      <c r="BE329" s="43">
        <f t="shared" si="298"/>
        <v>158.37140041913912</v>
      </c>
      <c r="BF329" s="41" t="str">
        <f t="shared" si="299"/>
        <v>0.193124150152983+0.584819235477188i</v>
      </c>
      <c r="BG329" s="20">
        <f t="shared" si="300"/>
        <v>-4.2100516306169258</v>
      </c>
      <c r="BH329" s="43">
        <f t="shared" si="301"/>
        <v>71.725289361045455</v>
      </c>
      <c r="BI329" s="41" t="str">
        <f t="shared" si="306"/>
        <v>0.139825060619004+2.78923404999889i</v>
      </c>
      <c r="BJ329" s="20">
        <f t="shared" si="302"/>
        <v>8.9205994868676228</v>
      </c>
      <c r="BK329" s="43">
        <f t="shared" si="307"/>
        <v>87.13014942013433</v>
      </c>
      <c r="BL329">
        <f t="shared" si="303"/>
        <v>-4.2100516306169258</v>
      </c>
      <c r="BM329" s="43">
        <f t="shared" si="304"/>
        <v>71.725289361045455</v>
      </c>
    </row>
    <row r="330" spans="14:65" x14ac:dyDescent="0.25">
      <c r="N330" s="9">
        <v>12</v>
      </c>
      <c r="O330" s="34">
        <f t="shared" si="308"/>
        <v>13182.567385564091</v>
      </c>
      <c r="P330" s="33" t="str">
        <f t="shared" si="257"/>
        <v>19.1021967526266</v>
      </c>
      <c r="Q330" s="4" t="str">
        <f t="shared" si="258"/>
        <v>1+18.5909271455129i</v>
      </c>
      <c r="R330" s="4">
        <f t="shared" si="270"/>
        <v>18.617802559103701</v>
      </c>
      <c r="S330" s="4">
        <f t="shared" si="271"/>
        <v>1.5170584351977241</v>
      </c>
      <c r="T330" s="4" t="str">
        <f t="shared" si="259"/>
        <v>1+0.311435211541633i</v>
      </c>
      <c r="U330" s="4">
        <f t="shared" si="272"/>
        <v>1.0473738067127618</v>
      </c>
      <c r="V330" s="4">
        <f t="shared" si="273"/>
        <v>0.30191451813580056</v>
      </c>
      <c r="W330" t="str">
        <f t="shared" si="260"/>
        <v>1-0.172559403558086i</v>
      </c>
      <c r="X330" s="4">
        <f t="shared" si="274"/>
        <v>1.0147791620625259</v>
      </c>
      <c r="Y330" s="4">
        <f t="shared" si="275"/>
        <v>-0.17087661494642564</v>
      </c>
      <c r="Z330" t="str">
        <f t="shared" si="261"/>
        <v>0.999826219917125+0.128384196247216i</v>
      </c>
      <c r="AA330" s="4">
        <f t="shared" si="276"/>
        <v>1.0080352036907296</v>
      </c>
      <c r="AB330" s="4">
        <f t="shared" si="277"/>
        <v>0.1277076792070688</v>
      </c>
      <c r="AC330" s="47" t="str">
        <f t="shared" si="278"/>
        <v>0.0617035594148875-1.08005248600965i</v>
      </c>
      <c r="AD330" s="20">
        <f t="shared" si="279"/>
        <v>0.68304887326028818</v>
      </c>
      <c r="AE330" s="43">
        <f t="shared" si="280"/>
        <v>-86.730237832531117</v>
      </c>
      <c r="AF330" t="str">
        <f t="shared" si="262"/>
        <v>69.5520360182888</v>
      </c>
      <c r="AG330" t="str">
        <f t="shared" si="263"/>
        <v>1+14.8302481686492i</v>
      </c>
      <c r="AH330">
        <f t="shared" si="281"/>
        <v>14.86392480954216</v>
      </c>
      <c r="AI330">
        <f t="shared" si="282"/>
        <v>1.5034684898448054</v>
      </c>
      <c r="AJ330" t="str">
        <f t="shared" si="264"/>
        <v>1+0.311435211541633i</v>
      </c>
      <c r="AK330">
        <f t="shared" si="283"/>
        <v>1.0473738067127618</v>
      </c>
      <c r="AL330">
        <f t="shared" si="284"/>
        <v>0.30191451813580056</v>
      </c>
      <c r="AM330" t="str">
        <f t="shared" si="265"/>
        <v>1-0.0378058711353604i</v>
      </c>
      <c r="AN330">
        <f t="shared" si="285"/>
        <v>1.0007143867719219</v>
      </c>
      <c r="AO330">
        <f t="shared" si="286"/>
        <v>-3.7787874791755618E-2</v>
      </c>
      <c r="AP330" s="41" t="str">
        <f t="shared" si="287"/>
        <v>1.59599191153759-4.63747838366161i</v>
      </c>
      <c r="AQ330">
        <f t="shared" si="288"/>
        <v>13.811764002174097</v>
      </c>
      <c r="AR330" s="43">
        <f t="shared" si="289"/>
        <v>-71.009057178443911</v>
      </c>
      <c r="AS330" t="str">
        <f t="shared" si="266"/>
        <v>-0.0000166666666666667</v>
      </c>
      <c r="AT330" t="str">
        <f t="shared" si="267"/>
        <v>0.000281616946606796i</v>
      </c>
      <c r="AU330">
        <f t="shared" si="290"/>
        <v>2.8161694660679598E-4</v>
      </c>
      <c r="AV330">
        <f t="shared" si="291"/>
        <v>1.5707963267948966</v>
      </c>
      <c r="AW330" t="str">
        <f t="shared" si="268"/>
        <v>1+0.28619687618829i</v>
      </c>
      <c r="AX330">
        <f t="shared" si="292"/>
        <v>1.0401483797708553</v>
      </c>
      <c r="AY330">
        <f t="shared" si="293"/>
        <v>0.2787457706580968</v>
      </c>
      <c r="AZ330" t="str">
        <f t="shared" si="269"/>
        <v>1+9.73069379040187i</v>
      </c>
      <c r="BA330">
        <f t="shared" si="294"/>
        <v>9.7819426313266398</v>
      </c>
      <c r="BB330">
        <f t="shared" si="295"/>
        <v>1.4683882385968619</v>
      </c>
      <c r="BC330" s="41" t="str">
        <f t="shared" si="296"/>
        <v>-0.516628308384424+0.207039452512297i</v>
      </c>
      <c r="BD330">
        <f t="shared" si="297"/>
        <v>-5.0896044246870726</v>
      </c>
      <c r="BE330" s="43">
        <f t="shared" si="298"/>
        <v>158.16149254241856</v>
      </c>
      <c r="BF330" s="41" t="str">
        <f t="shared" si="299"/>
        <v>0.191735669866172+0.570760759972876i</v>
      </c>
      <c r="BG330" s="20">
        <f t="shared" si="300"/>
        <v>-4.4065555514267816</v>
      </c>
      <c r="BH330" s="43">
        <f t="shared" si="301"/>
        <v>71.431254709887483</v>
      </c>
      <c r="BI330" s="41" t="str">
        <f t="shared" si="306"/>
        <v>0.135606384138023+2.72628590409923i</v>
      </c>
      <c r="BJ330" s="20">
        <f t="shared" si="302"/>
        <v>8.722159577487032</v>
      </c>
      <c r="BK330" s="43">
        <f t="shared" si="307"/>
        <v>87.152435363974675</v>
      </c>
      <c r="BL330">
        <f t="shared" si="303"/>
        <v>-4.4065555514267816</v>
      </c>
      <c r="BM330" s="43">
        <f t="shared" si="304"/>
        <v>71.431254709887483</v>
      </c>
    </row>
    <row r="331" spans="14:65" x14ac:dyDescent="0.25">
      <c r="N331" s="9">
        <v>13</v>
      </c>
      <c r="O331" s="34">
        <f t="shared" si="308"/>
        <v>13489.628825916556</v>
      </c>
      <c r="P331" s="33" t="str">
        <f t="shared" si="257"/>
        <v>19.1021967526266</v>
      </c>
      <c r="Q331" s="4" t="str">
        <f t="shared" si="258"/>
        <v>1+19.0239654680054i</v>
      </c>
      <c r="R331" s="4">
        <f t="shared" si="270"/>
        <v>19.050229975721081</v>
      </c>
      <c r="S331" s="4">
        <f t="shared" si="271"/>
        <v>1.5182793849649827</v>
      </c>
      <c r="T331" s="4" t="str">
        <f t="shared" si="259"/>
        <v>1+0.318689469520027i</v>
      </c>
      <c r="U331" s="4">
        <f t="shared" si="272"/>
        <v>1.0495537041919085</v>
      </c>
      <c r="V331" s="4">
        <f t="shared" si="273"/>
        <v>0.3085136950890916</v>
      </c>
      <c r="W331" t="str">
        <f t="shared" si="260"/>
        <v>1-0.176578828413136i</v>
      </c>
      <c r="X331" s="4">
        <f t="shared" si="274"/>
        <v>1.0154703750694827</v>
      </c>
      <c r="Y331" s="4">
        <f t="shared" si="275"/>
        <v>-0.17477716824255207</v>
      </c>
      <c r="Z331" t="str">
        <f t="shared" si="261"/>
        <v>0.999818029914139+0.131374648339373i</v>
      </c>
      <c r="AA331" s="4">
        <f t="shared" si="276"/>
        <v>1.0084123120865216</v>
      </c>
      <c r="AB331" s="4">
        <f t="shared" si="277"/>
        <v>0.13065007343542476</v>
      </c>
      <c r="AC331" s="47" t="str">
        <f t="shared" si="278"/>
        <v>0.058897163015749-1.05814495779906i</v>
      </c>
      <c r="AD331" s="20">
        <f t="shared" si="279"/>
        <v>0.50433750647006992</v>
      </c>
      <c r="AE331" s="43">
        <f t="shared" si="280"/>
        <v>-86.814160126091281</v>
      </c>
      <c r="AF331" t="str">
        <f t="shared" si="262"/>
        <v>69.5520360182888</v>
      </c>
      <c r="AG331" t="str">
        <f t="shared" si="263"/>
        <v>1+15.1756890247632i</v>
      </c>
      <c r="AH331">
        <f t="shared" si="281"/>
        <v>15.208600769838041</v>
      </c>
      <c r="AI331">
        <f t="shared" si="282"/>
        <v>1.5049965875055928</v>
      </c>
      <c r="AJ331" t="str">
        <f t="shared" si="264"/>
        <v>1+0.318689469520027i</v>
      </c>
      <c r="AK331">
        <f t="shared" si="283"/>
        <v>1.0495537041919085</v>
      </c>
      <c r="AL331">
        <f t="shared" si="284"/>
        <v>0.3085136950890916</v>
      </c>
      <c r="AM331" t="str">
        <f t="shared" si="265"/>
        <v>1-0.0386864829998835i</v>
      </c>
      <c r="AN331">
        <f t="shared" si="285"/>
        <v>1.0007480421998838</v>
      </c>
      <c r="AO331">
        <f t="shared" si="286"/>
        <v>-3.8667200348688043E-2</v>
      </c>
      <c r="AP331" s="41" t="str">
        <f t="shared" si="287"/>
        <v>1.58214561493982-4.53537204054192i</v>
      </c>
      <c r="AQ331">
        <f t="shared" si="288"/>
        <v>13.631000058832189</v>
      </c>
      <c r="AR331" s="43">
        <f t="shared" si="289"/>
        <v>-70.768887380637409</v>
      </c>
      <c r="AS331" t="str">
        <f t="shared" si="266"/>
        <v>-0.0000166666666666667</v>
      </c>
      <c r="AT331" t="str">
        <f t="shared" si="267"/>
        <v>0.000288176647970237i</v>
      </c>
      <c r="AU331">
        <f t="shared" si="290"/>
        <v>2.88176647970237E-4</v>
      </c>
      <c r="AV331">
        <f t="shared" si="291"/>
        <v>1.5707963267948966</v>
      </c>
      <c r="AW331" t="str">
        <f t="shared" si="268"/>
        <v>1+0.29286325781612i</v>
      </c>
      <c r="AX331">
        <f t="shared" si="292"/>
        <v>1.0420023453806</v>
      </c>
      <c r="AY331">
        <f t="shared" si="293"/>
        <v>0.28489653257738229</v>
      </c>
      <c r="AZ331" t="str">
        <f t="shared" si="269"/>
        <v>1+9.95735076574808i</v>
      </c>
      <c r="BA331">
        <f t="shared" si="294"/>
        <v>10.007438946710787</v>
      </c>
      <c r="BB331">
        <f t="shared" si="295"/>
        <v>1.4707036140050656</v>
      </c>
      <c r="BC331" s="41" t="str">
        <f t="shared" si="296"/>
        <v>-0.514791538945018+0.208598423891459i</v>
      </c>
      <c r="BD331">
        <f t="shared" si="297"/>
        <v>-5.1071156606096935</v>
      </c>
      <c r="BE331" s="43">
        <f t="shared" si="298"/>
        <v>157.94174108253216</v>
      </c>
      <c r="BF331" s="41" t="str">
        <f t="shared" si="299"/>
        <v>0.190407609257205+0.557009926629053i</v>
      </c>
      <c r="BG331" s="20">
        <f t="shared" si="300"/>
        <v>-4.6027781541396182</v>
      </c>
      <c r="BH331" s="43">
        <f t="shared" si="301"/>
        <v>71.127580956440909</v>
      </c>
      <c r="BI331" s="41" t="str">
        <f t="shared" si="306"/>
        <v>0.131596283468453+2.66480423408201i</v>
      </c>
      <c r="BJ331" s="20">
        <f t="shared" si="302"/>
        <v>8.5238843982224974</v>
      </c>
      <c r="BK331" s="43">
        <f t="shared" si="307"/>
        <v>87.172853701894738</v>
      </c>
      <c r="BL331">
        <f t="shared" si="303"/>
        <v>-4.6027781541396182</v>
      </c>
      <c r="BM331" s="43">
        <f t="shared" si="304"/>
        <v>71.127580956440909</v>
      </c>
    </row>
    <row r="332" spans="14:65" x14ac:dyDescent="0.25">
      <c r="N332" s="9">
        <v>14</v>
      </c>
      <c r="O332" s="34">
        <f t="shared" si="308"/>
        <v>13803.842646028841</v>
      </c>
      <c r="P332" s="33" t="str">
        <f t="shared" si="257"/>
        <v>19.1021967526266</v>
      </c>
      <c r="Q332" s="4" t="str">
        <f t="shared" si="258"/>
        <v>1+19.467090548801i</v>
      </c>
      <c r="R332" s="4">
        <f t="shared" si="270"/>
        <v>19.492757999708946</v>
      </c>
      <c r="S332" s="4">
        <f t="shared" si="271"/>
        <v>1.5194726939778687</v>
      </c>
      <c r="T332" s="4" t="str">
        <f t="shared" si="259"/>
        <v>1+0.326112700873514i</v>
      </c>
      <c r="U332" s="4">
        <f t="shared" si="272"/>
        <v>1.0518314949035412</v>
      </c>
      <c r="V332" s="4">
        <f t="shared" si="273"/>
        <v>0.31523796956488881</v>
      </c>
      <c r="W332" t="str">
        <f t="shared" si="260"/>
        <v>1-0.180691877700307i</v>
      </c>
      <c r="X332" s="4">
        <f t="shared" si="274"/>
        <v>1.0161936600209935</v>
      </c>
      <c r="Y332" s="4">
        <f t="shared" si="275"/>
        <v>-0.17876302167357536</v>
      </c>
      <c r="Z332" t="str">
        <f t="shared" si="261"/>
        <v>0.999809453928204+0.134434757009028i</v>
      </c>
      <c r="AA332" s="4">
        <f t="shared" si="276"/>
        <v>1.0088070420334554</v>
      </c>
      <c r="AB332" s="4">
        <f t="shared" si="277"/>
        <v>0.13365872657386058</v>
      </c>
      <c r="AC332" s="47" t="str">
        <f t="shared" si="278"/>
        <v>0.0561861750916202-1.0367827739291i</v>
      </c>
      <c r="AD332" s="20">
        <f t="shared" si="279"/>
        <v>0.32649138883680551</v>
      </c>
      <c r="AE332" s="43">
        <f t="shared" si="280"/>
        <v>-86.898014854640323</v>
      </c>
      <c r="AF332" t="str">
        <f t="shared" si="262"/>
        <v>69.5520360182888</v>
      </c>
      <c r="AG332" t="str">
        <f t="shared" si="263"/>
        <v>1+15.5291762320721i</v>
      </c>
      <c r="AH332">
        <f t="shared" si="281"/>
        <v>15.561340380788314</v>
      </c>
      <c r="AI332">
        <f t="shared" si="282"/>
        <v>1.5064901988403858</v>
      </c>
      <c r="AJ332" t="str">
        <f t="shared" si="264"/>
        <v>1+0.326112700873514i</v>
      </c>
      <c r="AK332">
        <f t="shared" si="283"/>
        <v>1.0518314949035412</v>
      </c>
      <c r="AL332">
        <f t="shared" si="284"/>
        <v>0.31523796956488881</v>
      </c>
      <c r="AM332" t="str">
        <f t="shared" si="265"/>
        <v>1-0.0395876069497692i</v>
      </c>
      <c r="AN332">
        <f t="shared" si="285"/>
        <v>1.0007832825462311</v>
      </c>
      <c r="AO332">
        <f t="shared" si="286"/>
        <v>-3.9566946090051222E-2</v>
      </c>
      <c r="AP332" s="41" t="str">
        <f t="shared" si="287"/>
        <v>1.56891723606568-4.43558859967145i</v>
      </c>
      <c r="AQ332">
        <f t="shared" si="288"/>
        <v>13.450981164903887</v>
      </c>
      <c r="AR332" s="43">
        <f t="shared" si="289"/>
        <v>-70.520744092218195</v>
      </c>
      <c r="AS332" t="str">
        <f t="shared" si="266"/>
        <v>-0.0000166666666666667</v>
      </c>
      <c r="AT332" t="str">
        <f t="shared" si="267"/>
        <v>0.000294889144406901i</v>
      </c>
      <c r="AU332">
        <f t="shared" si="290"/>
        <v>2.9488914440690099E-4</v>
      </c>
      <c r="AV332">
        <f t="shared" si="291"/>
        <v>1.5707963267948966</v>
      </c>
      <c r="AW332" t="str">
        <f t="shared" si="268"/>
        <v>1+0.299684919419747i</v>
      </c>
      <c r="AX332">
        <f t="shared" si="292"/>
        <v>1.0439401567750999</v>
      </c>
      <c r="AY332">
        <f t="shared" si="293"/>
        <v>0.29116770466369141</v>
      </c>
      <c r="AZ332" t="str">
        <f t="shared" si="269"/>
        <v>1+10.1892872602714i</v>
      </c>
      <c r="BA332">
        <f t="shared" si="294"/>
        <v>10.238240809452034</v>
      </c>
      <c r="BB332">
        <f t="shared" si="295"/>
        <v>1.4729673259914282</v>
      </c>
      <c r="BC332" s="41" t="str">
        <f t="shared" si="296"/>
        <v>-0.512882151637609+0.210221460010569i</v>
      </c>
      <c r="BD332">
        <f t="shared" si="297"/>
        <v>-5.125205986089874</v>
      </c>
      <c r="BE332" s="43">
        <f t="shared" si="298"/>
        <v>157.71213053223806</v>
      </c>
      <c r="BF332" s="41" t="str">
        <f t="shared" si="299"/>
        <v>0.189137102075906+0.543558919633735i</v>
      </c>
      <c r="BG332" s="20">
        <f t="shared" si="300"/>
        <v>-4.7987145972530687</v>
      </c>
      <c r="BH332" s="43">
        <f t="shared" si="301"/>
        <v>70.814115677597698</v>
      </c>
      <c r="BI332" s="41" t="str">
        <f t="shared" si="306"/>
        <v>0.127786263654471+2.60475429678022i</v>
      </c>
      <c r="BJ332" s="20">
        <f t="shared" si="302"/>
        <v>8.3257751788140251</v>
      </c>
      <c r="BK332" s="43">
        <f t="shared" si="307"/>
        <v>87.191386440019883</v>
      </c>
      <c r="BL332">
        <f t="shared" si="303"/>
        <v>-4.7987145972530687</v>
      </c>
      <c r="BM332" s="43">
        <f t="shared" si="304"/>
        <v>70.814115677597698</v>
      </c>
    </row>
    <row r="333" spans="14:65" x14ac:dyDescent="0.25">
      <c r="N333" s="9">
        <v>15</v>
      </c>
      <c r="O333" s="34">
        <f t="shared" si="308"/>
        <v>14125.375446227561</v>
      </c>
      <c r="P333" s="33" t="str">
        <f t="shared" si="257"/>
        <v>19.1021967526266</v>
      </c>
      <c r="Q333" s="4" t="str">
        <f t="shared" si="258"/>
        <v>1+19.920537338683i</v>
      </c>
      <c r="R333" s="4">
        <f t="shared" si="270"/>
        <v>19.945621270390742</v>
      </c>
      <c r="S333" s="4">
        <f t="shared" si="271"/>
        <v>1.5206389813428565</v>
      </c>
      <c r="T333" s="4" t="str">
        <f t="shared" si="259"/>
        <v>1+0.333708841497617i</v>
      </c>
      <c r="U333" s="4">
        <f t="shared" si="272"/>
        <v>1.0542113596872695</v>
      </c>
      <c r="V333" s="4">
        <f t="shared" si="273"/>
        <v>0.32208847366420063</v>
      </c>
      <c r="W333" t="str">
        <f t="shared" si="260"/>
        <v>1-0.184900732212776i</v>
      </c>
      <c r="X333" s="4">
        <f t="shared" si="274"/>
        <v>1.0169504809836223</v>
      </c>
      <c r="Y333" s="4">
        <f t="shared" si="275"/>
        <v>-0.18283578175407864</v>
      </c>
      <c r="Z333" t="str">
        <f t="shared" si="261"/>
        <v>0.999800473768503+0.137566144766305i</v>
      </c>
      <c r="AA333" s="4">
        <f t="shared" si="276"/>
        <v>1.0092202096339467</v>
      </c>
      <c r="AB333" s="4">
        <f t="shared" si="277"/>
        <v>0.13673502287173223</v>
      </c>
      <c r="AC333" s="47" t="str">
        <f t="shared" si="278"/>
        <v>0.053565000519759-1.01595510446593i</v>
      </c>
      <c r="AD333" s="20">
        <f t="shared" si="279"/>
        <v>0.14954609343751174</v>
      </c>
      <c r="AE333" s="43">
        <f t="shared" si="280"/>
        <v>-86.981943983907925</v>
      </c>
      <c r="AF333" t="str">
        <f t="shared" si="262"/>
        <v>69.5520360182888</v>
      </c>
      <c r="AG333" t="str">
        <f t="shared" si="263"/>
        <v>1+15.8908972141723i</v>
      </c>
      <c r="AH333">
        <f t="shared" si="281"/>
        <v>15.922330679626931</v>
      </c>
      <c r="AI333">
        <f t="shared" si="282"/>
        <v>1.5079500891101889</v>
      </c>
      <c r="AJ333" t="str">
        <f t="shared" si="264"/>
        <v>1+0.333708841497617i</v>
      </c>
      <c r="AK333">
        <f t="shared" si="283"/>
        <v>1.0542113596872695</v>
      </c>
      <c r="AL333">
        <f t="shared" si="284"/>
        <v>0.32208847366420063</v>
      </c>
      <c r="AM333" t="str">
        <f t="shared" si="265"/>
        <v>1-0.0405097207728638i</v>
      </c>
      <c r="AN333">
        <f t="shared" si="285"/>
        <v>1.0008201823889722</v>
      </c>
      <c r="AO333">
        <f t="shared" si="286"/>
        <v>-4.0487583242564386E-2</v>
      </c>
      <c r="AP333" s="41" t="str">
        <f t="shared" si="287"/>
        <v>1.55627942478004-4.33808057053218i</v>
      </c>
      <c r="AQ333">
        <f t="shared" si="288"/>
        <v>13.271739097356487</v>
      </c>
      <c r="AR333" s="43">
        <f t="shared" si="289"/>
        <v>-70.264633294104527</v>
      </c>
      <c r="AS333" t="str">
        <f t="shared" si="266"/>
        <v>-0.0000166666666666667</v>
      </c>
      <c r="AT333" t="str">
        <f t="shared" si="267"/>
        <v>0.00030175799497125i</v>
      </c>
      <c r="AU333">
        <f t="shared" si="290"/>
        <v>3.0175799497125002E-4</v>
      </c>
      <c r="AV333">
        <f t="shared" si="291"/>
        <v>1.5707963267948966</v>
      </c>
      <c r="AW333" t="str">
        <f t="shared" si="268"/>
        <v>1+0.30666547793445i</v>
      </c>
      <c r="AX333">
        <f t="shared" si="292"/>
        <v>1.0459654465405464</v>
      </c>
      <c r="AY333">
        <f t="shared" si="293"/>
        <v>0.2975606381890657</v>
      </c>
      <c r="AZ333" t="str">
        <f t="shared" si="269"/>
        <v>1+10.4266262497713i</v>
      </c>
      <c r="BA333">
        <f t="shared" si="294"/>
        <v>10.47447062874396</v>
      </c>
      <c r="BB333">
        <f t="shared" si="295"/>
        <v>1.4751804819538947</v>
      </c>
      <c r="BC333" s="41" t="str">
        <f t="shared" si="296"/>
        <v>-0.510897899994728+0.211906646239259i</v>
      </c>
      <c r="BD333">
        <f t="shared" si="297"/>
        <v>-5.1439058067192702</v>
      </c>
      <c r="BE333" s="43">
        <f t="shared" si="298"/>
        <v>157.4726469185801</v>
      </c>
      <c r="BF333" s="41" t="str">
        <f t="shared" si="299"/>
        <v>0.18792139263827+0.530400108976514i</v>
      </c>
      <c r="BG333" s="20">
        <f t="shared" si="300"/>
        <v>-4.9943597132817636</v>
      </c>
      <c r="BH333" s="43">
        <f t="shared" si="301"/>
        <v>70.490702934672143</v>
      </c>
      <c r="BI333" s="41" t="str">
        <f t="shared" si="306"/>
        <v>0.12416821489204+2.54610220700912i</v>
      </c>
      <c r="BJ333" s="20">
        <f t="shared" si="302"/>
        <v>8.1278332906372057</v>
      </c>
      <c r="BK333" s="43">
        <f t="shared" si="307"/>
        <v>87.208013624475569</v>
      </c>
      <c r="BL333">
        <f t="shared" si="303"/>
        <v>-4.9943597132817636</v>
      </c>
      <c r="BM333" s="43">
        <f t="shared" si="304"/>
        <v>70.490702934672143</v>
      </c>
    </row>
    <row r="334" spans="14:65" x14ac:dyDescent="0.25">
      <c r="N334" s="9">
        <v>16</v>
      </c>
      <c r="O334" s="34">
        <f t="shared" si="308"/>
        <v>14454.397707459291</v>
      </c>
      <c r="P334" s="33" t="str">
        <f t="shared" si="257"/>
        <v>19.1021967526266</v>
      </c>
      <c r="Q334" s="4" t="str">
        <f t="shared" si="258"/>
        <v>1+20.3845462611414i</v>
      </c>
      <c r="R334" s="4">
        <f t="shared" si="270"/>
        <v>20.409059906634937</v>
      </c>
      <c r="S334" s="4">
        <f t="shared" si="271"/>
        <v>1.5217788527424227</v>
      </c>
      <c r="T334" s="4" t="str">
        <f t="shared" si="259"/>
        <v>1+0.34148191896664i</v>
      </c>
      <c r="U334" s="4">
        <f t="shared" si="272"/>
        <v>1.0566976393373551</v>
      </c>
      <c r="V334" s="4">
        <f t="shared" si="273"/>
        <v>0.32906626682057377</v>
      </c>
      <c r="W334" t="str">
        <f t="shared" si="260"/>
        <v>1-0.189207623540914i</v>
      </c>
      <c r="X334" s="4">
        <f t="shared" si="274"/>
        <v>1.0177423666164243</v>
      </c>
      <c r="Y334" s="4">
        <f t="shared" si="275"/>
        <v>-0.18699706719855536</v>
      </c>
      <c r="Z334" t="str">
        <f t="shared" si="261"/>
        <v>0.999791070386915+0.14077047191444i</v>
      </c>
      <c r="AA334" s="4">
        <f t="shared" si="276"/>
        <v>1.0096526680935514</v>
      </c>
      <c r="AB334" s="4">
        <f t="shared" si="277"/>
        <v>0.13988036789748587</v>
      </c>
      <c r="AC334" s="47" t="str">
        <f t="shared" si="278"/>
        <v>0.051028234534762-0.995651332922087i</v>
      </c>
      <c r="AD334" s="20">
        <f t="shared" si="279"/>
        <v>-2.6461856466584915E-2</v>
      </c>
      <c r="AE334" s="43">
        <f t="shared" si="280"/>
        <v>-87.066094794521135</v>
      </c>
      <c r="AF334" t="str">
        <f t="shared" si="262"/>
        <v>69.5520360182888</v>
      </c>
      <c r="AG334" t="str">
        <f t="shared" si="263"/>
        <v>1+16.2610437603162i</v>
      </c>
      <c r="AH334">
        <f t="shared" si="281"/>
        <v>16.29176307754684</v>
      </c>
      <c r="AI334">
        <f t="shared" si="282"/>
        <v>1.5093770074626365</v>
      </c>
      <c r="AJ334" t="str">
        <f t="shared" si="264"/>
        <v>1+0.34148191896664i</v>
      </c>
      <c r="AK334">
        <f t="shared" si="283"/>
        <v>1.0566976393373551</v>
      </c>
      <c r="AL334">
        <f t="shared" si="284"/>
        <v>0.32906626682057377</v>
      </c>
      <c r="AM334" t="str">
        <f t="shared" si="265"/>
        <v>1-0.0414533133861216i</v>
      </c>
      <c r="AN334">
        <f t="shared" si="285"/>
        <v>1.0008588198096113</v>
      </c>
      <c r="AO334">
        <f t="shared" si="286"/>
        <v>-4.142959369421588E-2</v>
      </c>
      <c r="AP334" s="41" t="str">
        <f t="shared" si="287"/>
        <v>1.54420602172667-4.24280131238794i</v>
      </c>
      <c r="AQ334">
        <f t="shared" si="288"/>
        <v>13.093306396996823</v>
      </c>
      <c r="AR334" s="43">
        <f t="shared" si="289"/>
        <v>-70.00056481837089</v>
      </c>
      <c r="AS334" t="str">
        <f t="shared" si="266"/>
        <v>-0.0000166666666666667</v>
      </c>
      <c r="AT334" t="str">
        <f t="shared" si="267"/>
        <v>0.000308786841618771i</v>
      </c>
      <c r="AU334">
        <f t="shared" si="290"/>
        <v>3.0878684161877101E-4</v>
      </c>
      <c r="AV334">
        <f t="shared" si="291"/>
        <v>1.5707963267948966</v>
      </c>
      <c r="AW334" t="str">
        <f t="shared" si="268"/>
        <v>1+0.313808634544751i</v>
      </c>
      <c r="AX334">
        <f t="shared" si="292"/>
        <v>1.0480819906452172</v>
      </c>
      <c r="AY334">
        <f t="shared" si="293"/>
        <v>0.30407663178504157</v>
      </c>
      <c r="AZ334" t="str">
        <f t="shared" si="269"/>
        <v>1+10.6694935745215i</v>
      </c>
      <c r="BA334">
        <f t="shared" si="294"/>
        <v>10.716253689454893</v>
      </c>
      <c r="BB334">
        <f t="shared" si="295"/>
        <v>1.4773441685680007</v>
      </c>
      <c r="BC334" s="41" t="str">
        <f t="shared" si="296"/>
        <v>-0.508836522933331+0.213651960549489i</v>
      </c>
      <c r="BD334">
        <f t="shared" si="297"/>
        <v>-5.1632461605308979</v>
      </c>
      <c r="BE334" s="43">
        <f t="shared" si="298"/>
        <v>157.22327809737362</v>
      </c>
      <c r="BF334" s="41" t="str">
        <f t="shared" si="299"/>
        <v>0.186757829870421+0.517526044649742i</v>
      </c>
      <c r="BG334" s="20">
        <f t="shared" si="300"/>
        <v>-5.1897080169974865</v>
      </c>
      <c r="BH334" s="43">
        <f t="shared" si="301"/>
        <v>70.157183302852474</v>
      </c>
      <c r="BI334" s="41" t="str">
        <f t="shared" si="306"/>
        <v>0.120734395825518+2.48881491132668i</v>
      </c>
      <c r="BJ334" s="20">
        <f t="shared" si="302"/>
        <v>7.9300602364659163</v>
      </c>
      <c r="BK334" s="43">
        <f t="shared" si="307"/>
        <v>87.222713279002733</v>
      </c>
      <c r="BL334">
        <f t="shared" si="303"/>
        <v>-5.1897080169974865</v>
      </c>
      <c r="BM334" s="43">
        <f t="shared" si="304"/>
        <v>70.157183302852474</v>
      </c>
    </row>
    <row r="335" spans="14:65" x14ac:dyDescent="0.25">
      <c r="N335" s="9">
        <v>17</v>
      </c>
      <c r="O335" s="34">
        <f t="shared" si="308"/>
        <v>14791.083881682089</v>
      </c>
      <c r="P335" s="33" t="str">
        <f t="shared" si="257"/>
        <v>19.1021967526266</v>
      </c>
      <c r="Q335" s="4" t="str">
        <f t="shared" si="258"/>
        <v>1+20.8593633398488i</v>
      </c>
      <c r="R335" s="4">
        <f t="shared" si="270"/>
        <v>20.883319634191977</v>
      </c>
      <c r="S335" s="4">
        <f t="shared" si="271"/>
        <v>1.5228929006964005</v>
      </c>
      <c r="T335" s="4" t="str">
        <f t="shared" si="259"/>
        <v>1+0.349436054669147i</v>
      </c>
      <c r="U335" s="4">
        <f t="shared" si="272"/>
        <v>1.0592948391749764</v>
      </c>
      <c r="V335" s="4">
        <f t="shared" si="273"/>
        <v>0.33617232988543433</v>
      </c>
      <c r="W335" t="str">
        <f t="shared" si="260"/>
        <v>1-0.193614835255512i</v>
      </c>
      <c r="X335" s="4">
        <f t="shared" si="274"/>
        <v>1.0185709128141345</v>
      </c>
      <c r="Y335" s="4">
        <f t="shared" si="275"/>
        <v>-0.19124850762998052</v>
      </c>
      <c r="Z335" t="str">
        <f t="shared" si="261"/>
        <v>0.999781223837605+0.144049437430101i</v>
      </c>
      <c r="AA335" s="4">
        <f t="shared" si="276"/>
        <v>1.0101053093426189</v>
      </c>
      <c r="AB335" s="4">
        <f t="shared" si="277"/>
        <v>0.14309618830781923</v>
      </c>
      <c r="AC335" s="47" t="str">
        <f t="shared" si="278"/>
        <v>0.0485706525123986-0.975861052805472i</v>
      </c>
      <c r="AD335" s="20">
        <f t="shared" si="279"/>
        <v>-0.20149498476725053</v>
      </c>
      <c r="AE335" s="43">
        <f t="shared" si="280"/>
        <v>-87.150620148645018</v>
      </c>
      <c r="AF335" t="str">
        <f t="shared" si="262"/>
        <v>69.5520360182888</v>
      </c>
      <c r="AG335" t="str">
        <f t="shared" si="263"/>
        <v>1+16.6398121271023i</v>
      </c>
      <c r="AH335">
        <f t="shared" si="281"/>
        <v>16.66983346123352</v>
      </c>
      <c r="AI335">
        <f t="shared" si="282"/>
        <v>1.5107716872128698</v>
      </c>
      <c r="AJ335" t="str">
        <f t="shared" si="264"/>
        <v>1+0.349436054669147i</v>
      </c>
      <c r="AK335">
        <f t="shared" si="283"/>
        <v>1.0592948391749764</v>
      </c>
      <c r="AL335">
        <f t="shared" si="284"/>
        <v>0.33617232988543433</v>
      </c>
      <c r="AM335" t="str">
        <f t="shared" si="265"/>
        <v>1-0.0424188850948362i</v>
      </c>
      <c r="AN335">
        <f t="shared" si="285"/>
        <v>1.0008992765571814</v>
      </c>
      <c r="AO335">
        <f t="shared" si="286"/>
        <v>-4.2393470220206363E-2</v>
      </c>
      <c r="AP335" s="41" t="str">
        <f t="shared" si="287"/>
        <v>1.53267200822344-4.14970503284106i</v>
      </c>
      <c r="AQ335">
        <f t="shared" si="288"/>
        <v>12.915716369272285</v>
      </c>
      <c r="AR335" s="43">
        <f t="shared" si="289"/>
        <v>-69.72855271617226</v>
      </c>
      <c r="AS335" t="str">
        <f t="shared" si="266"/>
        <v>-0.0000166666666666667</v>
      </c>
      <c r="AT335" t="str">
        <f t="shared" si="267"/>
        <v>0.000315979411136995i</v>
      </c>
      <c r="AU335">
        <f t="shared" si="290"/>
        <v>3.1597941113699498E-4</v>
      </c>
      <c r="AV335">
        <f t="shared" si="291"/>
        <v>1.5707963267948966</v>
      </c>
      <c r="AW335" t="str">
        <f t="shared" si="268"/>
        <v>1+0.321118176646836i</v>
      </c>
      <c r="AX335">
        <f t="shared" si="292"/>
        <v>1.0502937129074841</v>
      </c>
      <c r="AY335">
        <f t="shared" si="293"/>
        <v>0.31071692625889186</v>
      </c>
      <c r="AZ335" t="str">
        <f t="shared" si="269"/>
        <v>1+10.9180180059924i</v>
      </c>
      <c r="BA335">
        <f t="shared" si="294"/>
        <v>10.96371821870547</v>
      </c>
      <c r="BB335">
        <f t="shared" si="295"/>
        <v>1.4794594519692941</v>
      </c>
      <c r="BC335" s="41" t="str">
        <f t="shared" si="296"/>
        <v>-0.506695750108658+0.215455268072882i</v>
      </c>
      <c r="BD335">
        <f t="shared" si="297"/>
        <v>-5.183258729538557</v>
      </c>
      <c r="BE335" s="43">
        <f t="shared" si="298"/>
        <v>156.96401406066622</v>
      </c>
      <c r="BF335" s="41" t="str">
        <f t="shared" si="299"/>
        <v>0.185643861526051+0.504929451110627i</v>
      </c>
      <c r="BG335" s="20">
        <f t="shared" si="300"/>
        <v>-5.3847537143058064</v>
      </c>
      <c r="BH335" s="43">
        <f t="shared" si="301"/>
        <v>69.813393912021183</v>
      </c>
      <c r="BI335" s="41" t="str">
        <f t="shared" si="306"/>
        <v>0.117477417396839+2.43286016274466i</v>
      </c>
      <c r="BJ335" s="20">
        <f t="shared" si="302"/>
        <v>7.7324576397337372</v>
      </c>
      <c r="BK335" s="43">
        <f t="shared" si="307"/>
        <v>87.235461344493956</v>
      </c>
      <c r="BL335">
        <f t="shared" si="303"/>
        <v>-5.3847537143058064</v>
      </c>
      <c r="BM335" s="43">
        <f t="shared" si="304"/>
        <v>69.813393912021183</v>
      </c>
    </row>
    <row r="336" spans="14:65" x14ac:dyDescent="0.25">
      <c r="N336" s="9">
        <v>18</v>
      </c>
      <c r="O336" s="34">
        <f t="shared" si="308"/>
        <v>15135.612484362096</v>
      </c>
      <c r="P336" s="33" t="str">
        <f t="shared" si="257"/>
        <v>19.1021967526266</v>
      </c>
      <c r="Q336" s="4" t="str">
        <f t="shared" si="258"/>
        <v>1+21.3452403291054i</v>
      </c>
      <c r="R336" s="4">
        <f t="shared" si="270"/>
        <v>21.368651916002271</v>
      </c>
      <c r="S336" s="4">
        <f t="shared" si="271"/>
        <v>1.5239817048202904</v>
      </c>
      <c r="T336" s="4" t="str">
        <f t="shared" si="259"/>
        <v>1+0.357575465993173i</v>
      </c>
      <c r="U336" s="4">
        <f t="shared" si="272"/>
        <v>1.0620076336261595</v>
      </c>
      <c r="V336" s="4">
        <f t="shared" si="273"/>
        <v>0.34340755903394332</v>
      </c>
      <c r="W336" t="str">
        <f t="shared" si="260"/>
        <v>1-0.198124704118558i</v>
      </c>
      <c r="X336" s="4">
        <f t="shared" si="274"/>
        <v>1.0194377854396344</v>
      </c>
      <c r="Y336" s="4">
        <f t="shared" si="275"/>
        <v>-0.19559174217113603</v>
      </c>
      <c r="Z336" t="str">
        <f t="shared" si="261"/>
        <v>0.999770913234723+0.147404779864207i</v>
      </c>
      <c r="AA336" s="4">
        <f t="shared" si="276"/>
        <v>1.0105790657227209</v>
      </c>
      <c r="AB336" s="4">
        <f t="shared" si="277"/>
        <v>0.14638393156570645</v>
      </c>
      <c r="AC336" s="47" t="str">
        <f t="shared" si="278"/>
        <v>0.0461872001373301-0.956574063990028i</v>
      </c>
      <c r="AD336" s="20">
        <f t="shared" si="279"/>
        <v>-0.37551486282374374</v>
      </c>
      <c r="AE336" s="43">
        <f t="shared" si="280"/>
        <v>-87.235678757083903</v>
      </c>
      <c r="AF336" t="str">
        <f t="shared" si="262"/>
        <v>69.5520360182888</v>
      </c>
      <c r="AG336" t="str">
        <f t="shared" si="263"/>
        <v>1+17.0274031425321i</v>
      </c>
      <c r="AH336">
        <f t="shared" si="281"/>
        <v>17.056742296766757</v>
      </c>
      <c r="AI336">
        <f t="shared" si="282"/>
        <v>1.5121348461236099</v>
      </c>
      <c r="AJ336" t="str">
        <f t="shared" si="264"/>
        <v>1+0.357575465993173i</v>
      </c>
      <c r="AK336">
        <f t="shared" si="283"/>
        <v>1.0620076336261595</v>
      </c>
      <c r="AL336">
        <f t="shared" si="284"/>
        <v>0.34340755903394332</v>
      </c>
      <c r="AM336" t="str">
        <f t="shared" si="265"/>
        <v>1-0.0434069478579084i</v>
      </c>
      <c r="AN336">
        <f t="shared" si="285"/>
        <v>1.000941638219901</v>
      </c>
      <c r="AO336">
        <f t="shared" si="286"/>
        <v>-4.3379716712568642E-2</v>
      </c>
      <c r="AP336" s="41" t="str">
        <f t="shared" si="287"/>
        <v>1.52165345811177-4.05874678534094i</v>
      </c>
      <c r="AQ336">
        <f t="shared" si="288"/>
        <v>12.739003082268628</v>
      </c>
      <c r="AR336" s="43">
        <f t="shared" si="289"/>
        <v>-69.44861563611579</v>
      </c>
      <c r="AS336" t="str">
        <f t="shared" si="266"/>
        <v>-0.0000166666666666667</v>
      </c>
      <c r="AT336" t="str">
        <f t="shared" si="267"/>
        <v>0.000323339517121487i</v>
      </c>
      <c r="AU336">
        <f t="shared" si="290"/>
        <v>3.2333951712148698E-4</v>
      </c>
      <c r="AV336">
        <f t="shared" si="291"/>
        <v>1.5707963267948966</v>
      </c>
      <c r="AW336" t="str">
        <f t="shared" si="268"/>
        <v>1+0.32859797985668i</v>
      </c>
      <c r="AX336">
        <f t="shared" si="292"/>
        <v>1.0526046895040375</v>
      </c>
      <c r="AY336">
        <f t="shared" si="293"/>
        <v>0.31748269920256</v>
      </c>
      <c r="AZ336" t="str">
        <f t="shared" si="269"/>
        <v>1+11.1723313151271i</v>
      </c>
      <c r="BA336">
        <f t="shared" si="294"/>
        <v>11.21699545399612</v>
      </c>
      <c r="BB336">
        <f t="shared" si="295"/>
        <v>1.4815273779498321</v>
      </c>
      <c r="BC336" s="41" t="str">
        <f t="shared" si="296"/>
        <v>-0.504473307785084+0.217314315770402i</v>
      </c>
      <c r="BD336">
        <f t="shared" si="297"/>
        <v>-5.2039758489924504</v>
      </c>
      <c r="BE336" s="43">
        <f t="shared" si="298"/>
        <v>156.69484725688045</v>
      </c>
      <c r="BF336" s="41" t="str">
        <f t="shared" si="299"/>
        <v>0.184577028569095+0.492603221997665i</v>
      </c>
      <c r="BG336" s="20">
        <f t="shared" si="300"/>
        <v>-5.5794907118161881</v>
      </c>
      <c r="BH336" s="43">
        <f t="shared" si="301"/>
        <v>69.459168499796576</v>
      </c>
      <c r="BI336" s="41" t="str">
        <f t="shared" si="306"/>
        <v>0.114390227225429+2.37820649635225i</v>
      </c>
      <c r="BJ336" s="20">
        <f t="shared" si="302"/>
        <v>7.5350272332761916</v>
      </c>
      <c r="BK336" s="43">
        <f t="shared" si="307"/>
        <v>87.246231620764661</v>
      </c>
      <c r="BL336">
        <f t="shared" si="303"/>
        <v>-5.5794907118161881</v>
      </c>
      <c r="BM336" s="43">
        <f t="shared" si="304"/>
        <v>69.459168499796576</v>
      </c>
    </row>
    <row r="337" spans="14:65" x14ac:dyDescent="0.25">
      <c r="N337" s="9">
        <v>19</v>
      </c>
      <c r="O337" s="34">
        <f t="shared" si="308"/>
        <v>15488.166189124853</v>
      </c>
      <c r="P337" s="33" t="str">
        <f t="shared" si="257"/>
        <v>19.1021967526266</v>
      </c>
      <c r="Q337" s="4" t="str">
        <f t="shared" si="258"/>
        <v>1+21.8424348473221i</v>
      </c>
      <c r="R337" s="4">
        <f t="shared" si="270"/>
        <v>21.865314085544501</v>
      </c>
      <c r="S337" s="4">
        <f t="shared" si="271"/>
        <v>1.5250458320804097</v>
      </c>
      <c r="T337" s="4" t="str">
        <f t="shared" si="259"/>
        <v>1+0.36590446856234i</v>
      </c>
      <c r="U337" s="4">
        <f t="shared" si="272"/>
        <v>1.0648408707942649</v>
      </c>
      <c r="V337" s="4">
        <f t="shared" si="273"/>
        <v>0.35077275950369502</v>
      </c>
      <c r="W337" t="str">
        <f t="shared" si="260"/>
        <v>1-0.202739621322219i</v>
      </c>
      <c r="X337" s="4">
        <f t="shared" si="274"/>
        <v>1.0203447231469749</v>
      </c>
      <c r="Y337" s="4">
        <f t="shared" si="275"/>
        <v>-0.20002841791247733</v>
      </c>
      <c r="Z337" t="str">
        <f t="shared" si="261"/>
        <v>0.999760116708098+0.150838278263731i</v>
      </c>
      <c r="AA337" s="4">
        <f t="shared" si="276"/>
        <v>1.0110749117398554</v>
      </c>
      <c r="AB337" s="4">
        <f t="shared" si="277"/>
        <v>0.14974506560354836</v>
      </c>
      <c r="AC337" s="47" t="str">
        <f t="shared" si="278"/>
        <v>0.0438729839430828-0.937780368917245i</v>
      </c>
      <c r="AD337" s="20">
        <f t="shared" si="279"/>
        <v>-0.54848211298902594</v>
      </c>
      <c r="AE337" s="43">
        <f t="shared" si="280"/>
        <v>-87.321435445562116</v>
      </c>
      <c r="AF337" t="str">
        <f t="shared" si="262"/>
        <v>69.5520360182888</v>
      </c>
      <c r="AG337" t="str">
        <f t="shared" si="263"/>
        <v>1+17.4240223124924i</v>
      </c>
      <c r="AH337">
        <f t="shared" si="281"/>
        <v>17.452694735949319</v>
      </c>
      <c r="AI337">
        <f t="shared" si="282"/>
        <v>1.5134671866841027</v>
      </c>
      <c r="AJ337" t="str">
        <f t="shared" si="264"/>
        <v>1+0.36590446856234i</v>
      </c>
      <c r="AK337">
        <f t="shared" si="283"/>
        <v>1.0648408707942649</v>
      </c>
      <c r="AL337">
        <f t="shared" si="284"/>
        <v>0.35077275950369502</v>
      </c>
      <c r="AM337" t="str">
        <f t="shared" si="265"/>
        <v>1-0.0444180255592939i</v>
      </c>
      <c r="AN337">
        <f t="shared" si="285"/>
        <v>1.0009859944048098</v>
      </c>
      <c r="AO337">
        <f t="shared" si="286"/>
        <v>-4.4388848413441213E-2</v>
      </c>
      <c r="AP337" s="41" t="str">
        <f t="shared" si="287"/>
        <v>1.51112749149764-3.96988246573617i</v>
      </c>
      <c r="AQ337">
        <f t="shared" si="288"/>
        <v>12.563201361705827</v>
      </c>
      <c r="AR337" s="43">
        <f t="shared" si="289"/>
        <v>-69.160777212354375</v>
      </c>
      <c r="AS337" t="str">
        <f t="shared" si="266"/>
        <v>-0.0000166666666666667</v>
      </c>
      <c r="AT337" t="str">
        <f t="shared" si="267"/>
        <v>0.000330871061997861i</v>
      </c>
      <c r="AU337">
        <f t="shared" si="290"/>
        <v>3.30871061997861E-4</v>
      </c>
      <c r="AV337">
        <f t="shared" si="291"/>
        <v>1.5707963267948966</v>
      </c>
      <c r="AW337" t="str">
        <f t="shared" si="268"/>
        <v>1+0.336252010064954i</v>
      </c>
      <c r="AX337">
        <f t="shared" si="292"/>
        <v>1.0550191535098885</v>
      </c>
      <c r="AY337">
        <f t="shared" si="293"/>
        <v>0.32437505939941613</v>
      </c>
      <c r="AZ337" t="str">
        <f t="shared" si="269"/>
        <v>1+11.4325683422084i</v>
      </c>
      <c r="BA337">
        <f t="shared" si="294"/>
        <v>11.476219712922271</v>
      </c>
      <c r="BB337">
        <f t="shared" si="295"/>
        <v>1.4835489721673425</v>
      </c>
      <c r="BC337" s="41" t="str">
        <f t="shared" si="296"/>
        <v>-0.502166925241689+0.219226727255092i</v>
      </c>
      <c r="BD337">
        <f t="shared" si="297"/>
        <v>-5.225430514170192</v>
      </c>
      <c r="BE337" s="43">
        <f t="shared" si="298"/>
        <v>156.41577292326809</v>
      </c>
      <c r="BF337" s="41" t="str">
        <f t="shared" si="299"/>
        <v>0.183554959713925+0.480540415095947i</v>
      </c>
      <c r="BG337" s="20">
        <f t="shared" si="300"/>
        <v>-5.7739126271592136</v>
      </c>
      <c r="BH337" s="43">
        <f t="shared" si="301"/>
        <v>69.094337477705949</v>
      </c>
      <c r="BI337" s="41" t="str">
        <f t="shared" si="306"/>
        <v>0.111466094497159+2.32482320581585i</v>
      </c>
      <c r="BJ337" s="20">
        <f t="shared" si="302"/>
        <v>7.3377708475356309</v>
      </c>
      <c r="BK337" s="43">
        <f t="shared" si="307"/>
        <v>87.254995710913718</v>
      </c>
      <c r="BL337">
        <f t="shared" si="303"/>
        <v>-5.7739126271592136</v>
      </c>
      <c r="BM337" s="43">
        <f t="shared" si="304"/>
        <v>69.094337477705949</v>
      </c>
    </row>
    <row r="338" spans="14:65" x14ac:dyDescent="0.25">
      <c r="N338" s="9">
        <v>20</v>
      </c>
      <c r="O338" s="34">
        <f t="shared" si="308"/>
        <v>15848.931924611146</v>
      </c>
      <c r="P338" s="33" t="str">
        <f t="shared" si="257"/>
        <v>19.1021967526266</v>
      </c>
      <c r="Q338" s="4" t="str">
        <f t="shared" si="258"/>
        <v>1+22.3512105136136i</v>
      </c>
      <c r="R338" s="4">
        <f t="shared" si="270"/>
        <v>22.373569483295938</v>
      </c>
      <c r="S338" s="4">
        <f t="shared" si="271"/>
        <v>1.5260858370457746</v>
      </c>
      <c r="T338" s="4" t="str">
        <f t="shared" si="259"/>
        <v>1+0.374427478524055i</v>
      </c>
      <c r="U338" s="4">
        <f t="shared" si="272"/>
        <v>1.0677995770152195</v>
      </c>
      <c r="V338" s="4">
        <f t="shared" si="273"/>
        <v>0.35826863918087215</v>
      </c>
      <c r="W338" t="str">
        <f t="shared" si="260"/>
        <v>1-0.20746203375668i</v>
      </c>
      <c r="X338" s="4">
        <f t="shared" si="274"/>
        <v>1.021293540296059</v>
      </c>
      <c r="Y338" s="4">
        <f t="shared" si="275"/>
        <v>-0.20456018825019209</v>
      </c>
      <c r="Z338" t="str">
        <f t="shared" si="261"/>
        <v>0.999748811356849+0.15435175311497i</v>
      </c>
      <c r="AA338" s="4">
        <f t="shared" si="276"/>
        <v>1.0115938658864521</v>
      </c>
      <c r="AB338" s="4">
        <f t="shared" si="277"/>
        <v>0.15318107842750112</v>
      </c>
      <c r="AC338" s="47" t="str">
        <f t="shared" si="278"/>
        <v>0.0416232622134531-0.91947016863635i</v>
      </c>
      <c r="AD338" s="20">
        <f t="shared" si="279"/>
        <v>-0.72035641558940933</v>
      </c>
      <c r="AE338" s="43">
        <f t="shared" si="280"/>
        <v>-87.408061418748986</v>
      </c>
      <c r="AF338" t="str">
        <f t="shared" si="262"/>
        <v>69.5520360182888</v>
      </c>
      <c r="AG338" t="str">
        <f t="shared" si="263"/>
        <v>1+17.8298799297169i</v>
      </c>
      <c r="AH338">
        <f t="shared" si="281"/>
        <v>17.857900725116643</v>
      </c>
      <c r="AI338">
        <f t="shared" si="282"/>
        <v>1.5147693963876105</v>
      </c>
      <c r="AJ338" t="str">
        <f t="shared" si="264"/>
        <v>1+0.374427478524055i</v>
      </c>
      <c r="AK338">
        <f t="shared" si="283"/>
        <v>1.0677995770152195</v>
      </c>
      <c r="AL338">
        <f t="shared" si="284"/>
        <v>0.35826863918087215</v>
      </c>
      <c r="AM338" t="str">
        <f t="shared" si="265"/>
        <v>1-0.0454526542857728i</v>
      </c>
      <c r="AN338">
        <f t="shared" si="285"/>
        <v>1.0010324389257432</v>
      </c>
      <c r="AO338">
        <f t="shared" si="286"/>
        <v>-4.5421392151959526E-2</v>
      </c>
      <c r="AP338" s="41" t="str">
        <f t="shared" si="287"/>
        <v>1.50107223032286-3.88306880795781i</v>
      </c>
      <c r="AQ338">
        <f t="shared" si="288"/>
        <v>12.388346782735773</v>
      </c>
      <c r="AR338" s="43">
        <f t="shared" si="289"/>
        <v>-68.86506646154605</v>
      </c>
      <c r="AS338" t="str">
        <f t="shared" si="266"/>
        <v>-0.0000166666666666667</v>
      </c>
      <c r="AT338" t="str">
        <f t="shared" si="267"/>
        <v>0.000338578039090901i</v>
      </c>
      <c r="AU338">
        <f t="shared" si="290"/>
        <v>3.38578039090901E-4</v>
      </c>
      <c r="AV338">
        <f t="shared" si="291"/>
        <v>1.5707963267948966</v>
      </c>
      <c r="AW338" t="str">
        <f t="shared" si="268"/>
        <v>1+0.344084325539784i</v>
      </c>
      <c r="AX338">
        <f t="shared" si="292"/>
        <v>1.0575414994609753</v>
      </c>
      <c r="AY338">
        <f t="shared" si="293"/>
        <v>0.33139504103569739</v>
      </c>
      <c r="AZ338" t="str">
        <f t="shared" si="269"/>
        <v>1+11.6988670683527i</v>
      </c>
      <c r="BA338">
        <f t="shared" si="294"/>
        <v>11.741528464513779</v>
      </c>
      <c r="BB338">
        <f t="shared" si="295"/>
        <v>1.48552524036571</v>
      </c>
      <c r="BC338" s="41" t="str">
        <f t="shared" si="296"/>
        <v>-0.499774341727806+0.221189997812245i</v>
      </c>
      <c r="BD338">
        <f t="shared" si="297"/>
        <v>-5.2476563845184634</v>
      </c>
      <c r="BE338" s="43">
        <f t="shared" si="298"/>
        <v>156.12678943020228</v>
      </c>
      <c r="BF338" s="41" t="str">
        <f t="shared" si="299"/>
        <v>0.182575366115806+0.468734247546519i</v>
      </c>
      <c r="BG338" s="20">
        <f t="shared" si="300"/>
        <v>-5.9680128001078723</v>
      </c>
      <c r="BH338" s="43">
        <f t="shared" si="301"/>
        <v>68.718728011453322</v>
      </c>
      <c r="BI338" s="41" t="str">
        <f t="shared" si="306"/>
        <v>0.108698595341488+2.27268032072203i</v>
      </c>
      <c r="BJ338" s="20">
        <f t="shared" si="302"/>
        <v>7.1406903982173251</v>
      </c>
      <c r="BK338" s="43">
        <f t="shared" si="307"/>
        <v>87.261722968656215</v>
      </c>
      <c r="BL338">
        <f t="shared" si="303"/>
        <v>-5.9680128001078723</v>
      </c>
      <c r="BM338" s="43">
        <f t="shared" si="304"/>
        <v>68.718728011453322</v>
      </c>
    </row>
    <row r="339" spans="14:65" x14ac:dyDescent="0.25">
      <c r="N339" s="9">
        <v>21</v>
      </c>
      <c r="O339" s="34">
        <f t="shared" si="308"/>
        <v>16218.100973589309</v>
      </c>
      <c r="P339" s="33" t="str">
        <f t="shared" ref="P339:P402" si="309">COMPLEX(Adc,0)</f>
        <v>19.1021967526266</v>
      </c>
      <c r="Q339" s="4" t="str">
        <f t="shared" ref="Q339:Q402" si="310">IMSUM(COMPLEX(1,0),IMDIV(COMPLEX(0,2*PI()*O339),COMPLEX(wp_lf,0)))</f>
        <v>1+22.8718370875727i</v>
      </c>
      <c r="R339" s="4">
        <f t="shared" si="270"/>
        <v>22.893687596376125</v>
      </c>
      <c r="S339" s="4">
        <f t="shared" si="271"/>
        <v>1.5271022621366219</v>
      </c>
      <c r="T339" s="4" t="str">
        <f t="shared" ref="T339:T402" si="311">IMSUM(COMPLEX(1,0),IMDIV(COMPLEX(0,2*PI()*O339),COMPLEX(wz_esr,0)))</f>
        <v>1+0.383149014891017i</v>
      </c>
      <c r="U339" s="4">
        <f t="shared" si="272"/>
        <v>1.0708889613829984</v>
      </c>
      <c r="V339" s="4">
        <f t="shared" si="273"/>
        <v>0.36589580205093031</v>
      </c>
      <c r="W339" t="str">
        <f t="shared" ref="W339:W402" si="312">IMSUB(COMPLEX(1,0),IMDIV(COMPLEX(0,2*PI()*O339),COMPLEX(wz_rhp,0)))</f>
        <v>1-0.212294445307523i</v>
      </c>
      <c r="X339" s="4">
        <f t="shared" si="274"/>
        <v>1.0222861299599193</v>
      </c>
      <c r="Y339" s="4">
        <f t="shared" si="275"/>
        <v>-0.20918871108801984</v>
      </c>
      <c r="Z339" t="str">
        <f t="shared" ref="Z339:Z402" si="313">IMSUM(COMPLEX(1,0),IMDIV(COMPLEX(0,2*PI()*O339),COMPLEX(Q*(wsl/2),0)),IMDIV(IMPOWER(COMPLEX(0,2*PI()*O339),2),IMPOWER(COMPLEX(wsl/2,0),2)))</f>
        <v>0.99973697320081+0.157947067308797i</v>
      </c>
      <c r="AA339" s="4">
        <f t="shared" si="276"/>
        <v>1.0121369925341959</v>
      </c>
      <c r="AB339" s="4">
        <f t="shared" si="277"/>
        <v>0.15669347765886449</v>
      </c>
      <c r="AC339" s="47" t="str">
        <f t="shared" si="278"/>
        <v>0.0394334362352255-0.901633858690439i</v>
      </c>
      <c r="AD339" s="20">
        <f t="shared" si="279"/>
        <v>-0.8910965195998799</v>
      </c>
      <c r="AE339" s="43">
        <f t="shared" si="280"/>
        <v>-87.49573452044207</v>
      </c>
      <c r="AF339" t="str">
        <f t="shared" ref="AF339:AF402" si="314">COMPLEX($B$72,0)</f>
        <v>69.5520360182888</v>
      </c>
      <c r="AG339" t="str">
        <f t="shared" ref="AG339:AG402" si="315">IMSUM(COMPLEX(1,0),IMDIV(COMPLEX(0,2*PI()*O339),COMPLEX(wp_lf_DCM,0)))</f>
        <v>1+18.2451911852866i</v>
      </c>
      <c r="AH339">
        <f t="shared" si="281"/>
        <v>18.272575116486998</v>
      </c>
      <c r="AI339">
        <f t="shared" si="282"/>
        <v>1.5160421480071786</v>
      </c>
      <c r="AJ339" t="str">
        <f t="shared" ref="AJ339:AJ402" si="316">IMSUM(COMPLEX(1,0),IMDIV(COMPLEX(0,2*PI()*O339),COMPLEX(wz1_dcm,0)))</f>
        <v>1+0.383149014891017i</v>
      </c>
      <c r="AK339">
        <f t="shared" si="283"/>
        <v>1.0708889613829984</v>
      </c>
      <c r="AL339">
        <f t="shared" si="284"/>
        <v>0.36589580205093031</v>
      </c>
      <c r="AM339" t="str">
        <f t="shared" ref="AM339:AM402" si="317">IMSUB(COMPLEX(1,0),IMDIV(COMPLEX(0,2*PI()*O339),COMPLEX(wz2_dcm,0)))</f>
        <v>1-0.0465113826111909i</v>
      </c>
      <c r="AN339">
        <f t="shared" si="285"/>
        <v>1.0010810700000299</v>
      </c>
      <c r="AO339">
        <f t="shared" si="286"/>
        <v>-4.647788658472491E-2</v>
      </c>
      <c r="AP339" s="41" t="str">
        <f t="shared" si="287"/>
        <v>1.49146675570581-3.79826337891375i</v>
      </c>
      <c r="AQ339">
        <f t="shared" si="288"/>
        <v>12.214475658341943</v>
      </c>
      <c r="AR339" s="43">
        <f t="shared" si="289"/>
        <v>-68.561518187678956</v>
      </c>
      <c r="AS339" t="str">
        <f t="shared" ref="AS339:AS402" si="318">COMPLEX(Adc_ea,0)</f>
        <v>-0.0000166666666666667</v>
      </c>
      <c r="AT339" t="str">
        <f t="shared" ref="AT339:AT402" si="319">COMPLEX(0,2*PI()*O339*wp0_ea)</f>
        <v>0.000346464534741878i</v>
      </c>
      <c r="AU339">
        <f t="shared" si="290"/>
        <v>3.46464534741878E-4</v>
      </c>
      <c r="AV339">
        <f t="shared" si="291"/>
        <v>1.5707963267948966</v>
      </c>
      <c r="AW339" t="str">
        <f t="shared" ref="AW339:AW402" si="320">IMSUM(COMPLEX(1,0),IMDIV(COMPLEX(0,2*PI()*O339),COMPLEX(wp1_ea,0)))</f>
        <v>1+0.35209907907851i</v>
      </c>
      <c r="AX339">
        <f t="shared" si="292"/>
        <v>1.0601762879294814</v>
      </c>
      <c r="AY339">
        <f t="shared" si="293"/>
        <v>0.33854359772545251</v>
      </c>
      <c r="AZ339" t="str">
        <f t="shared" ref="AZ339:AZ402" si="321">IMSUM(COMPLEX(1,0),IMDIV(COMPLEX(0,2*PI()*O339),COMPLEX(wz_ea,0)))</f>
        <v>1+11.9713686886693i</v>
      </c>
      <c r="BA339">
        <f t="shared" si="294"/>
        <v>12.013062402237479</v>
      </c>
      <c r="BB339">
        <f t="shared" si="295"/>
        <v>1.4874571686055498</v>
      </c>
      <c r="BC339" s="41" t="str">
        <f t="shared" si="296"/>
        <v>-0.497293313981154+0.223201489665064i</v>
      </c>
      <c r="BD339">
        <f t="shared" si="297"/>
        <v>-5.2706877849535703</v>
      </c>
      <c r="BE339" s="43">
        <f t="shared" si="298"/>
        <v>155.82789863673398</v>
      </c>
      <c r="BF339" s="41" t="str">
        <f t="shared" si="299"/>
        <v>0.181636036205086+0.457178091296099i</v>
      </c>
      <c r="BG339" s="20">
        <f t="shared" si="300"/>
        <v>-6.1617843045534411</v>
      </c>
      <c r="BH339" s="43">
        <f t="shared" si="301"/>
        <v>68.332164116291935</v>
      </c>
      <c r="BI339" s="41" t="str">
        <f t="shared" si="306"/>
        <v>0.106081598676146+2.22174858473273i</v>
      </c>
      <c r="BJ339" s="20">
        <f t="shared" si="302"/>
        <v>6.94378787338837</v>
      </c>
      <c r="BK339" s="43">
        <f t="shared" si="307"/>
        <v>87.266380449055021</v>
      </c>
      <c r="BL339">
        <f t="shared" si="303"/>
        <v>-6.1617843045534411</v>
      </c>
      <c r="BM339" s="43">
        <f t="shared" si="304"/>
        <v>68.332164116291935</v>
      </c>
    </row>
    <row r="340" spans="14:65" x14ac:dyDescent="0.25">
      <c r="N340" s="9">
        <v>22</v>
      </c>
      <c r="O340" s="34">
        <f t="shared" si="308"/>
        <v>16595.869074375616</v>
      </c>
      <c r="P340" s="33" t="str">
        <f t="shared" si="309"/>
        <v>19.1021967526266</v>
      </c>
      <c r="Q340" s="4" t="str">
        <f t="shared" si="310"/>
        <v>1+23.4045906123002i</v>
      </c>
      <c r="R340" s="4">
        <f t="shared" ref="R340:R403" si="322">IMABS(Q340)</f>
        <v>23.425944201448328</v>
      </c>
      <c r="S340" s="4">
        <f t="shared" ref="S340:S403" si="323">IMARGUMENT(Q340)</f>
        <v>1.5280956378694934</v>
      </c>
      <c r="T340" s="4" t="str">
        <f t="shared" si="311"/>
        <v>1+0.392073701937253i</v>
      </c>
      <c r="U340" s="4">
        <f t="shared" ref="U340:U403" si="324">IMABS(T340)</f>
        <v>1.0741144202322124</v>
      </c>
      <c r="V340" s="4">
        <f t="shared" ref="V340:V403" si="325">IMARGUMENT(T340)</f>
        <v>0.37365474153342648</v>
      </c>
      <c r="W340" t="str">
        <f t="shared" si="312"/>
        <v>1-0.217239418183319i</v>
      </c>
      <c r="X340" s="4">
        <f t="shared" ref="X340:X403" si="326">IMABS(W340)</f>
        <v>1.0233244670253061</v>
      </c>
      <c r="Y340" s="4">
        <f t="shared" ref="Y340:Y403" si="327">IMARGUMENT(W340)</f>
        <v>-0.21391564689630685</v>
      </c>
      <c r="Z340" t="str">
        <f t="shared" si="313"/>
        <v>0.999724577129666+0.161626127128389i</v>
      </c>
      <c r="AA340" s="4">
        <f t="shared" ref="AA340:AA403" si="328">IMABS(Z340)</f>
        <v>1.012705403899679</v>
      </c>
      <c r="AB340" s="4">
        <f t="shared" ref="AB340:AB403" si="329">IMARGUMENT(Z340)</f>
        <v>0.16028379000818041</v>
      </c>
      <c r="AC340" s="47" t="str">
        <f t="shared" ref="AC340:AC403" si="330">(IMDIV(IMPRODUCT(P340,T340,W340),IMPRODUCT(Q340,Z340)))</f>
        <v>0.0372990418929438-0.884262024854681i</v>
      </c>
      <c r="AD340" s="20">
        <f t="shared" ref="AD340:AD403" si="331">20*LOG(IMABS(AC340))</f>
        <v>-1.0606602572614812</v>
      </c>
      <c r="AE340" s="43">
        <f t="shared" ref="AE340:AE403" si="332">(180/PI())*IMARGUMENT(AC340)</f>
        <v>-87.584639488155474</v>
      </c>
      <c r="AF340" t="str">
        <f t="shared" si="314"/>
        <v>69.5520360182888</v>
      </c>
      <c r="AG340" t="str">
        <f t="shared" si="315"/>
        <v>1+18.6701762827264i</v>
      </c>
      <c r="AH340">
        <f t="shared" ref="AH340:AH403" si="333">IMABS(AG340)</f>
        <v>18.696937782109654</v>
      </c>
      <c r="AI340">
        <f t="shared" ref="AI340:AI403" si="334">IMARGUMENT(AG340)</f>
        <v>1.5172860998694107</v>
      </c>
      <c r="AJ340" t="str">
        <f t="shared" si="316"/>
        <v>1+0.392073701937253i</v>
      </c>
      <c r="AK340">
        <f t="shared" ref="AK340:AK403" si="335">IMABS(AJ340)</f>
        <v>1.0741144202322124</v>
      </c>
      <c r="AL340">
        <f t="shared" ref="AL340:AL403" si="336">IMARGUMENT(AJ340)</f>
        <v>0.37365474153342648</v>
      </c>
      <c r="AM340" t="str">
        <f t="shared" si="317"/>
        <v>1-0.0475947718873208i</v>
      </c>
      <c r="AN340">
        <f t="shared" ref="AN340:AN403" si="337">IMABS(AM340)</f>
        <v>1.0011319904543088</v>
      </c>
      <c r="AO340">
        <f t="shared" ref="AO340:AO403" si="338">IMARGUMENT(AM340)</f>
        <v>-4.7558882439795655E-2</v>
      </c>
      <c r="AP340" s="41" t="str">
        <f t="shared" ref="AP340:AP403" si="339">(IMDIV(IMPRODUCT(AF340,AJ340,AM340),IMPRODUCT(AG340)))</f>
        <v>1.48229106699165-3.71542457267022i</v>
      </c>
      <c r="AQ340">
        <f t="shared" ref="AQ340:AQ403" si="340">20*LOG(IMABS(AP340))</f>
        <v>12.041625024145732</v>
      </c>
      <c r="AR340" s="43">
        <f t="shared" ref="AR340:AR403" si="341">(180/PI())*IMARGUMENT(AP340)</f>
        <v>-68.250173393624507</v>
      </c>
      <c r="AS340" t="str">
        <f t="shared" si="318"/>
        <v>-0.0000166666666666667</v>
      </c>
      <c r="AT340" t="str">
        <f t="shared" si="319"/>
        <v>0.000354534730475176i</v>
      </c>
      <c r="AU340">
        <f t="shared" ref="AU340:AU403" si="342">IMABS(AT340)</f>
        <v>3.54534730475176E-4</v>
      </c>
      <c r="AV340">
        <f t="shared" ref="AV340:AV403" si="343">IMARGUMENT(AT340)</f>
        <v>1.5707963267948966</v>
      </c>
      <c r="AW340" t="str">
        <f t="shared" si="320"/>
        <v>1+0.360300520209548i</v>
      </c>
      <c r="AX340">
        <f t="shared" ref="AX340:AX403" si="344">IMABS(AW340)</f>
        <v>1.0629282501012338</v>
      </c>
      <c r="AY340">
        <f t="shared" ref="AY340:AY403" si="345">IMARGUMENT(AW340)</f>
        <v>0.34582159635980797</v>
      </c>
      <c r="AZ340" t="str">
        <f t="shared" si="321"/>
        <v>1+12.2502176871246i</v>
      </c>
      <c r="BA340">
        <f t="shared" ref="BA340:BA403" si="346">IMABS(AZ340)</f>
        <v>12.290965518702768</v>
      </c>
      <c r="BB340">
        <f t="shared" ref="BB340:BB403" si="347">IMARGUMENT(AZ340)</f>
        <v>1.4893457235037175</v>
      </c>
      <c r="BC340" s="41" t="str">
        <f t="shared" ref="BC340:BC403" si="348">IMPRODUCT(AS340,IMDIV(AZ340,IMPRODUCT(AT340,AW340)))</f>
        <v>-0.494721624317843+0.225258427537465i</v>
      </c>
      <c r="BD340">
        <f t="shared" ref="BD340:BD403" si="349">20*LOG(IMABS(BC340))</f>
        <v>-5.2945597041254091</v>
      </c>
      <c r="BE340" s="43">
        <f t="shared" ref="BE340:BE403" si="350">(180/PI())*IMARGUMENT(BC340)</f>
        <v>155.51910625672735</v>
      </c>
      <c r="BF340" s="41" t="str">
        <f t="shared" ref="BF340:BF403" si="351">IMPRODUCT(AC340,BC340)</f>
        <v>0.180734830659084+0.445865468784151i</v>
      </c>
      <c r="BG340" s="20">
        <f t="shared" ref="BG340:BG403" si="352">20*LOG(IMABS(BF340))</f>
        <v>-6.3552199613868909</v>
      </c>
      <c r="BH340" s="43">
        <f t="shared" ref="BH340:BH403" si="353">(180/PI())*IMARGUMENT(BF340)</f>
        <v>67.934466768571852</v>
      </c>
      <c r="BI340" s="41" t="str">
        <f t="shared" si="306"/>
        <v>0.103609252499814+2.17199943452521i</v>
      </c>
      <c r="BJ340" s="20">
        <f t="shared" ref="BJ340:BJ403" si="354">20*LOG(IMABS(BI340))</f>
        <v>6.7470653200203277</v>
      </c>
      <c r="BK340" s="43">
        <f t="shared" si="307"/>
        <v>87.268932863102847</v>
      </c>
      <c r="BL340">
        <f t="shared" ref="BL340:BL403" si="355">IF($B$31=0,BJ340,BG340)</f>
        <v>-6.3552199613868909</v>
      </c>
      <c r="BM340" s="43">
        <f t="shared" ref="BM340:BM403" si="356">IF($B$31=0,BK340,BH340)</f>
        <v>67.934466768571852</v>
      </c>
    </row>
    <row r="341" spans="14:65" x14ac:dyDescent="0.25">
      <c r="N341" s="9">
        <v>23</v>
      </c>
      <c r="O341" s="34">
        <f t="shared" si="308"/>
        <v>16982.436524617482</v>
      </c>
      <c r="P341" s="33" t="str">
        <f t="shared" si="309"/>
        <v>19.1021967526266</v>
      </c>
      <c r="Q341" s="4" t="str">
        <f t="shared" si="310"/>
        <v>1+23.9497535607669i</v>
      </c>
      <c r="R341" s="4">
        <f t="shared" si="322"/>
        <v>23.970621510955169</v>
      </c>
      <c r="S341" s="4">
        <f t="shared" si="323"/>
        <v>1.5290664830988165</v>
      </c>
      <c r="T341" s="4" t="str">
        <f t="shared" si="311"/>
        <v>1+0.401206271649967i</v>
      </c>
      <c r="U341" s="4">
        <f t="shared" si="324"/>
        <v>1.077481541564062</v>
      </c>
      <c r="V341" s="4">
        <f t="shared" si="325"/>
        <v>0.38154583372331635</v>
      </c>
      <c r="W341" t="str">
        <f t="shared" si="312"/>
        <v>1-0.22229957427414i</v>
      </c>
      <c r="X341" s="4">
        <f t="shared" si="326"/>
        <v>1.0244106113870863</v>
      </c>
      <c r="Y341" s="4">
        <f t="shared" si="327"/>
        <v>-0.21874265662175132</v>
      </c>
      <c r="Z341" t="str">
        <f t="shared" si="313"/>
        <v>0.999711596849687+0.16539088325996i</v>
      </c>
      <c r="AA341" s="4">
        <f t="shared" si="328"/>
        <v>1.0133002620848675</v>
      </c>
      <c r="AB341" s="4">
        <f t="shared" si="329"/>
        <v>0.16395356067751599</v>
      </c>
      <c r="AC341" s="47" t="str">
        <f t="shared" si="330"/>
        <v>0.0352157415972568-0.867345438731956i</v>
      </c>
      <c r="AD341" s="20">
        <f t="shared" si="331"/>
        <v>-1.2290045628869959</v>
      </c>
      <c r="AE341" s="43">
        <f t="shared" si="332"/>
        <v>-87.674968200197185</v>
      </c>
      <c r="AF341" t="str">
        <f t="shared" si="314"/>
        <v>69.5520360182888</v>
      </c>
      <c r="AG341" t="str">
        <f t="shared" si="315"/>
        <v>1+19.1050605547604i</v>
      </c>
      <c r="AH341">
        <f t="shared" si="333"/>
        <v>19.131213730473601</v>
      </c>
      <c r="AI341">
        <f t="shared" si="334"/>
        <v>1.5185018961260321</v>
      </c>
      <c r="AJ341" t="str">
        <f t="shared" si="316"/>
        <v>1+0.401206271649967i</v>
      </c>
      <c r="AK341">
        <f t="shared" si="335"/>
        <v>1.077481541564062</v>
      </c>
      <c r="AL341">
        <f t="shared" si="336"/>
        <v>0.38154583372331635</v>
      </c>
      <c r="AM341" t="str">
        <f t="shared" si="317"/>
        <v>1-0.0487033965414966i</v>
      </c>
      <c r="AN341">
        <f t="shared" si="337"/>
        <v>1.0011853079398829</v>
      </c>
      <c r="AO341">
        <f t="shared" si="338"/>
        <v>-4.8664942764136444E-2</v>
      </c>
      <c r="AP341" s="41" t="str">
        <f t="shared" si="339"/>
        <v>1.47352604245319-3.63451160398988i</v>
      </c>
      <c r="AQ341">
        <f t="shared" si="340"/>
        <v>11.869832619425102</v>
      </c>
      <c r="AR341" s="43">
        <f t="shared" si="341"/>
        <v>-67.93107969811895</v>
      </c>
      <c r="AS341" t="str">
        <f t="shared" si="318"/>
        <v>-0.0000166666666666667</v>
      </c>
      <c r="AT341" t="str">
        <f t="shared" si="319"/>
        <v>0.000362792905215394i</v>
      </c>
      <c r="AU341">
        <f t="shared" si="342"/>
        <v>3.6279290521539398E-4</v>
      </c>
      <c r="AV341">
        <f t="shared" si="343"/>
        <v>1.5707963267948966</v>
      </c>
      <c r="AW341" t="str">
        <f t="shared" si="320"/>
        <v>1+0.368692997445542i</v>
      </c>
      <c r="AX341">
        <f t="shared" si="344"/>
        <v>1.0658022923438373</v>
      </c>
      <c r="AY341">
        <f t="shared" si="345"/>
        <v>0.35322981079363458</v>
      </c>
      <c r="AZ341" t="str">
        <f t="shared" si="321"/>
        <v>1+12.5355619131484i</v>
      </c>
      <c r="BA341">
        <f t="shared" si="346"/>
        <v>12.575385182107814</v>
      </c>
      <c r="BB341">
        <f t="shared" si="347"/>
        <v>1.4911918524806638</v>
      </c>
      <c r="BC341" s="41" t="str">
        <f t="shared" si="348"/>
        <v>-0.492057089299543+0.227357894569227i</v>
      </c>
      <c r="BD341">
        <f t="shared" si="349"/>
        <v>-5.3193077894489171</v>
      </c>
      <c r="BE341" s="43">
        <f t="shared" si="350"/>
        <v>155.20042223475704</v>
      </c>
      <c r="BF341" s="41" t="str">
        <f t="shared" si="351"/>
        <v>0.179869677506449+0.434790048864928i</v>
      </c>
      <c r="BG341" s="20">
        <f t="shared" si="352"/>
        <v>-6.5483123523359055</v>
      </c>
      <c r="BH341" s="43">
        <f t="shared" si="353"/>
        <v>67.5254540345599</v>
      </c>
      <c r="BI341" s="41" t="str">
        <f t="shared" si="306"/>
        <v>0.101275970613972+2.12340497948976i</v>
      </c>
      <c r="BJ341" s="20">
        <f t="shared" si="354"/>
        <v>6.5505248299761973</v>
      </c>
      <c r="BK341" s="43">
        <f t="shared" si="307"/>
        <v>87.269342536638121</v>
      </c>
      <c r="BL341">
        <f t="shared" si="355"/>
        <v>-6.5483123523359055</v>
      </c>
      <c r="BM341" s="43">
        <f t="shared" si="356"/>
        <v>67.5254540345599</v>
      </c>
    </row>
    <row r="342" spans="14:65" x14ac:dyDescent="0.25">
      <c r="N342" s="9">
        <v>24</v>
      </c>
      <c r="O342" s="34">
        <f t="shared" si="308"/>
        <v>17378.008287493791</v>
      </c>
      <c r="P342" s="33" t="str">
        <f t="shared" si="309"/>
        <v>19.1021967526266</v>
      </c>
      <c r="Q342" s="4" t="str">
        <f t="shared" si="310"/>
        <v>1+24.5076149855837i</v>
      </c>
      <c r="R342" s="4">
        <f t="shared" si="322"/>
        <v>24.528008322764546</v>
      </c>
      <c r="S342" s="4">
        <f t="shared" si="323"/>
        <v>1.5300153052549239</v>
      </c>
      <c r="T342" s="4" t="str">
        <f t="shared" si="311"/>
        <v>1+0.410551566238497i</v>
      </c>
      <c r="U342" s="4">
        <f t="shared" si="324"/>
        <v>1.0809961094013627</v>
      </c>
      <c r="V342" s="4">
        <f t="shared" si="325"/>
        <v>0.38956933056381204</v>
      </c>
      <c r="W342" t="str">
        <f t="shared" si="312"/>
        <v>1-0.227477596541721i</v>
      </c>
      <c r="X342" s="4">
        <f t="shared" si="326"/>
        <v>1.0255467112366936</v>
      </c>
      <c r="Y342" s="4">
        <f t="shared" si="327"/>
        <v>-0.22367139944129777</v>
      </c>
      <c r="Z342" t="str">
        <f t="shared" si="313"/>
        <v>0.99969800482796+0.16924333182704i</v>
      </c>
      <c r="AA342" s="4">
        <f t="shared" si="328"/>
        <v>1.0139227811943676</v>
      </c>
      <c r="AB342" s="4">
        <f t="shared" si="329"/>
        <v>0.1677043526862019</v>
      </c>
      <c r="AC342" s="47" t="str">
        <f t="shared" si="330"/>
        <v>0.0331793165392183-0.850875053210759i</v>
      </c>
      <c r="AD342" s="20">
        <f t="shared" si="331"/>
        <v>-1.3960854960971076</v>
      </c>
      <c r="AE342" s="43">
        <f t="shared" si="332"/>
        <v>-87.766919913148172</v>
      </c>
      <c r="AF342" t="str">
        <f t="shared" si="314"/>
        <v>69.5520360182888</v>
      </c>
      <c r="AG342" t="str">
        <f t="shared" si="315"/>
        <v>1+19.5500745827856i</v>
      </c>
      <c r="AH342">
        <f t="shared" si="333"/>
        <v>19.575633225836647</v>
      </c>
      <c r="AI342">
        <f t="shared" si="334"/>
        <v>1.5196901670230203</v>
      </c>
      <c r="AJ342" t="str">
        <f t="shared" si="316"/>
        <v>1+0.410551566238497i</v>
      </c>
      <c r="AK342">
        <f t="shared" si="335"/>
        <v>1.0809961094013627</v>
      </c>
      <c r="AL342">
        <f t="shared" si="336"/>
        <v>0.38956933056381204</v>
      </c>
      <c r="AM342" t="str">
        <f t="shared" si="317"/>
        <v>1-0.049837844381184i</v>
      </c>
      <c r="AN342">
        <f t="shared" si="337"/>
        <v>1.0012411351580413</v>
      </c>
      <c r="AO342">
        <f t="shared" si="338"/>
        <v>-4.9796643174455466E-2</v>
      </c>
      <c r="AP342" s="41" t="str">
        <f t="shared" si="339"/>
        <v>1.46515340158473-3.55548450129261i</v>
      </c>
      <c r="AQ342">
        <f t="shared" si="340"/>
        <v>11.699136864160158</v>
      </c>
      <c r="AR342" s="43">
        <f t="shared" si="341"/>
        <v>-67.604291756722134</v>
      </c>
      <c r="AS342" t="str">
        <f t="shared" si="318"/>
        <v>-0.0000166666666666667</v>
      </c>
      <c r="AT342" t="str">
        <f t="shared" si="319"/>
        <v>0.000371243437556089i</v>
      </c>
      <c r="AU342">
        <f t="shared" si="342"/>
        <v>3.7124343755608901E-4</v>
      </c>
      <c r="AV342">
        <f t="shared" si="343"/>
        <v>1.5707963267948966</v>
      </c>
      <c r="AW342" t="str">
        <f t="shared" si="320"/>
        <v>1+0.377280960589007i</v>
      </c>
      <c r="AX342">
        <f t="shared" si="344"/>
        <v>1.0688035007535126</v>
      </c>
      <c r="AY342">
        <f t="shared" si="345"/>
        <v>0.36076891538502937</v>
      </c>
      <c r="AZ342" t="str">
        <f t="shared" si="321"/>
        <v>1+12.8275526600263i</v>
      </c>
      <c r="BA342">
        <f t="shared" si="346"/>
        <v>12.866472214470745</v>
      </c>
      <c r="BB342">
        <f t="shared" si="347"/>
        <v>1.4929964840146497</v>
      </c>
      <c r="BC342" s="41" t="str">
        <f t="shared" si="348"/>
        <v>-0.489297568978983+0.22949682864203i</v>
      </c>
      <c r="BD342">
        <f t="shared" si="349"/>
        <v>-5.3449683387020297</v>
      </c>
      <c r="BE342" s="43">
        <f t="shared" si="350"/>
        <v>154.87186113083604</v>
      </c>
      <c r="BF342" s="41" t="str">
        <f t="shared" si="351"/>
        <v>0.179038567359464+0.423945642963148i</v>
      </c>
      <c r="BG342" s="20">
        <f t="shared" si="352"/>
        <v>-6.7410538347991338</v>
      </c>
      <c r="BH342" s="43">
        <f t="shared" si="353"/>
        <v>67.104941217687909</v>
      </c>
      <c r="BI342" s="41" t="str">
        <f t="shared" si="306"/>
        <v>0.0990764197558475+2.0759379821627i</v>
      </c>
      <c r="BJ342" s="20">
        <f t="shared" si="354"/>
        <v>6.3541685254581139</v>
      </c>
      <c r="BK342" s="43">
        <f t="shared" si="307"/>
        <v>87.267569374113918</v>
      </c>
      <c r="BL342">
        <f t="shared" si="355"/>
        <v>-6.7410538347991338</v>
      </c>
      <c r="BM342" s="43">
        <f t="shared" si="356"/>
        <v>67.104941217687909</v>
      </c>
    </row>
    <row r="343" spans="14:65" x14ac:dyDescent="0.25">
      <c r="N343" s="9">
        <v>25</v>
      </c>
      <c r="O343" s="34">
        <f t="shared" si="308"/>
        <v>17782.794100389234</v>
      </c>
      <c r="P343" s="33" t="str">
        <f t="shared" si="309"/>
        <v>19.1021967526266</v>
      </c>
      <c r="Q343" s="4" t="str">
        <f t="shared" si="310"/>
        <v>1+25.0784706722624i</v>
      </c>
      <c r="R343" s="4">
        <f t="shared" si="322"/>
        <v>25.098400173308367</v>
      </c>
      <c r="S343" s="4">
        <f t="shared" si="323"/>
        <v>1.5309426005784672</v>
      </c>
      <c r="T343" s="4" t="str">
        <f t="shared" si="311"/>
        <v>1+0.42011454070174i</v>
      </c>
      <c r="U343" s="4">
        <f t="shared" si="324"/>
        <v>1.0846641080578974</v>
      </c>
      <c r="V343" s="4">
        <f t="shared" si="325"/>
        <v>0.39772535297877776</v>
      </c>
      <c r="W343" t="str">
        <f t="shared" si="312"/>
        <v>1-0.23277623044201i</v>
      </c>
      <c r="X343" s="4">
        <f t="shared" si="326"/>
        <v>1.0267350064445995</v>
      </c>
      <c r="Y343" s="4">
        <f t="shared" si="327"/>
        <v>-0.22870353035367216</v>
      </c>
      <c r="Z343" t="str">
        <f t="shared" si="313"/>
        <v>0.999683772233983+0.173185515448856i</v>
      </c>
      <c r="AA343" s="4">
        <f t="shared" si="328"/>
        <v>1.0145742295314089</v>
      </c>
      <c r="AB343" s="4">
        <f t="shared" si="329"/>
        <v>0.1715377461151037</v>
      </c>
      <c r="AC343" s="47" t="str">
        <f t="shared" si="330"/>
        <v>0.0311856592638147-0.83484199778926i</v>
      </c>
      <c r="AD343" s="20">
        <f t="shared" si="331"/>
        <v>-1.5618582697276744</v>
      </c>
      <c r="AE343" s="43">
        <f t="shared" si="332"/>
        <v>-87.860701487483425</v>
      </c>
      <c r="AF343" t="str">
        <f t="shared" si="314"/>
        <v>69.5520360182888</v>
      </c>
      <c r="AG343" t="str">
        <f t="shared" si="315"/>
        <v>1+20.0054543191305i</v>
      </c>
      <c r="AH343">
        <f t="shared" si="333"/>
        <v>20.03043191034125</v>
      </c>
      <c r="AI343">
        <f t="shared" si="334"/>
        <v>1.5208515291671265</v>
      </c>
      <c r="AJ343" t="str">
        <f t="shared" si="316"/>
        <v>1+0.42011454070174i</v>
      </c>
      <c r="AK343">
        <f t="shared" si="335"/>
        <v>1.0846641080578974</v>
      </c>
      <c r="AL343">
        <f t="shared" si="336"/>
        <v>0.39772535297877776</v>
      </c>
      <c r="AM343" t="str">
        <f t="shared" si="317"/>
        <v>1-0.050998716905644i</v>
      </c>
      <c r="AN343">
        <f t="shared" si="337"/>
        <v>1.0012995900958024</v>
      </c>
      <c r="AO343">
        <f t="shared" si="338"/>
        <v>-5.0954572111338491E-2</v>
      </c>
      <c r="AP343" s="41" t="str">
        <f t="shared" si="339"/>
        <v>1.45715566893221-3.47830409909901i</v>
      </c>
      <c r="AQ343">
        <f t="shared" si="340"/>
        <v>11.529576831925523</v>
      </c>
      <c r="AR343" s="43">
        <f t="shared" si="341"/>
        <v>-67.269871685133594</v>
      </c>
      <c r="AS343" t="str">
        <f t="shared" si="318"/>
        <v>-0.0000166666666666667</v>
      </c>
      <c r="AT343" t="str">
        <f t="shared" si="319"/>
        <v>0.000379890808081363i</v>
      </c>
      <c r="AU343">
        <f t="shared" si="342"/>
        <v>3.7989080808136302E-4</v>
      </c>
      <c r="AV343">
        <f t="shared" si="343"/>
        <v>1.5707963267948966</v>
      </c>
      <c r="AW343" t="str">
        <f t="shared" si="320"/>
        <v>1+0.386068963091681i</v>
      </c>
      <c r="AX343">
        <f t="shared" si="344"/>
        <v>1.0719371456679192</v>
      </c>
      <c r="AY343">
        <f t="shared" si="345"/>
        <v>0.36843947840550634</v>
      </c>
      <c r="AZ343" t="str">
        <f t="shared" si="321"/>
        <v>1+13.1263447451171i</v>
      </c>
      <c r="BA343">
        <f t="shared" si="346"/>
        <v>13.164380971685045</v>
      </c>
      <c r="BB343">
        <f t="shared" si="347"/>
        <v>1.4947605279018801</v>
      </c>
      <c r="BC343" s="41" t="str">
        <f t="shared" si="348"/>
        <v>-0.486440976719719+0.23167201917812i</v>
      </c>
      <c r="BD343">
        <f t="shared" si="349"/>
        <v>-5.3715782879927145</v>
      </c>
      <c r="BE343" s="43">
        <f t="shared" si="350"/>
        <v>154.53344251288763</v>
      </c>
      <c r="BF343" s="41" t="str">
        <f t="shared" si="351"/>
        <v>0.178239548770595+0.413326201462298i</v>
      </c>
      <c r="BG343" s="20">
        <f t="shared" si="352"/>
        <v>-6.9334365577203876</v>
      </c>
      <c r="BH343" s="43">
        <f t="shared" si="353"/>
        <v>66.672741025404221</v>
      </c>
      <c r="BI343" s="41" t="str">
        <f t="shared" si="306"/>
        <v>0.0970055071257395+2.02957183937229i</v>
      </c>
      <c r="BJ343" s="20">
        <f t="shared" si="354"/>
        <v>6.1579985439327931</v>
      </c>
      <c r="BK343" s="43">
        <f t="shared" si="307"/>
        <v>87.263570827754052</v>
      </c>
      <c r="BL343">
        <f t="shared" si="355"/>
        <v>-6.9334365577203876</v>
      </c>
      <c r="BM343" s="43">
        <f t="shared" si="356"/>
        <v>66.672741025404221</v>
      </c>
    </row>
    <row r="344" spans="14:65" x14ac:dyDescent="0.25">
      <c r="N344" s="9">
        <v>26</v>
      </c>
      <c r="O344" s="34">
        <f t="shared" si="308"/>
        <v>18197.008586099837</v>
      </c>
      <c r="P344" s="33" t="str">
        <f t="shared" si="309"/>
        <v>19.1021967526266</v>
      </c>
      <c r="Q344" s="4" t="str">
        <f t="shared" si="310"/>
        <v>1+25.6626232960446i</v>
      </c>
      <c r="R344" s="4">
        <f t="shared" si="322"/>
        <v>25.682099494291563</v>
      </c>
      <c r="S344" s="4">
        <f t="shared" si="323"/>
        <v>1.5318488543511881</v>
      </c>
      <c r="T344" s="4" t="str">
        <f t="shared" si="311"/>
        <v>1+0.429900265455339i</v>
      </c>
      <c r="U344" s="4">
        <f t="shared" si="324"/>
        <v>1.0884917263068981</v>
      </c>
      <c r="V344" s="4">
        <f t="shared" si="325"/>
        <v>0.40601388399546767</v>
      </c>
      <c r="W344" t="str">
        <f t="shared" si="312"/>
        <v>1-0.23819828538084i</v>
      </c>
      <c r="X344" s="4">
        <f t="shared" si="326"/>
        <v>1.0279778320364559</v>
      </c>
      <c r="Y344" s="4">
        <f t="shared" si="327"/>
        <v>-0.23384069760211765</v>
      </c>
      <c r="Z344" t="str">
        <f t="shared" si="313"/>
        <v>0.999668868878517+0.177219524323345i</v>
      </c>
      <c r="AA344" s="4">
        <f t="shared" si="328"/>
        <v>1.0152559318744441</v>
      </c>
      <c r="AB344" s="4">
        <f t="shared" si="329"/>
        <v>0.17545533726426182</v>
      </c>
      <c r="AC344" s="47" t="str">
        <f t="shared" si="330"/>
        <v>0.0292307665569029-0.819237573769067i</v>
      </c>
      <c r="AD344" s="20">
        <f t="shared" si="331"/>
        <v>-1.726277282639449</v>
      </c>
      <c r="AE344" s="43">
        <f t="shared" si="332"/>
        <v>-87.956527598901872</v>
      </c>
      <c r="AF344" t="str">
        <f t="shared" si="314"/>
        <v>69.5520360182888</v>
      </c>
      <c r="AG344" t="str">
        <f t="shared" si="315"/>
        <v>1+20.471441212159i</v>
      </c>
      <c r="AH344">
        <f t="shared" si="333"/>
        <v>20.495850928977845</v>
      </c>
      <c r="AI344">
        <f t="shared" si="334"/>
        <v>1.5219865857896084</v>
      </c>
      <c r="AJ344" t="str">
        <f t="shared" si="316"/>
        <v>1+0.429900265455339i</v>
      </c>
      <c r="AK344">
        <f t="shared" si="335"/>
        <v>1.0884917263068981</v>
      </c>
      <c r="AL344">
        <f t="shared" si="336"/>
        <v>0.40601388399546767</v>
      </c>
      <c r="AM344" t="str">
        <f t="shared" si="317"/>
        <v>1-0.0521866296248557i</v>
      </c>
      <c r="AN344">
        <f t="shared" si="337"/>
        <v>1.0013607962725533</v>
      </c>
      <c r="AO344">
        <f t="shared" si="338"/>
        <v>-5.213933109657972E-2</v>
      </c>
      <c r="AP344" s="41" t="str">
        <f t="shared" si="339"/>
        <v>1.44951613940449-3.40293203001408i</v>
      </c>
      <c r="AQ344">
        <f t="shared" si="340"/>
        <v>11.361192218464014</v>
      </c>
      <c r="AR344" s="43">
        <f t="shared" si="341"/>
        <v>-66.927889483085039</v>
      </c>
      <c r="AS344" t="str">
        <f t="shared" si="318"/>
        <v>-0.0000166666666666667</v>
      </c>
      <c r="AT344" t="str">
        <f t="shared" si="319"/>
        <v>0.000388739601741531i</v>
      </c>
      <c r="AU344">
        <f t="shared" si="342"/>
        <v>3.8873960174153099E-4</v>
      </c>
      <c r="AV344">
        <f t="shared" si="343"/>
        <v>1.5707963267948966</v>
      </c>
      <c r="AW344" t="str">
        <f t="shared" si="320"/>
        <v>1+0.395061664468814i</v>
      </c>
      <c r="AX344">
        <f t="shared" si="344"/>
        <v>1.0752086861316132</v>
      </c>
      <c r="AY344">
        <f t="shared" si="345"/>
        <v>0.37624195534137861</v>
      </c>
      <c r="AZ344" t="str">
        <f t="shared" si="321"/>
        <v>1+13.4320965919397i</v>
      </c>
      <c r="BA344">
        <f t="shared" si="346"/>
        <v>13.469269425443908</v>
      </c>
      <c r="BB344">
        <f t="shared" si="347"/>
        <v>1.4964848755216995</v>
      </c>
      <c r="BC344" s="41" t="str">
        <f t="shared" si="348"/>
        <v>-0.483485289580703+0.233880104476115i</v>
      </c>
      <c r="BD344">
        <f t="shared" si="349"/>
        <v>-5.3991751958979508</v>
      </c>
      <c r="BE344" s="43">
        <f t="shared" si="350"/>
        <v>154.18519135574323</v>
      </c>
      <c r="BF344" s="41" t="str">
        <f t="shared" si="351"/>
        <v>0.177470723710438+0.402925810325375i</v>
      </c>
      <c r="BG344" s="20">
        <f t="shared" si="352"/>
        <v>-7.1254524785374063</v>
      </c>
      <c r="BH344" s="43">
        <f t="shared" si="353"/>
        <v>66.228663756841371</v>
      </c>
      <c r="BI344" s="41" t="str">
        <f t="shared" si="306"/>
        <v>0.0950583682929287+1.98428056407854i</v>
      </c>
      <c r="BJ344" s="20">
        <f t="shared" si="354"/>
        <v>5.9620170225660445</v>
      </c>
      <c r="BK344" s="43">
        <f t="shared" si="307"/>
        <v>87.257301872658189</v>
      </c>
      <c r="BL344">
        <f t="shared" si="355"/>
        <v>-7.1254524785374063</v>
      </c>
      <c r="BM344" s="43">
        <f t="shared" si="356"/>
        <v>66.228663756841371</v>
      </c>
    </row>
    <row r="345" spans="14:65" x14ac:dyDescent="0.25">
      <c r="N345" s="9">
        <v>27</v>
      </c>
      <c r="O345" s="34">
        <f t="shared" si="308"/>
        <v>18620.871366628675</v>
      </c>
      <c r="P345" s="33" t="str">
        <f t="shared" si="309"/>
        <v>19.1021967526266</v>
      </c>
      <c r="Q345" s="4" t="str">
        <f t="shared" si="310"/>
        <v>1+26.2603825823833i</v>
      </c>
      <c r="R345" s="4">
        <f t="shared" si="322"/>
        <v>26.27941577305592</v>
      </c>
      <c r="S345" s="4">
        <f t="shared" si="323"/>
        <v>1.5327345411230158</v>
      </c>
      <c r="T345" s="4" t="str">
        <f t="shared" si="311"/>
        <v>1+0.439913929020084i</v>
      </c>
      <c r="U345" s="4">
        <f t="shared" si="324"/>
        <v>1.0924853614332264</v>
      </c>
      <c r="V345" s="4">
        <f t="shared" si="325"/>
        <v>0.41443476189145212</v>
      </c>
      <c r="W345" t="str">
        <f t="shared" si="312"/>
        <v>1-0.243746636203504i</v>
      </c>
      <c r="X345" s="4">
        <f t="shared" si="326"/>
        <v>1.0292776217622355</v>
      </c>
      <c r="Y345" s="4">
        <f t="shared" si="327"/>
        <v>-0.23908453992205858</v>
      </c>
      <c r="Z345" t="str">
        <f t="shared" si="313"/>
        <v>0.999653263149547+0.181347497335407i</v>
      </c>
      <c r="AA345" s="4">
        <f t="shared" si="328"/>
        <v>1.0159692718361875</v>
      </c>
      <c r="AB345" s="4">
        <f t="shared" si="329"/>
        <v>0.17945873771860996</v>
      </c>
      <c r="AC345" s="47" t="str">
        <f t="shared" si="330"/>
        <v>0.0273107326406679-0.804053249321731i</v>
      </c>
      <c r="AD345" s="20">
        <f t="shared" si="331"/>
        <v>-1.8892961576518204</v>
      </c>
      <c r="AE345" s="43">
        <f t="shared" si="332"/>
        <v>-88.054620932762859</v>
      </c>
      <c r="AF345" t="str">
        <f t="shared" si="314"/>
        <v>69.5520360182888</v>
      </c>
      <c r="AG345" t="str">
        <f t="shared" si="315"/>
        <v>1+20.9482823342897i</v>
      </c>
      <c r="AH345">
        <f t="shared" si="333"/>
        <v>20.97213705746541</v>
      </c>
      <c r="AI345">
        <f t="shared" si="334"/>
        <v>1.5230959270070317</v>
      </c>
      <c r="AJ345" t="str">
        <f t="shared" si="316"/>
        <v>1+0.439913929020084i</v>
      </c>
      <c r="AK345">
        <f t="shared" si="335"/>
        <v>1.0924853614332264</v>
      </c>
      <c r="AL345">
        <f t="shared" si="336"/>
        <v>0.41443476189145212</v>
      </c>
      <c r="AM345" t="str">
        <f t="shared" si="317"/>
        <v>1-0.053402212385866i</v>
      </c>
      <c r="AN345">
        <f t="shared" si="337"/>
        <v>1.0014248829980734</v>
      </c>
      <c r="AO345">
        <f t="shared" si="338"/>
        <v>-5.3351534993592749E-2</v>
      </c>
      <c r="AP345" s="41" t="str">
        <f t="shared" si="339"/>
        <v>1.44221884501163-3.32933071630297i</v>
      </c>
      <c r="AQ345">
        <f t="shared" si="340"/>
        <v>11.194023305786869</v>
      </c>
      <c r="AR345" s="43">
        <f t="shared" si="341"/>
        <v>-66.578423456856513</v>
      </c>
      <c r="AS345" t="str">
        <f t="shared" si="318"/>
        <v>-0.0000166666666666667</v>
      </c>
      <c r="AT345" t="str">
        <f t="shared" si="319"/>
        <v>0.00039779451028412i</v>
      </c>
      <c r="AU345">
        <f t="shared" si="342"/>
        <v>3.9779451028412001E-4</v>
      </c>
      <c r="AV345">
        <f t="shared" si="343"/>
        <v>1.5707963267948966</v>
      </c>
      <c r="AW345" t="str">
        <f t="shared" si="320"/>
        <v>1+0.404263832769708i</v>
      </c>
      <c r="AX345">
        <f t="shared" si="344"/>
        <v>1.0786237743002212</v>
      </c>
      <c r="AY345">
        <f t="shared" si="345"/>
        <v>0.38417668210958417</v>
      </c>
      <c r="AZ345" t="str">
        <f t="shared" si="321"/>
        <v>1+13.7449703141701i</v>
      </c>
      <c r="BA345">
        <f t="shared" si="346"/>
        <v>13.781299247074539</v>
      </c>
      <c r="BB345">
        <f t="shared" si="347"/>
        <v>1.4981704001060312</v>
      </c>
      <c r="BC345" s="41" t="str">
        <f t="shared" si="348"/>
        <v>-0.480428559249816+0.23611756965095i</v>
      </c>
      <c r="BD345">
        <f t="shared" si="349"/>
        <v>-5.4277972235844167</v>
      </c>
      <c r="BE345" s="43">
        <f t="shared" si="350"/>
        <v>153.82713844528328</v>
      </c>
      <c r="BF345" s="41" t="str">
        <f t="shared" si="351"/>
        <v>0.176730243165183+0.392738687948274i</v>
      </c>
      <c r="BG345" s="20">
        <f t="shared" si="352"/>
        <v>-7.3170933812362353</v>
      </c>
      <c r="BH345" s="43">
        <f t="shared" si="353"/>
        <v>65.772517512520523</v>
      </c>
      <c r="BI345" s="41" t="str">
        <f t="shared" si="306"/>
        <v>0.0932303554658427+1.94003876788854i</v>
      </c>
      <c r="BJ345" s="20">
        <f t="shared" si="354"/>
        <v>5.7662260822024525</v>
      </c>
      <c r="BK345" s="43">
        <f t="shared" si="307"/>
        <v>87.248714988426784</v>
      </c>
      <c r="BL345">
        <f t="shared" si="355"/>
        <v>-7.3170933812362353</v>
      </c>
      <c r="BM345" s="43">
        <f t="shared" si="356"/>
        <v>65.772517512520523</v>
      </c>
    </row>
    <row r="346" spans="14:65" x14ac:dyDescent="0.25">
      <c r="N346" s="9">
        <v>28</v>
      </c>
      <c r="O346" s="34">
        <f t="shared" si="308"/>
        <v>19054.607179632505</v>
      </c>
      <c r="P346" s="33" t="str">
        <f t="shared" si="309"/>
        <v>19.1021967526266</v>
      </c>
      <c r="Q346" s="4" t="str">
        <f t="shared" si="310"/>
        <v>1+26.8720654711646i</v>
      </c>
      <c r="R346" s="4">
        <f t="shared" si="322"/>
        <v>26.89066571668609</v>
      </c>
      <c r="S346" s="4">
        <f t="shared" si="323"/>
        <v>1.533600124935476</v>
      </c>
      <c r="T346" s="4" t="str">
        <f t="shared" si="311"/>
        <v>1+0.450160840772948i</v>
      </c>
      <c r="U346" s="4">
        <f t="shared" si="324"/>
        <v>1.0966516231535917</v>
      </c>
      <c r="V346" s="4">
        <f t="shared" si="325"/>
        <v>0.42298767340244803</v>
      </c>
      <c r="W346" t="str">
        <f t="shared" si="312"/>
        <v>1-0.249424224719054i</v>
      </c>
      <c r="X346" s="4">
        <f t="shared" si="326"/>
        <v>1.0306369117573371</v>
      </c>
      <c r="Y346" s="4">
        <f t="shared" si="327"/>
        <v>-0.2444366836076434</v>
      </c>
      <c r="Z346" t="str">
        <f t="shared" si="313"/>
        <v>0.99963692194523+0.185571623190976i</v>
      </c>
      <c r="AA346" s="4">
        <f t="shared" si="328"/>
        <v>1.0167156943068536</v>
      </c>
      <c r="AB346" s="4">
        <f t="shared" si="329"/>
        <v>0.18354957331624444</v>
      </c>
      <c r="AC346" s="47" t="str">
        <f t="shared" si="330"/>
        <v>0.0254217426736502-0.789280654430337i</v>
      </c>
      <c r="AD346" s="20">
        <f t="shared" si="331"/>
        <v>-2.0508677848122949</v>
      </c>
      <c r="AE346" s="43">
        <f t="shared" si="332"/>
        <v>-88.155212358860666</v>
      </c>
      <c r="AF346" t="str">
        <f t="shared" si="314"/>
        <v>69.5520360182888</v>
      </c>
      <c r="AG346" t="str">
        <f t="shared" si="315"/>
        <v>1+21.4362305129976i</v>
      </c>
      <c r="AH346">
        <f t="shared" si="333"/>
        <v>21.459542833116679</v>
      </c>
      <c r="AI346">
        <f t="shared" si="334"/>
        <v>1.5241801300790081</v>
      </c>
      <c r="AJ346" t="str">
        <f t="shared" si="316"/>
        <v>1+0.450160840772948i</v>
      </c>
      <c r="AK346">
        <f t="shared" si="335"/>
        <v>1.0966516231535917</v>
      </c>
      <c r="AL346">
        <f t="shared" si="336"/>
        <v>0.42298767340244803</v>
      </c>
      <c r="AM346" t="str">
        <f t="shared" si="317"/>
        <v>1-0.0546461097067456i</v>
      </c>
      <c r="AN346">
        <f t="shared" si="337"/>
        <v>1.0014919856424622</v>
      </c>
      <c r="AO346">
        <f t="shared" si="338"/>
        <v>-5.4591812270777369E-2</v>
      </c>
      <c r="AP346" s="41" t="str">
        <f t="shared" si="339"/>
        <v>1.43524852297764-3.25746336110778i</v>
      </c>
      <c r="AQ346">
        <f t="shared" si="340"/>
        <v>11.028110921664529</v>
      </c>
      <c r="AR346" s="43">
        <f t="shared" si="341"/>
        <v>-66.221560638295756</v>
      </c>
      <c r="AS346" t="str">
        <f t="shared" si="318"/>
        <v>-0.0000166666666666667</v>
      </c>
      <c r="AT346" t="str">
        <f t="shared" si="319"/>
        <v>0.000407060334741495i</v>
      </c>
      <c r="AU346">
        <f t="shared" si="342"/>
        <v>4.0706033474149499E-4</v>
      </c>
      <c r="AV346">
        <f t="shared" si="343"/>
        <v>1.5707963267948966</v>
      </c>
      <c r="AW346" t="str">
        <f t="shared" si="320"/>
        <v>1+0.413680347105804i</v>
      </c>
      <c r="AX346">
        <f t="shared" si="344"/>
        <v>1.0821882597688715</v>
      </c>
      <c r="AY346">
        <f t="shared" si="345"/>
        <v>0.39224386821397283</v>
      </c>
      <c r="AZ346" t="str">
        <f t="shared" si="321"/>
        <v>1+14.0651318015973i</v>
      </c>
      <c r="BA346">
        <f t="shared" si="346"/>
        <v>14.100635893331324</v>
      </c>
      <c r="BB346">
        <f t="shared" si="347"/>
        <v>1.4998179570123475</v>
      </c>
      <c r="BC346" s="41" t="str">
        <f t="shared" si="348"/>
        <v>-0.477268923504086+0.238380745246932i</v>
      </c>
      <c r="BD346">
        <f t="shared" si="349"/>
        <v>-5.457483110722487</v>
      </c>
      <c r="BE346" s="43">
        <f t="shared" si="350"/>
        <v>153.45932078619472</v>
      </c>
      <c r="BF346" s="41" t="str">
        <f t="shared" si="351"/>
        <v>0.176016302852639+0.382759182246588i</v>
      </c>
      <c r="BG346" s="20">
        <f t="shared" si="352"/>
        <v>-7.5083508955347833</v>
      </c>
      <c r="BH346" s="43">
        <f t="shared" si="353"/>
        <v>65.304108427334086</v>
      </c>
      <c r="BI346" s="41" t="str">
        <f t="shared" si="306"/>
        <v>0.091517026113081+1.89682164423188i</v>
      </c>
      <c r="BJ346" s="20">
        <f t="shared" si="354"/>
        <v>5.5706278109420388</v>
      </c>
      <c r="BK346" s="43">
        <f t="shared" si="307"/>
        <v>87.237760147898996</v>
      </c>
      <c r="BL346">
        <f t="shared" si="355"/>
        <v>-7.5083508955347833</v>
      </c>
      <c r="BM346" s="43">
        <f t="shared" si="356"/>
        <v>65.304108427334086</v>
      </c>
    </row>
    <row r="347" spans="14:65" x14ac:dyDescent="0.25">
      <c r="N347" s="9">
        <v>29</v>
      </c>
      <c r="O347" s="34">
        <f t="shared" si="308"/>
        <v>19498.445997580486</v>
      </c>
      <c r="P347" s="33" t="str">
        <f t="shared" si="309"/>
        <v>19.1021967526266</v>
      </c>
      <c r="Q347" s="4" t="str">
        <f t="shared" si="310"/>
        <v>1+27.4979962847522i</v>
      </c>
      <c r="R347" s="4">
        <f t="shared" si="322"/>
        <v>27.516173419940603</v>
      </c>
      <c r="S347" s="4">
        <f t="shared" si="323"/>
        <v>1.5344460595413945</v>
      </c>
      <c r="T347" s="4" t="str">
        <f t="shared" si="311"/>
        <v>1+0.460646433762168i</v>
      </c>
      <c r="U347" s="4">
        <f t="shared" si="324"/>
        <v>1.1009973373890618</v>
      </c>
      <c r="V347" s="4">
        <f t="shared" si="325"/>
        <v>0.43167214703060891</v>
      </c>
      <c r="W347" t="str">
        <f t="shared" si="312"/>
        <v>1-0.255234061260067i</v>
      </c>
      <c r="X347" s="4">
        <f t="shared" si="326"/>
        <v>1.0320583442942106</v>
      </c>
      <c r="Y347" s="4">
        <f t="shared" si="327"/>
        <v>-0.24989873939129048</v>
      </c>
      <c r="Z347" t="str">
        <f t="shared" si="313"/>
        <v>0.999619810603679+0.18989414157749i</v>
      </c>
      <c r="AA347" s="4">
        <f t="shared" si="328"/>
        <v>1.0174967079832675</v>
      </c>
      <c r="AB347" s="4">
        <f t="shared" si="329"/>
        <v>0.18772948301352843</v>
      </c>
      <c r="AC347" s="47" t="str">
        <f t="shared" si="330"/>
        <v>0.0235600665524399-0.774911575708599i</v>
      </c>
      <c r="AD347" s="20">
        <f t="shared" si="331"/>
        <v>-2.2109443701932294</v>
      </c>
      <c r="AE347" s="43">
        <f t="shared" si="332"/>
        <v>-88.258541083605763</v>
      </c>
      <c r="AF347" t="str">
        <f t="shared" si="314"/>
        <v>69.5520360182888</v>
      </c>
      <c r="AG347" t="str">
        <f t="shared" si="315"/>
        <v>1+21.9355444648652i</v>
      </c>
      <c r="AH347">
        <f t="shared" si="333"/>
        <v>21.958326688754727</v>
      </c>
      <c r="AI347">
        <f t="shared" si="334"/>
        <v>1.5252397596627447</v>
      </c>
      <c r="AJ347" t="str">
        <f t="shared" si="316"/>
        <v>1+0.460646433762168i</v>
      </c>
      <c r="AK347">
        <f t="shared" si="335"/>
        <v>1.1009973373890618</v>
      </c>
      <c r="AL347">
        <f t="shared" si="336"/>
        <v>0.43167214703060891</v>
      </c>
      <c r="AM347" t="str">
        <f t="shared" si="317"/>
        <v>1-0.0559189811183177i</v>
      </c>
      <c r="AN347">
        <f t="shared" si="337"/>
        <v>1.0015622459185005</v>
      </c>
      <c r="AO347">
        <f t="shared" si="338"/>
        <v>-5.5860805267683993E-2</v>
      </c>
      <c r="AP347" s="41" t="str">
        <f t="shared" si="339"/>
        <v>1.42859058517648-3.18729393935108i</v>
      </c>
      <c r="AQ347">
        <f t="shared" si="340"/>
        <v>10.863496394392724</v>
      </c>
      <c r="AR347" s="43">
        <f t="shared" si="341"/>
        <v>-65.857397198059118</v>
      </c>
      <c r="AS347" t="str">
        <f t="shared" si="318"/>
        <v>-0.0000166666666666667</v>
      </c>
      <c r="AT347" t="str">
        <f t="shared" si="319"/>
        <v>0.00041654198797643i</v>
      </c>
      <c r="AU347">
        <f t="shared" si="342"/>
        <v>4.1654198797642998E-4</v>
      </c>
      <c r="AV347">
        <f t="shared" si="343"/>
        <v>1.5707963267948966</v>
      </c>
      <c r="AW347" t="str">
        <f t="shared" si="320"/>
        <v>1+0.423316200237637i</v>
      </c>
      <c r="AX347">
        <f t="shared" si="344"/>
        <v>1.0859081938099699</v>
      </c>
      <c r="AY347">
        <f t="shared" si="345"/>
        <v>0.40044358987094403</v>
      </c>
      <c r="AZ347" t="str">
        <f t="shared" si="321"/>
        <v>1+14.3927508080797i</v>
      </c>
      <c r="BA347">
        <f t="shared" si="346"/>
        <v>14.427448694189797</v>
      </c>
      <c r="BB347">
        <f t="shared" si="347"/>
        <v>1.5014283839994549</v>
      </c>
      <c r="BC347" s="41" t="str">
        <f t="shared" si="348"/>
        <v>-0.474004618166584+0.240665806594222i</v>
      </c>
      <c r="BD347">
        <f t="shared" si="349"/>
        <v>-5.4882721470202931</v>
      </c>
      <c r="BE347" s="43">
        <f t="shared" si="350"/>
        <v>153.08178201164341</v>
      </c>
      <c r="BF347" s="41" t="str">
        <f t="shared" si="351"/>
        <v>0.175327139056941+0.372981767976877i</v>
      </c>
      <c r="BG347" s="20">
        <f t="shared" si="352"/>
        <v>-7.6992165172135207</v>
      </c>
      <c r="BH347" s="43">
        <f t="shared" si="353"/>
        <v>64.823240928037663</v>
      </c>
      <c r="BI347" s="41" t="str">
        <f t="shared" si="306"/>
        <v>0.0899141319238488+1.85460495218119i</v>
      </c>
      <c r="BJ347" s="20">
        <f t="shared" si="354"/>
        <v>5.3752242473724543</v>
      </c>
      <c r="BK347" s="43">
        <f t="shared" si="307"/>
        <v>87.224384813584322</v>
      </c>
      <c r="BL347">
        <f t="shared" si="355"/>
        <v>-7.6992165172135207</v>
      </c>
      <c r="BM347" s="43">
        <f t="shared" si="356"/>
        <v>64.823240928037663</v>
      </c>
    </row>
    <row r="348" spans="14:65" x14ac:dyDescent="0.25">
      <c r="N348" s="9">
        <v>30</v>
      </c>
      <c r="O348" s="34">
        <f t="shared" si="308"/>
        <v>19952.623149688792</v>
      </c>
      <c r="P348" s="33" t="str">
        <f t="shared" si="309"/>
        <v>19.1021967526266</v>
      </c>
      <c r="Q348" s="4" t="str">
        <f t="shared" si="310"/>
        <v>1+28.1385068999492i</v>
      </c>
      <c r="R348" s="4">
        <f t="shared" si="322"/>
        <v>28.156270537102184</v>
      </c>
      <c r="S348" s="4">
        <f t="shared" si="323"/>
        <v>1.5352727886208895</v>
      </c>
      <c r="T348" s="4" t="str">
        <f t="shared" si="311"/>
        <v>1+0.471376267587948i</v>
      </c>
      <c r="U348" s="4">
        <f t="shared" si="324"/>
        <v>1.1055295498742423</v>
      </c>
      <c r="V348" s="4">
        <f t="shared" si="325"/>
        <v>0.44048754649573102</v>
      </c>
      <c r="W348" t="str">
        <f t="shared" si="312"/>
        <v>1-0.261179226278783i</v>
      </c>
      <c r="X348" s="4">
        <f t="shared" si="326"/>
        <v>1.033544671622656</v>
      </c>
      <c r="Y348" s="4">
        <f t="shared" si="327"/>
        <v>-0.25547229913083774</v>
      </c>
      <c r="Z348" t="str">
        <f t="shared" si="313"/>
        <v>0.999601892829447+0.194317344351415i</v>
      </c>
      <c r="AA348" s="4">
        <f t="shared" si="328"/>
        <v>1.0183138879854285</v>
      </c>
      <c r="AB348" s="4">
        <f t="shared" si="329"/>
        <v>0.19200011764119548</v>
      </c>
      <c r="AC348" s="47" t="str">
        <f t="shared" si="330"/>
        <v>0.0217220530130623-0.760937951099209i</v>
      </c>
      <c r="AD348" s="20">
        <f t="shared" si="331"/>
        <v>-2.3694774903924993</v>
      </c>
      <c r="AE348" s="43">
        <f t="shared" si="332"/>
        <v>-88.364854776536035</v>
      </c>
      <c r="AF348" t="str">
        <f t="shared" si="314"/>
        <v>69.5520360182888</v>
      </c>
      <c r="AG348" t="str">
        <f t="shared" si="315"/>
        <v>1+22.4464889327595i</v>
      </c>
      <c r="AH348">
        <f t="shared" si="333"/>
        <v>22.468753089757666</v>
      </c>
      <c r="AI348">
        <f t="shared" si="334"/>
        <v>1.5262753680643169</v>
      </c>
      <c r="AJ348" t="str">
        <f t="shared" si="316"/>
        <v>1+0.471376267587948i</v>
      </c>
      <c r="AK348">
        <f t="shared" si="335"/>
        <v>1.1055295498742423</v>
      </c>
      <c r="AL348">
        <f t="shared" si="336"/>
        <v>0.44048754649573102</v>
      </c>
      <c r="AM348" t="str">
        <f t="shared" si="317"/>
        <v>1-0.0572215015138544i</v>
      </c>
      <c r="AN348">
        <f t="shared" si="337"/>
        <v>1.0016358121770108</v>
      </c>
      <c r="AO348">
        <f t="shared" si="338"/>
        <v>-5.7159170463823392E-2</v>
      </c>
      <c r="AP348" s="41" t="str">
        <f t="shared" si="339"/>
        <v>1.42223108884112-3.11878718836744i</v>
      </c>
      <c r="AQ348">
        <f t="shared" si="340"/>
        <v>10.700221502739355</v>
      </c>
      <c r="AR348" s="43">
        <f t="shared" si="341"/>
        <v>-65.486038850629654</v>
      </c>
      <c r="AS348" t="str">
        <f t="shared" si="318"/>
        <v>-0.0000166666666666667</v>
      </c>
      <c r="AT348" t="str">
        <f t="shared" si="319"/>
        <v>0.000426244497286974i</v>
      </c>
      <c r="AU348">
        <f t="shared" si="342"/>
        <v>4.2624449728697402E-4</v>
      </c>
      <c r="AV348">
        <f t="shared" si="343"/>
        <v>1.5707963267948966</v>
      </c>
      <c r="AW348" t="str">
        <f t="shared" si="320"/>
        <v>1+0.433176501222091i</v>
      </c>
      <c r="AX348">
        <f t="shared" si="344"/>
        <v>1.089789833505072</v>
      </c>
      <c r="AY348">
        <f t="shared" si="345"/>
        <v>0.40877578313631641</v>
      </c>
      <c r="AZ348" t="str">
        <f t="shared" si="321"/>
        <v>1+14.7280010415511i</v>
      </c>
      <c r="BA348">
        <f t="shared" si="346"/>
        <v>14.76191094269066</v>
      </c>
      <c r="BB348">
        <f t="shared" si="347"/>
        <v>1.5030025015054782</v>
      </c>
      <c r="BC348" s="41" t="str">
        <f t="shared" si="348"/>
        <v>-0.470633989522379+0.242968773979819i</v>
      </c>
      <c r="BD348">
        <f t="shared" si="349"/>
        <v>-5.5202041392120114</v>
      </c>
      <c r="BE348" s="43">
        <f t="shared" si="350"/>
        <v>152.69457279300306</v>
      </c>
      <c r="BF348" s="41" t="str">
        <f t="shared" si="351"/>
        <v>0.174661024583136+0.363401044293714i</v>
      </c>
      <c r="BG348" s="20">
        <f t="shared" si="352"/>
        <v>-7.8896816296045138</v>
      </c>
      <c r="BH348" s="43">
        <f t="shared" si="353"/>
        <v>64.329718016467055</v>
      </c>
      <c r="BI348" s="41" t="str">
        <f t="shared" si="306"/>
        <v>0.0884176080975504+1.81336500090436i</v>
      </c>
      <c r="BJ348" s="20">
        <f t="shared" si="354"/>
        <v>5.1800173635273348</v>
      </c>
      <c r="BK348" s="43">
        <f t="shared" si="307"/>
        <v>87.208533942373407</v>
      </c>
      <c r="BL348">
        <f t="shared" si="355"/>
        <v>-7.8896816296045138</v>
      </c>
      <c r="BM348" s="43">
        <f t="shared" si="356"/>
        <v>64.329718016467055</v>
      </c>
    </row>
    <row r="349" spans="14:65" x14ac:dyDescent="0.25">
      <c r="N349" s="9">
        <v>31</v>
      </c>
      <c r="O349" s="34">
        <f t="shared" si="308"/>
        <v>20417.379446695286</v>
      </c>
      <c r="P349" s="33" t="str">
        <f t="shared" si="309"/>
        <v>19.1021967526266</v>
      </c>
      <c r="Q349" s="4" t="str">
        <f t="shared" si="310"/>
        <v>1+28.7939369239615i</v>
      </c>
      <c r="R349" s="4">
        <f t="shared" si="322"/>
        <v>28.811296457831837</v>
      </c>
      <c r="S349" s="4">
        <f t="shared" si="323"/>
        <v>1.5360807459936507</v>
      </c>
      <c r="T349" s="4" t="str">
        <f t="shared" si="311"/>
        <v>1+0.482356031350203i</v>
      </c>
      <c r="U349" s="4">
        <f t="shared" si="324"/>
        <v>1.1102555295876342</v>
      </c>
      <c r="V349" s="4">
        <f t="shared" si="325"/>
        <v>0.44943306437432867</v>
      </c>
      <c r="W349" t="str">
        <f t="shared" si="312"/>
        <v>1-0.267262871980388i</v>
      </c>
      <c r="X349" s="4">
        <f t="shared" si="326"/>
        <v>1.0350987598964676</v>
      </c>
      <c r="Y349" s="4">
        <f t="shared" si="327"/>
        <v>-0.26115893229917175</v>
      </c>
      <c r="Z349" t="str">
        <f t="shared" si="313"/>
        <v>0.99958313061653+0.198843576753408i</v>
      </c>
      <c r="AA349" s="4">
        <f t="shared" si="328"/>
        <v>1.0191688785619544</v>
      </c>
      <c r="AB349" s="4">
        <f t="shared" si="329"/>
        <v>0.19636313854538284</v>
      </c>
      <c r="AC349" s="47" t="str">
        <f t="shared" si="330"/>
        <v>0.0199041240311696-0.747351864453396i</v>
      </c>
      <c r="AD349" s="20">
        <f t="shared" si="331"/>
        <v>-2.5264181528880814</v>
      </c>
      <c r="AE349" s="43">
        <f t="shared" si="332"/>
        <v>-88.474409667941174</v>
      </c>
      <c r="AF349" t="str">
        <f t="shared" si="314"/>
        <v>69.5520360182888</v>
      </c>
      <c r="AG349" t="str">
        <f t="shared" si="315"/>
        <v>1+22.9693348262002i</v>
      </c>
      <c r="AH349">
        <f t="shared" si="333"/>
        <v>22.991092674296567</v>
      </c>
      <c r="AI349">
        <f t="shared" si="334"/>
        <v>1.5272874954865554</v>
      </c>
      <c r="AJ349" t="str">
        <f t="shared" si="316"/>
        <v>1+0.482356031350203i</v>
      </c>
      <c r="AK349">
        <f t="shared" si="335"/>
        <v>1.1102555295876342</v>
      </c>
      <c r="AL349">
        <f t="shared" si="336"/>
        <v>0.44943306437432867</v>
      </c>
      <c r="AM349" t="str">
        <f t="shared" si="317"/>
        <v>1-0.0585543615069096i</v>
      </c>
      <c r="AN349">
        <f t="shared" si="337"/>
        <v>1.0017128397157948</v>
      </c>
      <c r="AO349">
        <f t="shared" si="338"/>
        <v>-5.848757874992036E-2</v>
      </c>
      <c r="AP349" s="41" t="str">
        <f t="shared" si="339"/>
        <v>1.41615670849775-3.05190859830282i</v>
      </c>
      <c r="AQ349">
        <f t="shared" si="340"/>
        <v>10.538328421009064</v>
      </c>
      <c r="AR349" s="43">
        <f t="shared" si="341"/>
        <v>-65.107601248514442</v>
      </c>
      <c r="AS349" t="str">
        <f t="shared" si="318"/>
        <v>-0.0000166666666666667</v>
      </c>
      <c r="AT349" t="str">
        <f t="shared" si="319"/>
        <v>0.000436173007071993i</v>
      </c>
      <c r="AU349">
        <f t="shared" si="342"/>
        <v>4.3617300707199299E-4</v>
      </c>
      <c r="AV349">
        <f t="shared" si="343"/>
        <v>1.5707963267948966</v>
      </c>
      <c r="AW349" t="str">
        <f t="shared" si="320"/>
        <v>1+0.44326647812126i</v>
      </c>
      <c r="AX349">
        <f t="shared" si="344"/>
        <v>1.093839645755275</v>
      </c>
      <c r="AY349">
        <f t="shared" si="345"/>
        <v>0.41724023706810737</v>
      </c>
      <c r="AZ349" t="str">
        <f t="shared" si="321"/>
        <v>1+15.0710602561228i</v>
      </c>
      <c r="BA349">
        <f t="shared" si="346"/>
        <v>15.104199986880612</v>
      </c>
      <c r="BB349">
        <f t="shared" si="347"/>
        <v>1.5045411129274504</v>
      </c>
      <c r="BC349" s="41" t="str">
        <f t="shared" si="348"/>
        <v>-0.467155507147446+0.245285513703984i</v>
      </c>
      <c r="BD349">
        <f t="shared" si="349"/>
        <v>-5.5533193733514779</v>
      </c>
      <c r="BE349" s="43">
        <f t="shared" si="350"/>
        <v>152.29775124761824</v>
      </c>
      <c r="BF349" s="41" t="str">
        <f t="shared" si="351"/>
        <v>0.174016264833975+0.354011732544129i</v>
      </c>
      <c r="BG349" s="20">
        <f t="shared" si="352"/>
        <v>-8.0797375262395494</v>
      </c>
      <c r="BH349" s="43">
        <f t="shared" si="353"/>
        <v>63.823341579677049</v>
      </c>
      <c r="BI349" s="41" t="str">
        <f t="shared" si="306"/>
        <v>0.0870235629537887+1.77307863473702i</v>
      </c>
      <c r="BJ349" s="20">
        <f t="shared" si="354"/>
        <v>4.9850090476575959</v>
      </c>
      <c r="BK349" s="43">
        <f t="shared" si="307"/>
        <v>87.190149999103809</v>
      </c>
      <c r="BL349">
        <f t="shared" si="355"/>
        <v>-8.0797375262395494</v>
      </c>
      <c r="BM349" s="43">
        <f t="shared" si="356"/>
        <v>63.823341579677049</v>
      </c>
    </row>
    <row r="350" spans="14:65" x14ac:dyDescent="0.25">
      <c r="N350" s="9">
        <v>32</v>
      </c>
      <c r="O350" s="34">
        <f t="shared" si="308"/>
        <v>20892.961308540423</v>
      </c>
      <c r="P350" s="33" t="str">
        <f t="shared" si="309"/>
        <v>19.1021967526266</v>
      </c>
      <c r="Q350" s="4" t="str">
        <f t="shared" si="310"/>
        <v>1+29.464633874464i</v>
      </c>
      <c r="R350" s="4">
        <f t="shared" si="322"/>
        <v>29.481598487127716</v>
      </c>
      <c r="S350" s="4">
        <f t="shared" si="323"/>
        <v>1.5368703558275176</v>
      </c>
      <c r="T350" s="4" t="str">
        <f t="shared" si="311"/>
        <v>1+0.493591546665021i</v>
      </c>
      <c r="U350" s="4">
        <f t="shared" si="324"/>
        <v>1.1151827719881471</v>
      </c>
      <c r="V350" s="4">
        <f t="shared" si="325"/>
        <v>0.45850771597418633</v>
      </c>
      <c r="W350" t="str">
        <f t="shared" si="312"/>
        <v>1-0.27348822399436i</v>
      </c>
      <c r="X350" s="4">
        <f t="shared" si="326"/>
        <v>1.036723593183636</v>
      </c>
      <c r="Y350" s="4">
        <f t="shared" si="327"/>
        <v>-0.26696018227183976</v>
      </c>
      <c r="Z350" t="str">
        <f t="shared" si="313"/>
        <v>0.99956348416776+0.203475238651804i</v>
      </c>
      <c r="AA350" s="4">
        <f t="shared" si="328"/>
        <v>1.0200633958857657</v>
      </c>
      <c r="AB350" s="4">
        <f t="shared" si="329"/>
        <v>0.20082021610745165</v>
      </c>
      <c r="AC350" s="47" t="str">
        <f t="shared" si="330"/>
        <v>0.0181027695211724-0.734145539993226i</v>
      </c>
      <c r="AD350" s="20">
        <f t="shared" si="331"/>
        <v>-2.6817168623742149</v>
      </c>
      <c r="AE350" s="43">
        <f t="shared" si="332"/>
        <v>-88.587470614263594</v>
      </c>
      <c r="AF350" t="str">
        <f t="shared" si="314"/>
        <v>69.5520360182888</v>
      </c>
      <c r="AG350" t="str">
        <f t="shared" si="315"/>
        <v>1+23.504359365001i</v>
      </c>
      <c r="AH350">
        <f t="shared" si="333"/>
        <v>23.525622396848721</v>
      </c>
      <c r="AI350">
        <f t="shared" si="334"/>
        <v>1.528276670273492</v>
      </c>
      <c r="AJ350" t="str">
        <f t="shared" si="316"/>
        <v>1+0.493591546665021i</v>
      </c>
      <c r="AK350">
        <f t="shared" si="335"/>
        <v>1.1151827719881471</v>
      </c>
      <c r="AL350">
        <f t="shared" si="336"/>
        <v>0.45850771597418633</v>
      </c>
      <c r="AM350" t="str">
        <f t="shared" si="317"/>
        <v>1-0.0599182677974949i</v>
      </c>
      <c r="AN350">
        <f t="shared" si="337"/>
        <v>1.0017934911027582</v>
      </c>
      <c r="AO350">
        <f t="shared" si="338"/>
        <v>-5.9846715701421319E-2</v>
      </c>
      <c r="AP350" s="41" t="str">
        <f t="shared" si="339"/>
        <v>1.41035470907757-2.98662440231701i</v>
      </c>
      <c r="AQ350">
        <f t="shared" si="340"/>
        <v>10.377859659187713</v>
      </c>
      <c r="AR350" s="43">
        <f t="shared" si="341"/>
        <v>-64.722210362884397</v>
      </c>
      <c r="AS350" t="str">
        <f t="shared" si="318"/>
        <v>-0.0000166666666666667</v>
      </c>
      <c r="AT350" t="str">
        <f t="shared" si="319"/>
        <v>0.000446332781558795i</v>
      </c>
      <c r="AU350">
        <f t="shared" si="342"/>
        <v>4.4633278155879503E-4</v>
      </c>
      <c r="AV350">
        <f t="shared" si="343"/>
        <v>1.5707963267948966</v>
      </c>
      <c r="AW350" t="str">
        <f t="shared" si="320"/>
        <v>1+0.453591480774458i</v>
      </c>
      <c r="AX350">
        <f t="shared" si="344"/>
        <v>1.0980643111544812</v>
      </c>
      <c r="AY350">
        <f t="shared" si="345"/>
        <v>0.42583658696298937</v>
      </c>
      <c r="AZ350" t="str">
        <f t="shared" si="321"/>
        <v>1+15.4221103463316i</v>
      </c>
      <c r="BA350">
        <f t="shared" si="346"/>
        <v>15.454497323899867</v>
      </c>
      <c r="BB350">
        <f t="shared" si="347"/>
        <v>1.5060450049019718</v>
      </c>
      <c r="BC350" s="41" t="str">
        <f t="shared" si="348"/>
        <v>-0.463567777095631+0.247611740092171i</v>
      </c>
      <c r="BD350">
        <f t="shared" si="349"/>
        <v>-5.5876585722787562</v>
      </c>
      <c r="BE350" s="43">
        <f t="shared" si="350"/>
        <v>151.89138334240727</v>
      </c>
      <c r="BF350" s="41" t="str">
        <f t="shared" si="351"/>
        <v>0.173391194012425+0.344808674300956i</v>
      </c>
      <c r="BG350" s="20">
        <f t="shared" si="352"/>
        <v>-8.2693754346529786</v>
      </c>
      <c r="BH350" s="43">
        <f t="shared" si="353"/>
        <v>63.303912728143608</v>
      </c>
      <c r="BI350" s="41" t="str">
        <f t="shared" si="306"/>
        <v>0.0857282678560104+1.73372321886355i</v>
      </c>
      <c r="BJ350" s="20">
        <f t="shared" si="354"/>
        <v>4.7902010869089642</v>
      </c>
      <c r="BK350" s="43">
        <f t="shared" si="307"/>
        <v>87.16917297952287</v>
      </c>
      <c r="BL350">
        <f t="shared" si="355"/>
        <v>-8.2693754346529786</v>
      </c>
      <c r="BM350" s="43">
        <f t="shared" si="356"/>
        <v>63.303912728143608</v>
      </c>
    </row>
    <row r="351" spans="14:65" x14ac:dyDescent="0.25">
      <c r="N351" s="9">
        <v>33</v>
      </c>
      <c r="O351" s="34">
        <f t="shared" si="308"/>
        <v>21379.620895022348</v>
      </c>
      <c r="P351" s="33" t="str">
        <f t="shared" si="309"/>
        <v>19.1021967526266</v>
      </c>
      <c r="Q351" s="4" t="str">
        <f t="shared" si="310"/>
        <v>1+30.1509533638571i</v>
      </c>
      <c r="R351" s="4">
        <f t="shared" si="322"/>
        <v>30.167532029476419</v>
      </c>
      <c r="S351" s="4">
        <f t="shared" si="323"/>
        <v>1.537642032843354</v>
      </c>
      <c r="T351" s="4" t="str">
        <f t="shared" si="311"/>
        <v>1+0.505088770751334i</v>
      </c>
      <c r="U351" s="4">
        <f t="shared" si="324"/>
        <v>1.1203190020432099</v>
      </c>
      <c r="V351" s="4">
        <f t="shared" si="325"/>
        <v>0.4677103334940525</v>
      </c>
      <c r="W351" t="str">
        <f t="shared" si="312"/>
        <v>1-0.279858583084737i</v>
      </c>
      <c r="X351" s="4">
        <f t="shared" si="326"/>
        <v>1.0384222775567733</v>
      </c>
      <c r="Y351" s="4">
        <f t="shared" si="327"/>
        <v>-0.27287756240867356</v>
      </c>
      <c r="Z351" t="str">
        <f t="shared" si="313"/>
        <v>0.999542911810385+0.208214785815045i</v>
      </c>
      <c r="AA351" s="4">
        <f t="shared" si="328"/>
        <v>1.0209992309411344</v>
      </c>
      <c r="AB351" s="4">
        <f t="shared" si="329"/>
        <v>0.2053730281362558</v>
      </c>
      <c r="AC351" s="47" t="str">
        <f t="shared" si="330"/>
        <v>0.0163145423355192-0.721311336658466i</v>
      </c>
      <c r="AD351" s="20">
        <f t="shared" si="331"/>
        <v>-2.8353236931740473</v>
      </c>
      <c r="AE351" s="43">
        <f t="shared" si="332"/>
        <v>-88.704311127838764</v>
      </c>
      <c r="AF351" t="str">
        <f t="shared" si="314"/>
        <v>69.5520360182888</v>
      </c>
      <c r="AG351" t="str">
        <f t="shared" si="315"/>
        <v>1+24.051846226254i</v>
      </c>
      <c r="AH351">
        <f t="shared" si="333"/>
        <v>24.07262567505607</v>
      </c>
      <c r="AI351">
        <f t="shared" si="334"/>
        <v>1.5292434091512841</v>
      </c>
      <c r="AJ351" t="str">
        <f t="shared" si="316"/>
        <v>1+0.505088770751334i</v>
      </c>
      <c r="AK351">
        <f t="shared" si="335"/>
        <v>1.1203190020432099</v>
      </c>
      <c r="AL351">
        <f t="shared" si="336"/>
        <v>0.4677103334940525</v>
      </c>
      <c r="AM351" t="str">
        <f t="shared" si="317"/>
        <v>1-0.0613139435467779i</v>
      </c>
      <c r="AN351">
        <f t="shared" si="337"/>
        <v>1.0018779365138537</v>
      </c>
      <c r="AO351">
        <f t="shared" si="338"/>
        <v>-6.1237281854012497E-2</v>
      </c>
      <c r="AP351" s="41" t="str">
        <f t="shared" si="339"/>
        <v>1.40481292016088-2.92290156662305i</v>
      </c>
      <c r="AQ351">
        <f t="shared" si="340"/>
        <v>10.218857998166824</v>
      </c>
      <c r="AR351" s="43">
        <f t="shared" si="341"/>
        <v>-64.330002847788805</v>
      </c>
      <c r="AS351" t="str">
        <f t="shared" si="318"/>
        <v>-0.0000166666666666667</v>
      </c>
      <c r="AT351" t="str">
        <f t="shared" si="319"/>
        <v>0.000456729207594292i</v>
      </c>
      <c r="AU351">
        <f t="shared" si="342"/>
        <v>4.5672920759429197E-4</v>
      </c>
      <c r="AV351">
        <f t="shared" si="343"/>
        <v>1.5707963267948966</v>
      </c>
      <c r="AW351" t="str">
        <f t="shared" si="320"/>
        <v>1+0.464156983634752i</v>
      </c>
      <c r="AX351">
        <f t="shared" si="344"/>
        <v>1.1024707277097707</v>
      </c>
      <c r="AY351">
        <f t="shared" si="345"/>
        <v>0.43456430770686966</v>
      </c>
      <c r="AZ351" t="str">
        <f t="shared" si="321"/>
        <v>1+15.7813374435816i</v>
      </c>
      <c r="BA351">
        <f t="shared" si="346"/>
        <v>15.812988696264558</v>
      </c>
      <c r="BB351">
        <f t="shared" si="347"/>
        <v>1.5075149475864345</v>
      </c>
      <c r="BC351" s="41" t="str">
        <f t="shared" si="348"/>
        <v>-0.459869555379526+0.249943018530437i</v>
      </c>
      <c r="BD351">
        <f t="shared" si="349"/>
        <v>-5.6232628481507705</v>
      </c>
      <c r="BE351" s="43">
        <f t="shared" si="350"/>
        <v>151.47554329096013</v>
      </c>
      <c r="BF351" s="41" t="str">
        <f t="shared" si="351"/>
        <v>0.172784171454586+0.335786829636623i</v>
      </c>
      <c r="BG351" s="20">
        <f t="shared" si="352"/>
        <v>-8.4585865413248058</v>
      </c>
      <c r="BH351" s="43">
        <f t="shared" si="353"/>
        <v>62.77123216312134</v>
      </c>
      <c r="BI351" s="41" t="str">
        <f t="shared" si="306"/>
        <v>0.0845281474433107+1.69527662559663i</v>
      </c>
      <c r="BJ351" s="20">
        <f t="shared" si="354"/>
        <v>4.5955951500160532</v>
      </c>
      <c r="BK351" s="43">
        <f t="shared" si="307"/>
        <v>87.145540443171313</v>
      </c>
      <c r="BL351">
        <f t="shared" si="355"/>
        <v>-8.4585865413248058</v>
      </c>
      <c r="BM351" s="43">
        <f t="shared" si="356"/>
        <v>62.77123216312134</v>
      </c>
    </row>
    <row r="352" spans="14:65" x14ac:dyDescent="0.25">
      <c r="N352" s="9">
        <v>34</v>
      </c>
      <c r="O352" s="34">
        <f t="shared" si="308"/>
        <v>21877.61623949555</v>
      </c>
      <c r="P352" s="33" t="str">
        <f t="shared" si="309"/>
        <v>19.1021967526266</v>
      </c>
      <c r="Q352" s="4" t="str">
        <f t="shared" si="310"/>
        <v>1+30.8532592878188i</v>
      </c>
      <c r="R352" s="4">
        <f t="shared" si="322"/>
        <v>30.869460777301846</v>
      </c>
      <c r="S352" s="4">
        <f t="shared" si="323"/>
        <v>1.538396182516248</v>
      </c>
      <c r="T352" s="4" t="str">
        <f t="shared" si="311"/>
        <v>1+0.51685379958954i</v>
      </c>
      <c r="U352" s="4">
        <f t="shared" si="324"/>
        <v>1.125672177034746</v>
      </c>
      <c r="V352" s="4">
        <f t="shared" si="325"/>
        <v>0.47703956052026047</v>
      </c>
      <c r="W352" t="str">
        <f t="shared" si="312"/>
        <v>1-0.286377326900233i</v>
      </c>
      <c r="X352" s="4">
        <f t="shared" si="326"/>
        <v>1.0401980452599029</v>
      </c>
      <c r="Y352" s="4">
        <f t="shared" si="327"/>
        <v>-0.27891255192620368</v>
      </c>
      <c r="Z352" t="str">
        <f t="shared" si="313"/>
        <v>0.999521369907677+0.213064731213773i</v>
      </c>
      <c r="AA352" s="4">
        <f t="shared" si="328"/>
        <v>1.0219782525031129</v>
      </c>
      <c r="AB352" s="4">
        <f t="shared" si="329"/>
        <v>0.21002325812649586</v>
      </c>
      <c r="AC352" s="47" t="str">
        <f t="shared" si="330"/>
        <v>0.0145360535663875-0.708841742339748i</v>
      </c>
      <c r="AD352" s="20">
        <f t="shared" si="331"/>
        <v>-2.9871883677926614</v>
      </c>
      <c r="AE352" s="43">
        <f t="shared" si="332"/>
        <v>-88.825213367461714</v>
      </c>
      <c r="AF352" t="str">
        <f t="shared" si="314"/>
        <v>69.5520360182888</v>
      </c>
      <c r="AG352" t="str">
        <f t="shared" si="315"/>
        <v>1+24.6120856947401i</v>
      </c>
      <c r="AH352">
        <f t="shared" si="333"/>
        <v>24.632392540011825</v>
      </c>
      <c r="AI352">
        <f t="shared" si="334"/>
        <v>1.5301882174655728</v>
      </c>
      <c r="AJ352" t="str">
        <f t="shared" si="316"/>
        <v>1+0.51685379958954i</v>
      </c>
      <c r="AK352">
        <f t="shared" si="335"/>
        <v>1.125672177034746</v>
      </c>
      <c r="AL352">
        <f t="shared" si="336"/>
        <v>0.47703956052026047</v>
      </c>
      <c r="AM352" t="str">
        <f t="shared" si="317"/>
        <v>1-0.0627421287605156i</v>
      </c>
      <c r="AN352">
        <f t="shared" si="337"/>
        <v>1.0019663540865038</v>
      </c>
      <c r="AO352">
        <f t="shared" si="338"/>
        <v>-6.2659992980909587E-2</v>
      </c>
      <c r="AP352" s="41" t="str">
        <f t="shared" si="339"/>
        <v>1.39951971130919-2.86070778039409i</v>
      </c>
      <c r="AQ352">
        <f t="shared" si="340"/>
        <v>10.061366420082727</v>
      </c>
      <c r="AR352" s="43">
        <f t="shared" si="341"/>
        <v>-63.931126384962909</v>
      </c>
      <c r="AS352" t="str">
        <f t="shared" si="318"/>
        <v>-0.0000166666666666667</v>
      </c>
      <c r="AT352" t="str">
        <f t="shared" si="319"/>
        <v>0.000467367797501181i</v>
      </c>
      <c r="AU352">
        <f t="shared" si="342"/>
        <v>4.6736779750118098E-4</v>
      </c>
      <c r="AV352">
        <f t="shared" si="343"/>
        <v>1.5707963267948966</v>
      </c>
      <c r="AW352" t="str">
        <f t="shared" si="320"/>
        <v>1+0.474968588671615i</v>
      </c>
      <c r="AX352">
        <f t="shared" si="344"/>
        <v>1.1070660143933178</v>
      </c>
      <c r="AY352">
        <f t="shared" si="345"/>
        <v>0.44342270728295119</v>
      </c>
      <c r="AZ352" t="str">
        <f t="shared" si="321"/>
        <v>1+16.1489320148349i</v>
      </c>
      <c r="BA352">
        <f t="shared" si="346"/>
        <v>16.179864190399115</v>
      </c>
      <c r="BB352">
        <f t="shared" si="347"/>
        <v>1.5089516949403734</v>
      </c>
      <c r="BC352" s="41" t="str">
        <f t="shared" si="348"/>
        <v>-0.456059761671808+0.252274769589472i</v>
      </c>
      <c r="BD352">
        <f t="shared" si="349"/>
        <v>-5.6601736499477457</v>
      </c>
      <c r="BE352" s="43">
        <f t="shared" si="350"/>
        <v>151.0503139416175</v>
      </c>
      <c r="BF352" s="41" t="str">
        <f t="shared" si="351"/>
        <v>0.172193578099024+0.326941275638695i</v>
      </c>
      <c r="BG352" s="20">
        <f t="shared" si="352"/>
        <v>-8.6473620177404182</v>
      </c>
      <c r="BH352" s="43">
        <f t="shared" si="353"/>
        <v>62.225100574155832</v>
      </c>
      <c r="BI352" s="41" t="str">
        <f t="shared" si="306"/>
        <v>0.0834197701670621+1.65771722124567i</v>
      </c>
      <c r="BJ352" s="20">
        <f t="shared" si="354"/>
        <v>4.401192770135002</v>
      </c>
      <c r="BK352" s="43">
        <f t="shared" si="307"/>
        <v>87.119187556654609</v>
      </c>
      <c r="BL352">
        <f t="shared" si="355"/>
        <v>-8.6473620177404182</v>
      </c>
      <c r="BM352" s="43">
        <f t="shared" si="356"/>
        <v>62.225100574155832</v>
      </c>
    </row>
    <row r="353" spans="14:65" x14ac:dyDescent="0.25">
      <c r="N353" s="9">
        <v>35</v>
      </c>
      <c r="O353" s="34">
        <f t="shared" si="308"/>
        <v>22387.211385683382</v>
      </c>
      <c r="P353" s="33" t="str">
        <f t="shared" si="309"/>
        <v>19.1021967526266</v>
      </c>
      <c r="Q353" s="4" t="str">
        <f t="shared" si="310"/>
        <v>1+31.571924018246i</v>
      </c>
      <c r="R353" s="4">
        <f t="shared" si="322"/>
        <v>31.587756903805285</v>
      </c>
      <c r="S353" s="4">
        <f t="shared" si="323"/>
        <v>1.5391332012730454</v>
      </c>
      <c r="T353" s="4" t="str">
        <f t="shared" si="311"/>
        <v>1+0.528892871153656i</v>
      </c>
      <c r="U353" s="4">
        <f t="shared" si="324"/>
        <v>1.1312504891301298</v>
      </c>
      <c r="V353" s="4">
        <f t="shared" si="325"/>
        <v>0.48649384691349873</v>
      </c>
      <c r="W353" t="str">
        <f t="shared" si="312"/>
        <v>1-0.293047911765102i</v>
      </c>
      <c r="X353" s="4">
        <f t="shared" si="326"/>
        <v>1.0420542589471466</v>
      </c>
      <c r="Y353" s="4">
        <f t="shared" si="327"/>
        <v>-0.28506659155841407</v>
      </c>
      <c r="Z353" t="str">
        <f t="shared" si="313"/>
        <v>0.999498812766373+0.218027646353236i</v>
      </c>
      <c r="AA353" s="4">
        <f t="shared" si="328"/>
        <v>1.0230024102101232</v>
      </c>
      <c r="AB353" s="4">
        <f t="shared" si="329"/>
        <v>0.21477259337663279</v>
      </c>
      <c r="AC353" s="47" t="str">
        <f t="shared" si="330"/>
        <v>0.0127639681531712-0.696729368000161i</v>
      </c>
      <c r="AD353" s="20">
        <f t="shared" si="331"/>
        <v>-3.1372603416356903</v>
      </c>
      <c r="AE353" s="43">
        <f t="shared" si="332"/>
        <v>-88.950468086215153</v>
      </c>
      <c r="AF353" t="str">
        <f t="shared" si="314"/>
        <v>69.5520360182888</v>
      </c>
      <c r="AG353" t="str">
        <f t="shared" si="315"/>
        <v>1+25.1853748168408i</v>
      </c>
      <c r="AH353">
        <f t="shared" si="333"/>
        <v>25.205219790050606</v>
      </c>
      <c r="AI353">
        <f t="shared" si="334"/>
        <v>1.5311115894152241</v>
      </c>
      <c r="AJ353" t="str">
        <f t="shared" si="316"/>
        <v>1+0.528892871153656i</v>
      </c>
      <c r="AK353">
        <f t="shared" si="335"/>
        <v>1.1312504891301298</v>
      </c>
      <c r="AL353">
        <f t="shared" si="336"/>
        <v>0.48649384691349873</v>
      </c>
      <c r="AM353" t="str">
        <f t="shared" si="317"/>
        <v>1-0.0642035806814121i</v>
      </c>
      <c r="AN353">
        <f t="shared" si="337"/>
        <v>1.0020589302891894</v>
      </c>
      <c r="AO353">
        <f t="shared" si="338"/>
        <v>-6.4115580371625666E-2</v>
      </c>
      <c r="AP353" s="41" t="str">
        <f t="shared" si="339"/>
        <v>1.39446396844256-2.80001144556641i</v>
      </c>
      <c r="AQ353">
        <f t="shared" si="340"/>
        <v>9.9054280338469454</v>
      </c>
      <c r="AR353" s="43">
        <f t="shared" si="341"/>
        <v>-63.525740006158529</v>
      </c>
      <c r="AS353" t="str">
        <f t="shared" si="318"/>
        <v>-0.0000166666666666667</v>
      </c>
      <c r="AT353" t="str">
        <f t="shared" si="319"/>
        <v>0.000478254192000648i</v>
      </c>
      <c r="AU353">
        <f t="shared" si="342"/>
        <v>4.7825419200064802E-4</v>
      </c>
      <c r="AV353">
        <f t="shared" si="343"/>
        <v>1.5707963267948966</v>
      </c>
      <c r="AW353" t="str">
        <f t="shared" si="320"/>
        <v>1+0.486032028341141i</v>
      </c>
      <c r="AX353">
        <f t="shared" si="344"/>
        <v>1.1118575145104717</v>
      </c>
      <c r="AY353">
        <f t="shared" si="345"/>
        <v>0.4524109204830728</v>
      </c>
      <c r="AZ353" t="str">
        <f t="shared" si="321"/>
        <v>1+16.5250889635988i</v>
      </c>
      <c r="BA353">
        <f t="shared" si="346"/>
        <v>16.55531833746651</v>
      </c>
      <c r="BB353">
        <f t="shared" si="347"/>
        <v>1.5103559850065023</v>
      </c>
      <c r="BC353" s="41" t="str">
        <f t="shared" si="348"/>
        <v>-0.452137493143893+0.254602274297917i</v>
      </c>
      <c r="BD353">
        <f t="shared" si="349"/>
        <v>-5.6984327058990738</v>
      </c>
      <c r="BE353" s="43">
        <f t="shared" si="350"/>
        <v>150.61578715388816</v>
      </c>
      <c r="BF353" s="41" t="str">
        <f t="shared" si="351"/>
        <v>0.171617813099648+0.318267205168185i</v>
      </c>
      <c r="BG353" s="20">
        <f t="shared" si="352"/>
        <v>-8.8356930475347681</v>
      </c>
      <c r="BH353" s="43">
        <f t="shared" si="353"/>
        <v>61.665319067673003</v>
      </c>
      <c r="BI353" s="41" t="str">
        <f t="shared" si="306"/>
        <v>0.0823998391303025+1.62102385356458i</v>
      </c>
      <c r="BJ353" s="20">
        <f t="shared" si="354"/>
        <v>4.2069953279478769</v>
      </c>
      <c r="BK353" s="43">
        <f t="shared" si="307"/>
        <v>87.090047147729635</v>
      </c>
      <c r="BL353">
        <f t="shared" si="355"/>
        <v>-8.8356930475347681</v>
      </c>
      <c r="BM353" s="43">
        <f t="shared" si="356"/>
        <v>61.665319067673003</v>
      </c>
    </row>
    <row r="354" spans="14:65" x14ac:dyDescent="0.25">
      <c r="N354" s="9">
        <v>36</v>
      </c>
      <c r="O354" s="34">
        <f t="shared" si="308"/>
        <v>22908.676527677751</v>
      </c>
      <c r="P354" s="33" t="str">
        <f t="shared" si="309"/>
        <v>19.1021967526266</v>
      </c>
      <c r="Q354" s="4" t="str">
        <f t="shared" si="310"/>
        <v>1+32.3073286006917i</v>
      </c>
      <c r="R354" s="4">
        <f t="shared" si="322"/>
        <v>32.322801260303407</v>
      </c>
      <c r="S354" s="4">
        <f t="shared" si="323"/>
        <v>1.5398534766862471</v>
      </c>
      <c r="T354" s="4" t="str">
        <f t="shared" si="311"/>
        <v>1+0.541212368718787i</v>
      </c>
      <c r="U354" s="4">
        <f t="shared" si="324"/>
        <v>1.1370623677064511</v>
      </c>
      <c r="V354" s="4">
        <f t="shared" si="325"/>
        <v>0.49607144414028342</v>
      </c>
      <c r="W354" t="str">
        <f t="shared" si="312"/>
        <v>1-0.29987387451174i</v>
      </c>
      <c r="X354" s="4">
        <f t="shared" si="326"/>
        <v>1.043994415988267</v>
      </c>
      <c r="Y354" s="4">
        <f t="shared" si="327"/>
        <v>-0.2913410790043825</v>
      </c>
      <c r="Z354" t="str">
        <f t="shared" si="313"/>
        <v>0.99947519253975+0.223106162636734i</v>
      </c>
      <c r="AA354" s="4">
        <f t="shared" si="328"/>
        <v>1.0240737377302764</v>
      </c>
      <c r="AB354" s="4">
        <f t="shared" si="329"/>
        <v>0.21962272295984961</v>
      </c>
      <c r="AC354" s="47" t="str">
        <f t="shared" si="330"/>
        <v>0.0109950008001953-0.684966941687578i</v>
      </c>
      <c r="AD354" s="20">
        <f t="shared" si="331"/>
        <v>-3.2854888938802973</v>
      </c>
      <c r="AE354" s="43">
        <f t="shared" si="332"/>
        <v>-89.080374532979363</v>
      </c>
      <c r="AF354" t="str">
        <f t="shared" si="314"/>
        <v>69.5520360182888</v>
      </c>
      <c r="AG354" t="str">
        <f t="shared" si="315"/>
        <v>1+25.7720175580375i</v>
      </c>
      <c r="AH354">
        <f t="shared" si="333"/>
        <v>25.79141114812823</v>
      </c>
      <c r="AI354">
        <f t="shared" si="334"/>
        <v>1.5320140082824254</v>
      </c>
      <c r="AJ354" t="str">
        <f t="shared" si="316"/>
        <v>1+0.541212368718787i</v>
      </c>
      <c r="AK354">
        <f t="shared" si="335"/>
        <v>1.1370623677064511</v>
      </c>
      <c r="AL354">
        <f t="shared" si="336"/>
        <v>0.49607144414028342</v>
      </c>
      <c r="AM354" t="str">
        <f t="shared" si="317"/>
        <v>1-0.0656990741906214i</v>
      </c>
      <c r="AN354">
        <f t="shared" si="337"/>
        <v>1.0021558603079188</v>
      </c>
      <c r="AO354">
        <f t="shared" si="338"/>
        <v>-6.5604791111923105E-2</v>
      </c>
      <c r="AP354" s="41" t="str">
        <f t="shared" si="339"/>
        <v>1.38963507122062-2.74078166656453i</v>
      </c>
      <c r="AQ354">
        <f t="shared" si="340"/>
        <v>9.7510859959861893</v>
      </c>
      <c r="AR354" s="43">
        <f t="shared" si="341"/>
        <v>-63.114014389855996</v>
      </c>
      <c r="AS354" t="str">
        <f t="shared" si="318"/>
        <v>-0.0000166666666666667</v>
      </c>
      <c r="AT354" t="str">
        <f t="shared" si="319"/>
        <v>0.000489394163203158i</v>
      </c>
      <c r="AU354">
        <f t="shared" si="342"/>
        <v>4.89394163203158E-4</v>
      </c>
      <c r="AV354">
        <f t="shared" si="343"/>
        <v>1.5707963267948966</v>
      </c>
      <c r="AW354" t="str">
        <f t="shared" si="320"/>
        <v>1+0.497353168625494i</v>
      </c>
      <c r="AX354">
        <f t="shared" si="344"/>
        <v>1.1168527988691344</v>
      </c>
      <c r="AY354">
        <f t="shared" si="345"/>
        <v>0.46152790287069195</v>
      </c>
      <c r="AZ354" t="str">
        <f t="shared" si="321"/>
        <v>1+16.9100077332668i</v>
      </c>
      <c r="BA354">
        <f t="shared" si="346"/>
        <v>16.939550216553652</v>
      </c>
      <c r="BB354">
        <f t="shared" si="347"/>
        <v>1.5117285401910701</v>
      </c>
      <c r="BC354" s="41" t="str">
        <f t="shared" si="348"/>
        <v>-0.448102038349216+0.256920680620376i</v>
      </c>
      <c r="BD354">
        <f t="shared" si="349"/>
        <v>-5.7380819608009412</v>
      </c>
      <c r="BE354" s="43">
        <f t="shared" si="350"/>
        <v>150.17206416040688</v>
      </c>
      <c r="BF354" s="41" t="str">
        <f t="shared" si="351"/>
        <v>0.171055290590611+0.30975992586104i</v>
      </c>
      <c r="BG354" s="20">
        <f t="shared" si="352"/>
        <v>-9.0235708546812425</v>
      </c>
      <c r="BH354" s="43">
        <f t="shared" si="353"/>
        <v>61.091689627427556</v>
      </c>
      <c r="BI354" s="41" t="str">
        <f t="shared" si="306"/>
        <v>0.0814651832300896+1.58517583976967i</v>
      </c>
      <c r="BJ354" s="20">
        <f t="shared" si="354"/>
        <v>4.0130040351852259</v>
      </c>
      <c r="BK354" s="43">
        <f t="shared" si="307"/>
        <v>87.058049770550895</v>
      </c>
      <c r="BL354">
        <f t="shared" si="355"/>
        <v>-9.0235708546812425</v>
      </c>
      <c r="BM354" s="43">
        <f t="shared" si="356"/>
        <v>61.091689627427556</v>
      </c>
    </row>
    <row r="355" spans="14:65" x14ac:dyDescent="0.25">
      <c r="N355" s="9">
        <v>37</v>
      </c>
      <c r="O355" s="34">
        <f t="shared" si="308"/>
        <v>23442.288153199243</v>
      </c>
      <c r="P355" s="33" t="str">
        <f t="shared" si="309"/>
        <v>19.1021967526266</v>
      </c>
      <c r="Q355" s="4" t="str">
        <f t="shared" si="310"/>
        <v>1+33.0598629563994i</v>
      </c>
      <c r="R355" s="4">
        <f t="shared" si="322"/>
        <v>33.07498357816538</v>
      </c>
      <c r="S355" s="4">
        <f t="shared" si="323"/>
        <v>1.5405573876642891</v>
      </c>
      <c r="T355" s="4" t="str">
        <f t="shared" si="311"/>
        <v>1+0.553818824245603i</v>
      </c>
      <c r="U355" s="4">
        <f t="shared" si="324"/>
        <v>1.1431164814176997</v>
      </c>
      <c r="V355" s="4">
        <f t="shared" si="325"/>
        <v>0.50577040110430782</v>
      </c>
      <c r="W355" t="str">
        <f t="shared" si="312"/>
        <v>1-0.306858834355942i</v>
      </c>
      <c r="X355" s="4">
        <f t="shared" si="326"/>
        <v>1.0460221528353439</v>
      </c>
      <c r="Y355" s="4">
        <f t="shared" si="327"/>
        <v>-0.29773736416232244</v>
      </c>
      <c r="Z355" t="str">
        <f t="shared" si="313"/>
        <v>0.999450459126142+0.228302972760821i</v>
      </c>
      <c r="AA355" s="4">
        <f t="shared" si="328"/>
        <v>1.0251943560217665</v>
      </c>
      <c r="AB355" s="4">
        <f t="shared" si="329"/>
        <v>0.22457533554150505</v>
      </c>
      <c r="AC355" s="47" t="str">
        <f t="shared" si="330"/>
        <v>0.00922591221020415-0.673547302440622i</v>
      </c>
      <c r="AD355" s="20">
        <f t="shared" si="331"/>
        <v>-3.4318232244401745</v>
      </c>
      <c r="AE355" s="43">
        <f t="shared" si="332"/>
        <v>-89.215240304060842</v>
      </c>
      <c r="AF355" t="str">
        <f t="shared" si="314"/>
        <v>69.5520360182888</v>
      </c>
      <c r="AG355" t="str">
        <f t="shared" si="315"/>
        <v>1+26.3723249640764i</v>
      </c>
      <c r="AH355">
        <f t="shared" si="333"/>
        <v>26.391277422869234</v>
      </c>
      <c r="AI355">
        <f t="shared" si="334"/>
        <v>1.5328959466591014</v>
      </c>
      <c r="AJ355" t="str">
        <f t="shared" si="316"/>
        <v>1+0.553818824245603i</v>
      </c>
      <c r="AK355">
        <f t="shared" si="335"/>
        <v>1.1431164814176997</v>
      </c>
      <c r="AL355">
        <f t="shared" si="336"/>
        <v>0.50577040110430782</v>
      </c>
      <c r="AM355" t="str">
        <f t="shared" si="317"/>
        <v>1-0.0672294022185963i</v>
      </c>
      <c r="AN355">
        <f t="shared" si="337"/>
        <v>1.0022573484503219</v>
      </c>
      <c r="AO355">
        <f t="shared" si="338"/>
        <v>-6.7128388364600847E-2</v>
      </c>
      <c r="AP355" s="41" t="str">
        <f t="shared" si="339"/>
        <v>1.38502287138766-2.682988239973i</v>
      </c>
      <c r="AQ355">
        <f t="shared" si="340"/>
        <v>9.5983834269590158</v>
      </c>
      <c r="AR355" s="43">
        <f t="shared" si="341"/>
        <v>-62.696132129168703</v>
      </c>
      <c r="AS355" t="str">
        <f t="shared" si="318"/>
        <v>-0.0000166666666666667</v>
      </c>
      <c r="AT355" t="str">
        <f t="shared" si="319"/>
        <v>0.000500793617668895i</v>
      </c>
      <c r="AU355">
        <f t="shared" si="342"/>
        <v>5.0079361766889501E-4</v>
      </c>
      <c r="AV355">
        <f t="shared" si="343"/>
        <v>1.5707963267948966</v>
      </c>
      <c r="AW355" t="str">
        <f t="shared" si="320"/>
        <v>1+0.508938012143097i</v>
      </c>
      <c r="AX355">
        <f t="shared" si="344"/>
        <v>1.1220596687361002</v>
      </c>
      <c r="AY355">
        <f t="shared" si="345"/>
        <v>0.47077242504585154</v>
      </c>
      <c r="AZ355" t="str">
        <f t="shared" si="321"/>
        <v>1+17.3038924128653i</v>
      </c>
      <c r="BA355">
        <f t="shared" si="346"/>
        <v>17.332763560264048</v>
      </c>
      <c r="BB355">
        <f t="shared" si="347"/>
        <v>1.5130700675431747</v>
      </c>
      <c r="BC355" s="41" t="str">
        <f t="shared" si="348"/>
        <v>-0.443952891049098+0.259225011188569i</v>
      </c>
      <c r="BD355">
        <f t="shared" si="349"/>
        <v>-5.7791635082330419</v>
      </c>
      <c r="BE355" s="43">
        <f t="shared" si="350"/>
        <v>149.7192559115322</v>
      </c>
      <c r="BF355" s="41" t="str">
        <f t="shared" si="351"/>
        <v>0.170504436612915+0.30141485937275i</v>
      </c>
      <c r="BG355" s="20">
        <f t="shared" si="352"/>
        <v>-9.2109867326732271</v>
      </c>
      <c r="BH355" s="43">
        <f t="shared" si="353"/>
        <v>60.504015607471381</v>
      </c>
      <c r="BI355" s="41" t="str">
        <f t="shared" si="306"/>
        <v>0.0806127486041253+1.55015295511863i</v>
      </c>
      <c r="BJ355" s="20">
        <f t="shared" si="354"/>
        <v>3.8192199187259463</v>
      </c>
      <c r="BK355" s="43">
        <f t="shared" si="307"/>
        <v>87.023123782363484</v>
      </c>
      <c r="BL355">
        <f t="shared" si="355"/>
        <v>-9.2109867326732271</v>
      </c>
      <c r="BM355" s="43">
        <f t="shared" si="356"/>
        <v>60.504015607471381</v>
      </c>
    </row>
    <row r="356" spans="14:65" x14ac:dyDescent="0.25">
      <c r="N356" s="9">
        <v>38</v>
      </c>
      <c r="O356" s="34">
        <f t="shared" si="308"/>
        <v>23988.329190194923</v>
      </c>
      <c r="P356" s="33" t="str">
        <f t="shared" si="309"/>
        <v>19.1021967526266</v>
      </c>
      <c r="Q356" s="4" t="str">
        <f t="shared" si="310"/>
        <v>1+33.8299260890456i</v>
      </c>
      <c r="R356" s="4">
        <f t="shared" si="322"/>
        <v>33.844702675459985</v>
      </c>
      <c r="S356" s="4">
        <f t="shared" si="323"/>
        <v>1.5412453046382426</v>
      </c>
      <c r="T356" s="4" t="str">
        <f t="shared" si="311"/>
        <v>1+0.56671892184369i</v>
      </c>
      <c r="U356" s="4">
        <f t="shared" si="324"/>
        <v>1.1494217399961053</v>
      </c>
      <c r="V356" s="4">
        <f t="shared" si="325"/>
        <v>0.51558856053316027</v>
      </c>
      <c r="W356" t="str">
        <f t="shared" si="312"/>
        <v>1-0.314006494815875i</v>
      </c>
      <c r="X356" s="4">
        <f t="shared" si="326"/>
        <v>1.0481412494442495</v>
      </c>
      <c r="Y356" s="4">
        <f t="shared" si="327"/>
        <v>-0.30425674415084264</v>
      </c>
      <c r="Z356" t="str">
        <f t="shared" si="313"/>
        <v>0.999424560062663+0.233620832143011i</v>
      </c>
      <c r="AA356" s="4">
        <f t="shared" si="328"/>
        <v>1.0263664766873675</v>
      </c>
      <c r="AB356" s="4">
        <f t="shared" si="329"/>
        <v>0.22963211703657227</v>
      </c>
      <c r="AC356" s="47" t="str">
        <f t="shared" si="330"/>
        <v>0.00745350564021641-0.662463394091637i</v>
      </c>
      <c r="AD356" s="20">
        <f t="shared" si="331"/>
        <v>-3.5762125569211949</v>
      </c>
      <c r="AE356" s="43">
        <f t="shared" si="332"/>
        <v>-89.355381141435444</v>
      </c>
      <c r="AF356" t="str">
        <f t="shared" si="314"/>
        <v>69.5520360182888</v>
      </c>
      <c r="AG356" t="str">
        <f t="shared" si="315"/>
        <v>1+26.9866153258901i</v>
      </c>
      <c r="AH356">
        <f t="shared" si="333"/>
        <v>27.005136673373205</v>
      </c>
      <c r="AI356">
        <f t="shared" si="334"/>
        <v>1.533757866669641</v>
      </c>
      <c r="AJ356" t="str">
        <f t="shared" si="316"/>
        <v>1+0.56671892184369i</v>
      </c>
      <c r="AK356">
        <f t="shared" si="335"/>
        <v>1.1494217399961053</v>
      </c>
      <c r="AL356">
        <f t="shared" si="336"/>
        <v>0.51558856053316027</v>
      </c>
      <c r="AM356" t="str">
        <f t="shared" si="317"/>
        <v>1-0.0687953761655136i</v>
      </c>
      <c r="AN356">
        <f t="shared" si="337"/>
        <v>1.0023636085681455</v>
      </c>
      <c r="AO356">
        <f t="shared" si="338"/>
        <v>-6.868715165076035E-2</v>
      </c>
      <c r="AP356" s="41" t="str">
        <f t="shared" si="339"/>
        <v>1.38061767204259-2.62660164417673i</v>
      </c>
      <c r="AQ356">
        <f t="shared" si="340"/>
        <v>9.4473633231615484</v>
      </c>
      <c r="AR356" s="43">
        <f t="shared" si="341"/>
        <v>-62.272287967747431</v>
      </c>
      <c r="AS356" t="str">
        <f t="shared" si="318"/>
        <v>-0.0000166666666666667</v>
      </c>
      <c r="AT356" t="str">
        <f t="shared" si="319"/>
        <v>0.000512458599539508i</v>
      </c>
      <c r="AU356">
        <f t="shared" si="342"/>
        <v>5.1245859953950802E-4</v>
      </c>
      <c r="AV356">
        <f t="shared" si="343"/>
        <v>1.5707963267948966</v>
      </c>
      <c r="AW356" t="str">
        <f t="shared" si="320"/>
        <v>1+0.520792701331327i</v>
      </c>
      <c r="AX356">
        <f t="shared" si="344"/>
        <v>1.127486158566916</v>
      </c>
      <c r="AY356">
        <f t="shared" si="345"/>
        <v>0.48014306726449546</v>
      </c>
      <c r="AZ356" t="str">
        <f t="shared" si="321"/>
        <v>1+17.7069518452651i</v>
      </c>
      <c r="BA356">
        <f t="shared" si="346"/>
        <v>17.735166862776822</v>
      </c>
      <c r="BB356">
        <f t="shared" si="347"/>
        <v>1.5143812590327257</v>
      </c>
      <c r="BC356" s="41" t="str">
        <f t="shared" si="348"/>
        <v>-0.439689763869908+0.261510172325982i</v>
      </c>
      <c r="BD356">
        <f t="shared" si="349"/>
        <v>-5.8217195177208039</v>
      </c>
      <c r="BE356" s="43">
        <f t="shared" si="350"/>
        <v>149.25748339956141</v>
      </c>
      <c r="BF356" s="41" t="str">
        <f t="shared" si="351"/>
        <v>0.169963686213609+0.293227540865015i</v>
      </c>
      <c r="BG356" s="20">
        <f t="shared" si="352"/>
        <v>-9.3979320746420072</v>
      </c>
      <c r="BH356" s="43">
        <f t="shared" si="353"/>
        <v>59.902102258125964</v>
      </c>
      <c r="BI356" s="41" t="str">
        <f t="shared" si="306"/>
        <v>0.0798395903853359+1.51593542204053i</v>
      </c>
      <c r="BJ356" s="20">
        <f t="shared" si="354"/>
        <v>3.6256438054407307</v>
      </c>
      <c r="BK356" s="43">
        <f t="shared" si="307"/>
        <v>86.985195431813978</v>
      </c>
      <c r="BL356">
        <f t="shared" si="355"/>
        <v>-9.3979320746420072</v>
      </c>
      <c r="BM356" s="43">
        <f t="shared" si="356"/>
        <v>59.902102258125964</v>
      </c>
    </row>
    <row r="357" spans="14:65" x14ac:dyDescent="0.25">
      <c r="N357" s="9">
        <v>39</v>
      </c>
      <c r="O357" s="34">
        <f t="shared" si="308"/>
        <v>24547.089156850321</v>
      </c>
      <c r="P357" s="33" t="str">
        <f t="shared" si="309"/>
        <v>19.1021967526266</v>
      </c>
      <c r="Q357" s="4" t="str">
        <f t="shared" si="310"/>
        <v>1+34.6179262962961i</v>
      </c>
      <c r="R357" s="4">
        <f t="shared" si="322"/>
        <v>34.632366668418562</v>
      </c>
      <c r="S357" s="4">
        <f t="shared" si="323"/>
        <v>1.5419175897449608</v>
      </c>
      <c r="T357" s="4" t="str">
        <f t="shared" si="311"/>
        <v>1+0.579919501315551i</v>
      </c>
      <c r="U357" s="4">
        <f t="shared" si="324"/>
        <v>1.155987295780571</v>
      </c>
      <c r="V357" s="4">
        <f t="shared" si="325"/>
        <v>0.52552355597543687</v>
      </c>
      <c r="W357" t="str">
        <f t="shared" si="312"/>
        <v>1-0.321320645675727i</v>
      </c>
      <c r="X357" s="4">
        <f t="shared" si="326"/>
        <v>1.0503556337438602</v>
      </c>
      <c r="Y357" s="4">
        <f t="shared" si="327"/>
        <v>-0.31090045811945238</v>
      </c>
      <c r="Z357" t="str">
        <f t="shared" si="313"/>
        <v>0.999397440413926+0.239062560382741i</v>
      </c>
      <c r="AA357" s="4">
        <f t="shared" si="328"/>
        <v>1.0275924054228205</v>
      </c>
      <c r="AB357" s="4">
        <f t="shared" si="329"/>
        <v>0.23479474810061121</v>
      </c>
      <c r="AC357" s="47" t="str">
        <f t="shared" si="330"/>
        <v>0.00567462378742012-0.651708258970797i</v>
      </c>
      <c r="AD357" s="20">
        <f t="shared" si="331"/>
        <v>-3.7186062474145332</v>
      </c>
      <c r="AE357" s="43">
        <f t="shared" si="332"/>
        <v>-89.501120674201758</v>
      </c>
      <c r="AF357" t="str">
        <f t="shared" si="314"/>
        <v>69.5520360182888</v>
      </c>
      <c r="AG357" t="str">
        <f t="shared" si="315"/>
        <v>1+27.6152143483596i</v>
      </c>
      <c r="AH357">
        <f t="shared" si="333"/>
        <v>27.633314377863652</v>
      </c>
      <c r="AI357">
        <f t="shared" si="334"/>
        <v>1.5346002201899132</v>
      </c>
      <c r="AJ357" t="str">
        <f t="shared" si="316"/>
        <v>1+0.579919501315551i</v>
      </c>
      <c r="AK357">
        <f t="shared" si="335"/>
        <v>1.155987295780571</v>
      </c>
      <c r="AL357">
        <f t="shared" si="336"/>
        <v>0.52552355597543687</v>
      </c>
      <c r="AM357" t="str">
        <f t="shared" si="317"/>
        <v>1-0.0703978263314883i</v>
      </c>
      <c r="AN357">
        <f t="shared" si="337"/>
        <v>1.0024748644989552</v>
      </c>
      <c r="AO357">
        <f t="shared" si="338"/>
        <v>-7.0281877131137122E-2</v>
      </c>
      <c r="AP357" s="41" t="str">
        <f t="shared" si="339"/>
        <v>1.37641020779688-2.5715930289906i</v>
      </c>
      <c r="AQ357">
        <f t="shared" si="340"/>
        <v>9.2980684648881819</v>
      </c>
      <c r="AR357" s="43">
        <f t="shared" si="341"/>
        <v>-61.842689000500386</v>
      </c>
      <c r="AS357" t="str">
        <f t="shared" si="318"/>
        <v>-0.0000166666666666667</v>
      </c>
      <c r="AT357" t="str">
        <f t="shared" si="319"/>
        <v>0.000524395293742788i</v>
      </c>
      <c r="AU357">
        <f t="shared" si="342"/>
        <v>5.24395293742788E-4</v>
      </c>
      <c r="AV357">
        <f t="shared" si="343"/>
        <v>1.5707963267948966</v>
      </c>
      <c r="AW357" t="str">
        <f t="shared" si="320"/>
        <v>1+0.532923521703309i</v>
      </c>
      <c r="AX357">
        <f t="shared" si="344"/>
        <v>1.133140538496729</v>
      </c>
      <c r="AY357">
        <f t="shared" si="345"/>
        <v>0.48963821446579681</v>
      </c>
      <c r="AZ357" t="str">
        <f t="shared" si="321"/>
        <v>1+18.1193997379125i</v>
      </c>
      <c r="BA357">
        <f t="shared" si="346"/>
        <v>18.14697349042709</v>
      </c>
      <c r="BB357">
        <f t="shared" si="347"/>
        <v>1.5156627918267558</v>
      </c>
      <c r="BC357" s="41" t="str">
        <f t="shared" si="348"/>
        <v>-0.435312601671821+0.263770964396676i</v>
      </c>
      <c r="BD357">
        <f t="shared" si="349"/>
        <v>-5.8657921569291895</v>
      </c>
      <c r="BE357" s="43">
        <f t="shared" si="350"/>
        <v>148.78687795947695</v>
      </c>
      <c r="BF357" s="41" t="str">
        <f t="shared" si="351"/>
        <v>0.169431480729595+0.285193618732587i</v>
      </c>
      <c r="BG357" s="20">
        <f t="shared" si="352"/>
        <v>-9.584398404343716</v>
      </c>
      <c r="BH357" s="43">
        <f t="shared" si="353"/>
        <v>59.285757285275253</v>
      </c>
      <c r="BI357" s="41" t="str">
        <f t="shared" si="306"/>
        <v>0.0791428647689082+1.48250389980703i</v>
      </c>
      <c r="BJ357" s="20">
        <f t="shared" si="354"/>
        <v>3.4322763079589964</v>
      </c>
      <c r="BK357" s="43">
        <f t="shared" si="307"/>
        <v>86.944188958976582</v>
      </c>
      <c r="BL357">
        <f t="shared" si="355"/>
        <v>-9.584398404343716</v>
      </c>
      <c r="BM357" s="43">
        <f t="shared" si="356"/>
        <v>59.285757285275253</v>
      </c>
    </row>
    <row r="358" spans="14:65" x14ac:dyDescent="0.25">
      <c r="N358" s="9">
        <v>40</v>
      </c>
      <c r="O358" s="34">
        <f t="shared" si="308"/>
        <v>25118.86431509586</v>
      </c>
      <c r="P358" s="33" t="str">
        <f t="shared" si="309"/>
        <v>19.1021967526266</v>
      </c>
      <c r="Q358" s="4" t="str">
        <f t="shared" si="310"/>
        <v>1+35.4242813862916i</v>
      </c>
      <c r="R358" s="4">
        <f t="shared" si="322"/>
        <v>35.438393187829007</v>
      </c>
      <c r="S358" s="4">
        <f t="shared" si="323"/>
        <v>1.5425745970067084</v>
      </c>
      <c r="T358" s="4" t="str">
        <f t="shared" si="311"/>
        <v>1+0.593427561783156i</v>
      </c>
      <c r="U358" s="4">
        <f t="shared" si="324"/>
        <v>1.1628225449671594</v>
      </c>
      <c r="V358" s="4">
        <f t="shared" si="325"/>
        <v>0.53557280946234442</v>
      </c>
      <c r="W358" t="str">
        <f t="shared" si="312"/>
        <v>1-0.3288051649951i</v>
      </c>
      <c r="X358" s="4">
        <f t="shared" si="326"/>
        <v>1.0526693861452678</v>
      </c>
      <c r="Y358" s="4">
        <f t="shared" si="327"/>
        <v>-0.31766968185188604</v>
      </c>
      <c r="Z358" t="str">
        <f t="shared" si="313"/>
        <v>0.99936904265552+0.244631042756354i</v>
      </c>
      <c r="AA358" s="4">
        <f t="shared" si="328"/>
        <v>1.02887454555853</v>
      </c>
      <c r="AB358" s="4">
        <f t="shared" si="329"/>
        <v>0.24006490144794049</v>
      </c>
      <c r="AC358" s="47" t="str">
        <f t="shared" si="330"/>
        <v>0.00388614601379175-0.641275031516307i</v>
      </c>
      <c r="AD358" s="20">
        <f t="shared" si="331"/>
        <v>-3.8589538989229775</v>
      </c>
      <c r="AE358" s="43">
        <f t="shared" si="332"/>
        <v>-89.652790099989375</v>
      </c>
      <c r="AF358" t="str">
        <f t="shared" si="314"/>
        <v>69.5520360182888</v>
      </c>
      <c r="AG358" t="str">
        <f t="shared" si="315"/>
        <v>1+28.2584553230075i</v>
      </c>
      <c r="AH358">
        <f t="shared" si="333"/>
        <v>28.276143606270129</v>
      </c>
      <c r="AI358">
        <f t="shared" si="334"/>
        <v>1.5354234490625758</v>
      </c>
      <c r="AJ358" t="str">
        <f t="shared" si="316"/>
        <v>1+0.593427561783156i</v>
      </c>
      <c r="AK358">
        <f t="shared" si="335"/>
        <v>1.1628225449671594</v>
      </c>
      <c r="AL358">
        <f t="shared" si="336"/>
        <v>0.53557280946234442</v>
      </c>
      <c r="AM358" t="str">
        <f t="shared" si="317"/>
        <v>1-0.0720376023568099i</v>
      </c>
      <c r="AN358">
        <f t="shared" si="337"/>
        <v>1.0025913505278798</v>
      </c>
      <c r="AO358">
        <f t="shared" si="338"/>
        <v>-7.1913377887062604E-2</v>
      </c>
      <c r="AP358" s="41" t="str">
        <f t="shared" si="339"/>
        <v>1.3723916257842-2.51793420529699i</v>
      </c>
      <c r="AQ358">
        <f t="shared" si="340"/>
        <v>9.150541320563228</v>
      </c>
      <c r="AR358" s="43">
        <f t="shared" si="341"/>
        <v>-61.40755483600725</v>
      </c>
      <c r="AS358" t="str">
        <f t="shared" si="318"/>
        <v>-0.0000166666666666667</v>
      </c>
      <c r="AT358" t="str">
        <f t="shared" si="319"/>
        <v>0.000536610029272003i</v>
      </c>
      <c r="AU358">
        <f t="shared" si="342"/>
        <v>5.3661002927200298E-4</v>
      </c>
      <c r="AV358">
        <f t="shared" si="343"/>
        <v>1.5707963267948966</v>
      </c>
      <c r="AW358" t="str">
        <f t="shared" si="320"/>
        <v>1+0.545336905180579i</v>
      </c>
      <c r="AX358">
        <f t="shared" si="344"/>
        <v>1.1390313165808619</v>
      </c>
      <c r="AY358">
        <f t="shared" si="345"/>
        <v>0.49925605176232385</v>
      </c>
      <c r="AZ358" t="str">
        <f t="shared" si="321"/>
        <v>1+18.5414547761397i</v>
      </c>
      <c r="BA358">
        <f t="shared" si="346"/>
        <v>18.56840179486737</v>
      </c>
      <c r="BB358">
        <f t="shared" si="347"/>
        <v>1.5169153285638211</v>
      </c>
      <c r="BC358" s="41" t="str">
        <f t="shared" si="348"/>
        <v>-0.430821594501434+0.266002093497981i</v>
      </c>
      <c r="BD358">
        <f t="shared" si="349"/>
        <v>-5.9114235090200538</v>
      </c>
      <c r="BE358" s="43">
        <f t="shared" si="350"/>
        <v>148.30758154306139</v>
      </c>
      <c r="BF358" s="41" t="str">
        <f t="shared" si="351"/>
        <v>0.168906265269194+0.27730885456712i</v>
      </c>
      <c r="BG358" s="20">
        <f t="shared" si="352"/>
        <v>-9.7703774079430374</v>
      </c>
      <c r="BH358" s="43">
        <f t="shared" si="353"/>
        <v>58.654791443072035</v>
      </c>
      <c r="BI358" s="41" t="str">
        <f t="shared" si="306"/>
        <v>0.0785198213984101+1.44983947473344i</v>
      </c>
      <c r="BJ358" s="20">
        <f t="shared" si="354"/>
        <v>3.2391178115431432</v>
      </c>
      <c r="BK358" s="43">
        <f t="shared" si="307"/>
        <v>86.90002670705411</v>
      </c>
      <c r="BL358">
        <f t="shared" si="355"/>
        <v>-9.7703774079430374</v>
      </c>
      <c r="BM358" s="43">
        <f t="shared" si="356"/>
        <v>58.654791443072035</v>
      </c>
    </row>
    <row r="359" spans="14:65" x14ac:dyDescent="0.25">
      <c r="N359" s="9">
        <v>41</v>
      </c>
      <c r="O359" s="34">
        <f t="shared" si="308"/>
        <v>25703.95782768865</v>
      </c>
      <c r="P359" s="33" t="str">
        <f t="shared" si="309"/>
        <v>19.1021967526266</v>
      </c>
      <c r="Q359" s="4" t="str">
        <f t="shared" si="310"/>
        <v>1+36.2494188991736i</v>
      </c>
      <c r="R359" s="4">
        <f t="shared" si="322"/>
        <v>36.263209600471988</v>
      </c>
      <c r="S359" s="4">
        <f t="shared" si="323"/>
        <v>1.5432166725073104</v>
      </c>
      <c r="T359" s="4" t="str">
        <f t="shared" si="311"/>
        <v>1+0.607250265398956i</v>
      </c>
      <c r="U359" s="4">
        <f t="shared" si="324"/>
        <v>1.169937128578755</v>
      </c>
      <c r="V359" s="4">
        <f t="shared" si="325"/>
        <v>0.54573352988621959</v>
      </c>
      <c r="W359" t="str">
        <f t="shared" si="312"/>
        <v>1-0.336464021165202i</v>
      </c>
      <c r="X359" s="4">
        <f t="shared" si="326"/>
        <v>1.055086744082522</v>
      </c>
      <c r="Y359" s="4">
        <f t="shared" si="327"/>
        <v>-0.32456552216740397</v>
      </c>
      <c r="Z359" t="str">
        <f t="shared" si="313"/>
        <v>0.999339306551992+0.25032923174691i</v>
      </c>
      <c r="AA359" s="4">
        <f t="shared" si="328"/>
        <v>1.0302154016936529</v>
      </c>
      <c r="AB359" s="4">
        <f t="shared" si="329"/>
        <v>0.24544423899088638</v>
      </c>
      <c r="AC359" s="47" t="str">
        <f t="shared" si="330"/>
        <v>0.00208498591911312-0.631156931796688i</v>
      </c>
      <c r="AD359" s="20">
        <f t="shared" si="331"/>
        <v>-3.9972054811624136</v>
      </c>
      <c r="AE359" s="43">
        <f t="shared" si="332"/>
        <v>-89.810727803264598</v>
      </c>
      <c r="AF359" t="str">
        <f t="shared" si="314"/>
        <v>69.5520360182888</v>
      </c>
      <c r="AG359" t="str">
        <f t="shared" si="315"/>
        <v>1+28.9166793047122i</v>
      </c>
      <c r="AH359">
        <f t="shared" si="333"/>
        <v>28.933965196833476</v>
      </c>
      <c r="AI359">
        <f t="shared" si="334"/>
        <v>1.5362279853086682</v>
      </c>
      <c r="AJ359" t="str">
        <f t="shared" si="316"/>
        <v>1+0.607250265398956i</v>
      </c>
      <c r="AK359">
        <f t="shared" si="335"/>
        <v>1.169937128578755</v>
      </c>
      <c r="AL359">
        <f t="shared" si="336"/>
        <v>0.54573352988621959</v>
      </c>
      <c r="AM359" t="str">
        <f t="shared" si="317"/>
        <v>1-0.0737155736724309i</v>
      </c>
      <c r="AN359">
        <f t="shared" si="337"/>
        <v>1.0027133118702751</v>
      </c>
      <c r="AO359">
        <f t="shared" si="338"/>
        <v>-7.3582484200574783E-2</v>
      </c>
      <c r="AP359" s="41" t="str">
        <f t="shared" si="339"/>
        <v>1.36855346748718-2.46559763470873i</v>
      </c>
      <c r="AQ359">
        <f t="shared" si="340"/>
        <v>9.0048239476140477</v>
      </c>
      <c r="AR359" s="43">
        <f t="shared" si="341"/>
        <v>-60.967117717596082</v>
      </c>
      <c r="AS359" t="str">
        <f t="shared" si="318"/>
        <v>-0.0000166666666666667</v>
      </c>
      <c r="AT359" t="str">
        <f t="shared" si="319"/>
        <v>0.00054910928254161i</v>
      </c>
      <c r="AU359">
        <f t="shared" si="342"/>
        <v>5.4910928254161E-4</v>
      </c>
      <c r="AV359">
        <f t="shared" si="343"/>
        <v>1.5707963267948966</v>
      </c>
      <c r="AW359" t="str">
        <f t="shared" si="320"/>
        <v>1+0.558039433503359i</v>
      </c>
      <c r="AX359">
        <f t="shared" si="344"/>
        <v>1.1451672407752285</v>
      </c>
      <c r="AY359">
        <f t="shared" si="345"/>
        <v>0.50899456044837799</v>
      </c>
      <c r="AZ359" t="str">
        <f t="shared" si="321"/>
        <v>1+18.9733407391142i</v>
      </c>
      <c r="BA359">
        <f t="shared" si="346"/>
        <v>18.999675228869851</v>
      </c>
      <c r="BB359">
        <f t="shared" si="347"/>
        <v>1.5181395176262484</v>
      </c>
      <c r="BC359" s="41" t="str">
        <f t="shared" si="348"/>
        <v>-0.426217189993738+0.268198184504354i</v>
      </c>
      <c r="BD359">
        <f t="shared" si="349"/>
        <v>-5.958655485349917</v>
      </c>
      <c r="BE359" s="43">
        <f t="shared" si="350"/>
        <v>147.81974696320211</v>
      </c>
      <c r="BF359" s="41" t="str">
        <f t="shared" si="351"/>
        <v>0.168386486405589+0.269569123353677i</v>
      </c>
      <c r="BG359" s="20">
        <f t="shared" si="352"/>
        <v>-9.955860966512331</v>
      </c>
      <c r="BH359" s="43">
        <f t="shared" si="353"/>
        <v>58.009019159937573</v>
      </c>
      <c r="BI359" s="41" t="str">
        <f t="shared" si="306"/>
        <v>0.0779677960785384+1.41792365089796i</v>
      </c>
      <c r="BJ359" s="20">
        <f t="shared" si="354"/>
        <v>3.0461684622641223</v>
      </c>
      <c r="BK359" s="43">
        <f t="shared" si="307"/>
        <v>86.852629245606039</v>
      </c>
      <c r="BL359">
        <f t="shared" si="355"/>
        <v>-9.955860966512331</v>
      </c>
      <c r="BM359" s="43">
        <f t="shared" si="356"/>
        <v>58.009019159937573</v>
      </c>
    </row>
    <row r="360" spans="14:65" x14ac:dyDescent="0.25">
      <c r="N360" s="9">
        <v>42</v>
      </c>
      <c r="O360" s="34">
        <f t="shared" si="308"/>
        <v>26302.679918953829</v>
      </c>
      <c r="P360" s="33" t="str">
        <f t="shared" si="309"/>
        <v>19.1021967526266</v>
      </c>
      <c r="Q360" s="4" t="str">
        <f t="shared" si="310"/>
        <v>1+37.0937763337739i</v>
      </c>
      <c r="R360" s="4">
        <f t="shared" si="322"/>
        <v>37.107253235722595</v>
      </c>
      <c r="S360" s="4">
        <f t="shared" si="323"/>
        <v>1.5438441545648633</v>
      </c>
      <c r="T360" s="4" t="str">
        <f t="shared" si="311"/>
        <v>1+0.621394941143379i</v>
      </c>
      <c r="U360" s="4">
        <f t="shared" si="324"/>
        <v>1.1773409331534275</v>
      </c>
      <c r="V360" s="4">
        <f t="shared" si="325"/>
        <v>0.55600271214606023</v>
      </c>
      <c r="W360" t="str">
        <f t="shared" si="312"/>
        <v>1-0.344301275012954i</v>
      </c>
      <c r="X360" s="4">
        <f t="shared" si="326"/>
        <v>1.0576121065757265</v>
      </c>
      <c r="Y360" s="4">
        <f t="shared" si="327"/>
        <v>-0.33158901112702066</v>
      </c>
      <c r="Z360" t="str">
        <f t="shared" si="313"/>
        <v>0.999308169029081+0.256160148609638i</v>
      </c>
      <c r="AA360" s="4">
        <f t="shared" si="328"/>
        <v>1.0316175834212824</v>
      </c>
      <c r="AB360" s="4">
        <f t="shared" si="329"/>
        <v>0.25093440879421403</v>
      </c>
      <c r="AC360" s="47" t="str">
        <f t="shared" si="330"/>
        <v>0.000268089272997727-0.621347258952138i</v>
      </c>
      <c r="AD360" s="20">
        <f t="shared" si="331"/>
        <v>-4.1333114554276227</v>
      </c>
      <c r="AE360" s="43">
        <f t="shared" si="332"/>
        <v>-89.97527890772669</v>
      </c>
      <c r="AF360" t="str">
        <f t="shared" si="314"/>
        <v>69.5520360182888</v>
      </c>
      <c r="AG360" t="str">
        <f t="shared" si="315"/>
        <v>1+29.5902352925419i</v>
      </c>
      <c r="AH360">
        <f t="shared" si="333"/>
        <v>29.607127936832921</v>
      </c>
      <c r="AI360">
        <f t="shared" si="334"/>
        <v>1.5370142513355054</v>
      </c>
      <c r="AJ360" t="str">
        <f t="shared" si="316"/>
        <v>1+0.621394941143379i</v>
      </c>
      <c r="AK360">
        <f t="shared" si="335"/>
        <v>1.1773409331534275</v>
      </c>
      <c r="AL360">
        <f t="shared" si="336"/>
        <v>0.55600271214606023</v>
      </c>
      <c r="AM360" t="str">
        <f t="shared" si="317"/>
        <v>1-0.0754326299609541i</v>
      </c>
      <c r="AN360">
        <f t="shared" si="337"/>
        <v>1.0028410051762076</v>
      </c>
      <c r="AO360">
        <f t="shared" si="338"/>
        <v>-7.5290043833163844E-2</v>
      </c>
      <c r="AP360" s="41" t="str">
        <f t="shared" si="339"/>
        <v>1.36488765134762-2.41455641927278i</v>
      </c>
      <c r="AQ360">
        <f t="shared" si="340"/>
        <v>8.8609578904069402</v>
      </c>
      <c r="AR360" s="43">
        <f t="shared" si="341"/>
        <v>-60.521622600183306</v>
      </c>
      <c r="AS360" t="str">
        <f t="shared" si="318"/>
        <v>-0.0000166666666666667</v>
      </c>
      <c r="AT360" t="str">
        <f t="shared" si="319"/>
        <v>0.000561899680821142i</v>
      </c>
      <c r="AU360">
        <f t="shared" si="342"/>
        <v>5.6189968082114201E-4</v>
      </c>
      <c r="AV360">
        <f t="shared" si="343"/>
        <v>1.5707963267948966</v>
      </c>
      <c r="AW360" t="str">
        <f t="shared" si="320"/>
        <v>1+0.571037841720308i</v>
      </c>
      <c r="AX360">
        <f t="shared" si="344"/>
        <v>1.1515573006483819</v>
      </c>
      <c r="AY360">
        <f t="shared" si="345"/>
        <v>0.51885151458192946</v>
      </c>
      <c r="AZ360" t="str">
        <f t="shared" si="321"/>
        <v>1+19.4152866184905i</v>
      </c>
      <c r="BA360">
        <f t="shared" si="346"/>
        <v>19.441022464832869</v>
      </c>
      <c r="BB360">
        <f t="shared" si="347"/>
        <v>1.5193359934100241</v>
      </c>
      <c r="BC360" s="41" t="str">
        <f t="shared" si="348"/>
        <v>-0.421500105083084+0.270353795456009i</v>
      </c>
      <c r="BD360">
        <f t="shared" si="349"/>
        <v>-6.0075297337351135</v>
      </c>
      <c r="BE360" s="43">
        <f t="shared" si="350"/>
        <v>147.32353810519552</v>
      </c>
      <c r="BF360" s="41" t="str">
        <f t="shared" si="351"/>
        <v>0.167870590097158+0.261970413893888i</v>
      </c>
      <c r="BG360" s="20">
        <f t="shared" si="352"/>
        <v>-10.140841189162744</v>
      </c>
      <c r="BH360" s="43">
        <f t="shared" si="353"/>
        <v>57.348259197468792</v>
      </c>
      <c r="BI360" s="41" t="str">
        <f t="shared" si="306"/>
        <v>0.0774842038234412+1.38673834136538i</v>
      </c>
      <c r="BJ360" s="20">
        <f t="shared" si="354"/>
        <v>2.8534281566718351</v>
      </c>
      <c r="BK360" s="43">
        <f t="shared" si="307"/>
        <v>86.801915505012204</v>
      </c>
      <c r="BL360">
        <f t="shared" si="355"/>
        <v>-10.140841189162744</v>
      </c>
      <c r="BM360" s="43">
        <f t="shared" si="356"/>
        <v>57.348259197468792</v>
      </c>
    </row>
    <row r="361" spans="14:65" x14ac:dyDescent="0.25">
      <c r="N361" s="9">
        <v>43</v>
      </c>
      <c r="O361" s="34">
        <f t="shared" si="308"/>
        <v>26915.348039269167</v>
      </c>
      <c r="P361" s="33" t="str">
        <f t="shared" si="309"/>
        <v>19.1021967526266</v>
      </c>
      <c r="Q361" s="4" t="str">
        <f t="shared" si="310"/>
        <v>1+37.9578013795806i</v>
      </c>
      <c r="R361" s="4">
        <f t="shared" si="322"/>
        <v>37.970971617430216</v>
      </c>
      <c r="S361" s="4">
        <f t="shared" si="323"/>
        <v>1.5444573739010412</v>
      </c>
      <c r="T361" s="4" t="str">
        <f t="shared" si="311"/>
        <v>1+0.635869088710732i</v>
      </c>
      <c r="U361" s="4">
        <f t="shared" si="324"/>
        <v>1.1850440911534965</v>
      </c>
      <c r="V361" s="4">
        <f t="shared" si="325"/>
        <v>0.56637713710697302</v>
      </c>
      <c r="W361" t="str">
        <f t="shared" si="312"/>
        <v>1-0.352321081954085i</v>
      </c>
      <c r="X361" s="4">
        <f t="shared" si="326"/>
        <v>1.060250038806553</v>
      </c>
      <c r="Y361" s="4">
        <f t="shared" si="327"/>
        <v>-0.33874110005346814</v>
      </c>
      <c r="Z361" t="str">
        <f t="shared" si="313"/>
        <v>0.999275564039925+0.262126884973839i</v>
      </c>
      <c r="AA361" s="4">
        <f t="shared" si="328"/>
        <v>1.0330838091429941</v>
      </c>
      <c r="AB361" s="4">
        <f t="shared" si="329"/>
        <v>0.25653704183914677</v>
      </c>
      <c r="AC361" s="47" t="str">
        <f t="shared" si="330"/>
        <v>-0.00156756768258734-0.611839384563431i</v>
      </c>
      <c r="AD361" s="20">
        <f t="shared" si="331"/>
        <v>-4.2672229041541572</v>
      </c>
      <c r="AE361" s="43">
        <f t="shared" si="332"/>
        <v>-90.146794760292877</v>
      </c>
      <c r="AF361" t="str">
        <f t="shared" si="314"/>
        <v>69.5520360182888</v>
      </c>
      <c r="AG361" t="str">
        <f t="shared" si="315"/>
        <v>1+30.2794804147968i</v>
      </c>
      <c r="AH361">
        <f t="shared" si="333"/>
        <v>30.295988747523378</v>
      </c>
      <c r="AI361">
        <f t="shared" si="334"/>
        <v>1.5377826601408733</v>
      </c>
      <c r="AJ361" t="str">
        <f t="shared" si="316"/>
        <v>1+0.635869088710732i</v>
      </c>
      <c r="AK361">
        <f t="shared" si="335"/>
        <v>1.1850440911534965</v>
      </c>
      <c r="AL361">
        <f t="shared" si="336"/>
        <v>0.56637713710697302</v>
      </c>
      <c r="AM361" t="str">
        <f t="shared" si="317"/>
        <v>1-0.0771896816283517i</v>
      </c>
      <c r="AN361">
        <f t="shared" si="337"/>
        <v>1.0029746990577011</v>
      </c>
      <c r="AO361">
        <f t="shared" si="338"/>
        <v>-7.7036922302576485E-2</v>
      </c>
      <c r="AP361" s="41" t="str">
        <f t="shared" si="339"/>
        <v>1.36138645612807-2.36478429122958i</v>
      </c>
      <c r="AQ361">
        <f t="shared" si="340"/>
        <v>8.7189840757227159</v>
      </c>
      <c r="AR361" s="43">
        <f t="shared" si="341"/>
        <v>-60.07132718015562</v>
      </c>
      <c r="AS361" t="str">
        <f t="shared" si="318"/>
        <v>-0.0000166666666666667</v>
      </c>
      <c r="AT361" t="str">
        <f t="shared" si="319"/>
        <v>0.000574988005749067i</v>
      </c>
      <c r="AU361">
        <f t="shared" si="342"/>
        <v>5.7498800574906704E-4</v>
      </c>
      <c r="AV361">
        <f t="shared" si="343"/>
        <v>1.5707963267948966</v>
      </c>
      <c r="AW361" t="str">
        <f t="shared" si="320"/>
        <v>1+0.584339021759519i</v>
      </c>
      <c r="AX361">
        <f t="shared" si="344"/>
        <v>1.1582107288187551</v>
      </c>
      <c r="AY361">
        <f t="shared" si="345"/>
        <v>0.52882447819490563</v>
      </c>
      <c r="AZ361" t="str">
        <f t="shared" si="321"/>
        <v>1+19.8675267398237i</v>
      </c>
      <c r="BA361">
        <f t="shared" si="346"/>
        <v>19.892677516051215</v>
      </c>
      <c r="BB361">
        <f t="shared" si="347"/>
        <v>1.5205053765921108</v>
      </c>
      <c r="BC361" s="41" t="str">
        <f t="shared" si="348"/>
        <v>-0.416671336878429+0.272463433270887i</v>
      </c>
      <c r="BD361">
        <f t="shared" si="349"/>
        <v>-6.0580875425624834</v>
      </c>
      <c r="BE361" s="43">
        <f t="shared" si="350"/>
        <v>146.81913010190169</v>
      </c>
      <c r="BF361" s="41" t="str">
        <f t="shared" si="351"/>
        <v>0.16735701985045+0.254508829448238i</v>
      </c>
      <c r="BG361" s="20">
        <f t="shared" si="352"/>
        <v>-10.325310446716635</v>
      </c>
      <c r="BH361" s="43">
        <f t="shared" si="353"/>
        <v>56.672335341608836</v>
      </c>
      <c r="BI361" s="41" t="str">
        <f t="shared" si="306"/>
        <v>0.0770665322504028+1.35626585990088i</v>
      </c>
      <c r="BJ361" s="20">
        <f t="shared" si="354"/>
        <v>2.6608965331602548</v>
      </c>
      <c r="BK361" s="43">
        <f t="shared" si="307"/>
        <v>86.747802921746086</v>
      </c>
      <c r="BL361">
        <f t="shared" si="355"/>
        <v>-10.325310446716635</v>
      </c>
      <c r="BM361" s="43">
        <f t="shared" si="356"/>
        <v>56.672335341608836</v>
      </c>
    </row>
    <row r="362" spans="14:65" x14ac:dyDescent="0.25">
      <c r="N362" s="9">
        <v>44</v>
      </c>
      <c r="O362" s="34">
        <f t="shared" si="308"/>
        <v>27542.287033381719</v>
      </c>
      <c r="P362" s="33" t="str">
        <f t="shared" si="309"/>
        <v>19.1021967526266</v>
      </c>
      <c r="Q362" s="4" t="str">
        <f t="shared" si="310"/>
        <v>1+38.8419521541096i</v>
      </c>
      <c r="R362" s="4">
        <f t="shared" si="322"/>
        <v>38.854822701205819</v>
      </c>
      <c r="S362" s="4">
        <f t="shared" si="323"/>
        <v>1.5450566538070465</v>
      </c>
      <c r="T362" s="4" t="str">
        <f t="shared" si="311"/>
        <v>1+0.650680382485643i</v>
      </c>
      <c r="U362" s="4">
        <f t="shared" si="324"/>
        <v>1.1930569811000908</v>
      </c>
      <c r="V362" s="4">
        <f t="shared" si="325"/>
        <v>0.57685337241670798</v>
      </c>
      <c r="W362" t="str">
        <f t="shared" si="312"/>
        <v>1-0.36052769419639i</v>
      </c>
      <c r="X362" s="4">
        <f t="shared" si="326"/>
        <v>1.063005276695542</v>
      </c>
      <c r="Y362" s="4">
        <f t="shared" si="327"/>
        <v>-0.34602265337583366</v>
      </c>
      <c r="Z362" t="str">
        <f t="shared" si="313"/>
        <v>0.999241422424971+0.268232604482114i</v>
      </c>
      <c r="AA362" s="4">
        <f t="shared" si="328"/>
        <v>1.034616909970612</v>
      </c>
      <c r="AB362" s="4">
        <f t="shared" si="329"/>
        <v>0.2622537485918095</v>
      </c>
      <c r="AC362" s="47" t="str">
        <f t="shared" si="330"/>
        <v>-0.00342497954804196-0.602626745958079i</v>
      </c>
      <c r="AD362" s="20">
        <f t="shared" si="331"/>
        <v>-4.3988916647551548</v>
      </c>
      <c r="AE362" s="43">
        <f t="shared" si="332"/>
        <v>-90.325632344532693</v>
      </c>
      <c r="AF362" t="str">
        <f t="shared" si="314"/>
        <v>69.5520360182888</v>
      </c>
      <c r="AG362" t="str">
        <f t="shared" si="315"/>
        <v>1+30.984780118364i</v>
      </c>
      <c r="AH362">
        <f t="shared" si="333"/>
        <v>31.000912873387538</v>
      </c>
      <c r="AI362">
        <f t="shared" si="334"/>
        <v>1.5385336155135483</v>
      </c>
      <c r="AJ362" t="str">
        <f t="shared" si="316"/>
        <v>1+0.650680382485643i</v>
      </c>
      <c r="AK362">
        <f t="shared" si="335"/>
        <v>1.1930569811000908</v>
      </c>
      <c r="AL362">
        <f t="shared" si="336"/>
        <v>0.57685337241670798</v>
      </c>
      <c r="AM362" t="str">
        <f t="shared" si="317"/>
        <v>1-0.0789876602866749i</v>
      </c>
      <c r="AN362">
        <f t="shared" si="337"/>
        <v>1.0031146746397259</v>
      </c>
      <c r="AO362">
        <f t="shared" si="338"/>
        <v>-7.8824003157074191E-2</v>
      </c>
      <c r="AP362" s="41" t="str">
        <f t="shared" si="339"/>
        <v>1.35804250499355-2.31625560284105i</v>
      </c>
      <c r="AQ362">
        <f t="shared" si="340"/>
        <v>8.5789427062979744</v>
      </c>
      <c r="AR362" s="43">
        <f t="shared" si="341"/>
        <v>-59.616501875790092</v>
      </c>
      <c r="AS362" t="str">
        <f t="shared" si="318"/>
        <v>-0.0000166666666666667</v>
      </c>
      <c r="AT362" t="str">
        <f t="shared" si="319"/>
        <v>0.000588381196928507i</v>
      </c>
      <c r="AU362">
        <f t="shared" si="342"/>
        <v>5.8838119692850705E-4</v>
      </c>
      <c r="AV362">
        <f t="shared" si="343"/>
        <v>1.5707963267948966</v>
      </c>
      <c r="AW362" t="str">
        <f t="shared" si="320"/>
        <v>1+0.597950026082708i</v>
      </c>
      <c r="AX362">
        <f t="shared" si="344"/>
        <v>1.1651370021127607</v>
      </c>
      <c r="AY362">
        <f t="shared" si="345"/>
        <v>0.5389108031854849</v>
      </c>
      <c r="AZ362" t="str">
        <f t="shared" si="321"/>
        <v>1+20.3303008868121i</v>
      </c>
      <c r="BA362">
        <f t="shared" si="346"/>
        <v>20.354879860817473</v>
      </c>
      <c r="BB362">
        <f t="shared" si="347"/>
        <v>1.5216482743950384</v>
      </c>
      <c r="BC362" s="41" t="str">
        <f t="shared" si="348"/>
        <v>-0.411732172555409+0.274521570742544i</v>
      </c>
      <c r="BD362">
        <f t="shared" si="349"/>
        <v>-6.1103697410749716</v>
      </c>
      <c r="BE362" s="43">
        <f t="shared" si="350"/>
        <v>146.30670946966663</v>
      </c>
      <c r="BF362" s="41" t="str">
        <f t="shared" si="351"/>
        <v>0.166844215142153+0.247180588588027i</v>
      </c>
      <c r="BG362" s="20">
        <f t="shared" si="352"/>
        <v>-10.509261405830122</v>
      </c>
      <c r="BH362" s="43">
        <f t="shared" si="353"/>
        <v>55.981077125133965</v>
      </c>
      <c r="BI362" s="41" t="str">
        <f t="shared" si="306"/>
        <v>0.076712335329559+1.32648891315735i</v>
      </c>
      <c r="BJ362" s="20">
        <f t="shared" si="354"/>
        <v>2.4685729652229842</v>
      </c>
      <c r="BK362" s="43">
        <f t="shared" si="307"/>
        <v>86.690207593876522</v>
      </c>
      <c r="BL362">
        <f t="shared" si="355"/>
        <v>-10.509261405830122</v>
      </c>
      <c r="BM362" s="43">
        <f t="shared" si="356"/>
        <v>55.981077125133965</v>
      </c>
    </row>
    <row r="363" spans="14:65" x14ac:dyDescent="0.25">
      <c r="N363" s="9">
        <v>45</v>
      </c>
      <c r="O363" s="34">
        <f t="shared" si="308"/>
        <v>28183.829312644593</v>
      </c>
      <c r="P363" s="33" t="str">
        <f t="shared" si="309"/>
        <v>19.1021967526266</v>
      </c>
      <c r="Q363" s="4" t="str">
        <f t="shared" si="310"/>
        <v>1+39.7466974458047i</v>
      </c>
      <c r="R363" s="4">
        <f t="shared" si="322"/>
        <v>39.759275117239476</v>
      </c>
      <c r="S363" s="4">
        <f t="shared" si="323"/>
        <v>1.5456423103062462</v>
      </c>
      <c r="T363" s="4" t="str">
        <f t="shared" si="311"/>
        <v>1+0.665836675612119i</v>
      </c>
      <c r="U363" s="4">
        <f t="shared" si="324"/>
        <v>1.2013902274407755</v>
      </c>
      <c r="V363" s="4">
        <f t="shared" si="325"/>
        <v>0.58742777421776915</v>
      </c>
      <c r="W363" t="str">
        <f t="shared" si="312"/>
        <v>1-0.368925462994304i</v>
      </c>
      <c r="X363" s="4">
        <f t="shared" si="326"/>
        <v>1.0658827314698187</v>
      </c>
      <c r="Y363" s="4">
        <f t="shared" si="327"/>
        <v>-0.35343444231198173</v>
      </c>
      <c r="Z363" t="str">
        <f t="shared" si="313"/>
        <v>0.999205671765276+0.274480544467762i</v>
      </c>
      <c r="AA363" s="4">
        <f t="shared" si="328"/>
        <v>1.0362198337125264</v>
      </c>
      <c r="AB363" s="4">
        <f t="shared" si="329"/>
        <v>0.26808611537137428</v>
      </c>
      <c r="AC363" s="47" t="str">
        <f t="shared" si="330"/>
        <v>-0.00530711268513043-0.593702839465219i</v>
      </c>
      <c r="AD363" s="20">
        <f t="shared" si="331"/>
        <v>-4.528270467255771</v>
      </c>
      <c r="AE363" s="43">
        <f t="shared" si="332"/>
        <v>-90.512153621829384</v>
      </c>
      <c r="AF363" t="str">
        <f t="shared" si="314"/>
        <v>69.5520360182888</v>
      </c>
      <c r="AG363" t="str">
        <f t="shared" si="315"/>
        <v>1+31.7065083624819i</v>
      </c>
      <c r="AH363">
        <f t="shared" si="333"/>
        <v>31.722274075799401</v>
      </c>
      <c r="AI363">
        <f t="shared" si="334"/>
        <v>1.539267512230158</v>
      </c>
      <c r="AJ363" t="str">
        <f t="shared" si="316"/>
        <v>1+0.665836675612119i</v>
      </c>
      <c r="AK363">
        <f t="shared" si="335"/>
        <v>1.2013902274407755</v>
      </c>
      <c r="AL363">
        <f t="shared" si="336"/>
        <v>0.58742777421776915</v>
      </c>
      <c r="AM363" t="str">
        <f t="shared" si="317"/>
        <v>1-0.0808275192480073i</v>
      </c>
      <c r="AN363">
        <f t="shared" si="337"/>
        <v>1.0032612261359386</v>
      </c>
      <c r="AO363">
        <f t="shared" si="338"/>
        <v>-8.0652188246479267E-2</v>
      </c>
      <c r="AP363" s="41" t="str">
        <f t="shared" si="339"/>
        <v>1.35484875028358-2.26894531629911i</v>
      </c>
      <c r="AQ363">
        <f t="shared" si="340"/>
        <v>8.4408731530074892</v>
      </c>
      <c r="AR363" s="43">
        <f t="shared" si="341"/>
        <v>-59.157429755965872</v>
      </c>
      <c r="AS363" t="str">
        <f t="shared" si="318"/>
        <v>-0.0000166666666666667</v>
      </c>
      <c r="AT363" t="str">
        <f t="shared" si="319"/>
        <v>0.000602086355606704i</v>
      </c>
      <c r="AU363">
        <f t="shared" si="342"/>
        <v>6.0208635560670396E-4</v>
      </c>
      <c r="AV363">
        <f t="shared" si="343"/>
        <v>1.5707963267948966</v>
      </c>
      <c r="AW363" t="str">
        <f t="shared" si="320"/>
        <v>1+0.61187807142453i</v>
      </c>
      <c r="AX363">
        <f t="shared" si="344"/>
        <v>1.1723458424416415</v>
      </c>
      <c r="AY363">
        <f t="shared" si="345"/>
        <v>0.54910762794412304</v>
      </c>
      <c r="AZ363" t="str">
        <f t="shared" si="321"/>
        <v>1+20.803854428434i</v>
      </c>
      <c r="BA363">
        <f t="shared" si="346"/>
        <v>20.827874569419535</v>
      </c>
      <c r="BB363">
        <f t="shared" si="347"/>
        <v>1.5227652808486012</v>
      </c>
      <c r="BC363" s="41" t="str">
        <f t="shared" si="348"/>
        <v>-0.406684198116851+0.276522664769489i</v>
      </c>
      <c r="BD363">
        <f t="shared" si="349"/>
        <v>-6.1644165962147515</v>
      </c>
      <c r="BE363" s="43">
        <f t="shared" si="350"/>
        <v>145.78647420204013</v>
      </c>
      <c r="BF363" s="41" t="str">
        <f t="shared" si="351"/>
        <v>0.166330610116803+0.239982026245686i</v>
      </c>
      <c r="BG363" s="20">
        <f t="shared" si="352"/>
        <v>-10.692687063470512</v>
      </c>
      <c r="BH363" s="43">
        <f t="shared" si="353"/>
        <v>55.27432058021067</v>
      </c>
      <c r="BI363" s="41" t="str">
        <f t="shared" si="306"/>
        <v>0.0764192275005855+1.29739059331812i</v>
      </c>
      <c r="BJ363" s="20">
        <f t="shared" si="354"/>
        <v>2.276456556792767</v>
      </c>
      <c r="BK363" s="43">
        <f t="shared" si="307"/>
        <v>86.629044446074275</v>
      </c>
      <c r="BL363">
        <f t="shared" si="355"/>
        <v>-10.692687063470512</v>
      </c>
      <c r="BM363" s="43">
        <f t="shared" si="356"/>
        <v>55.27432058021067</v>
      </c>
    </row>
    <row r="364" spans="14:65" x14ac:dyDescent="0.25">
      <c r="N364" s="9">
        <v>46</v>
      </c>
      <c r="O364" s="34">
        <f t="shared" si="308"/>
        <v>28840.315031266062</v>
      </c>
      <c r="P364" s="33" t="str">
        <f t="shared" si="309"/>
        <v>19.1021967526266</v>
      </c>
      <c r="Q364" s="4" t="str">
        <f t="shared" si="310"/>
        <v>1+40.6725169625951i</v>
      </c>
      <c r="R364" s="4">
        <f t="shared" si="322"/>
        <v>40.684808418776974</v>
      </c>
      <c r="S364" s="4">
        <f t="shared" si="323"/>
        <v>1.5462146523135361</v>
      </c>
      <c r="T364" s="4" t="str">
        <f t="shared" si="311"/>
        <v>1+0.681346004157392i</v>
      </c>
      <c r="U364" s="4">
        <f t="shared" si="324"/>
        <v>1.2100547001608006</v>
      </c>
      <c r="V364" s="4">
        <f t="shared" si="325"/>
        <v>0.59809648978826258</v>
      </c>
      <c r="W364" t="str">
        <f t="shared" si="312"/>
        <v>1-0.377518840956002i</v>
      </c>
      <c r="X364" s="4">
        <f t="shared" si="326"/>
        <v>1.0688874942091722</v>
      </c>
      <c r="Y364" s="4">
        <f t="shared" si="327"/>
        <v>-0.36097713840425028</v>
      </c>
      <c r="Z364" t="str">
        <f t="shared" si="313"/>
        <v>0.999168236228897+0.280874017671265i</v>
      </c>
      <c r="AA364" s="4">
        <f t="shared" si="328"/>
        <v>1.0378956489414353</v>
      </c>
      <c r="AB364" s="4">
        <f t="shared" si="329"/>
        <v>0.27403570051379966</v>
      </c>
      <c r="AC364" s="47" t="str">
        <f t="shared" si="330"/>
        <v>-0.00721690572672776-0.585061213632337i</v>
      </c>
      <c r="AD364" s="20">
        <f t="shared" si="331"/>
        <v>-4.6553130751962959</v>
      </c>
      <c r="AE364" s="43">
        <f t="shared" si="332"/>
        <v>-90.706724799021913</v>
      </c>
      <c r="AF364" t="str">
        <f t="shared" si="314"/>
        <v>69.5520360182888</v>
      </c>
      <c r="AG364" t="str">
        <f t="shared" si="315"/>
        <v>1+32.4450478170187i</v>
      </c>
      <c r="AH364">
        <f t="shared" si="333"/>
        <v>32.460454831203911</v>
      </c>
      <c r="AI364">
        <f t="shared" si="334"/>
        <v>1.539984736248408</v>
      </c>
      <c r="AJ364" t="str">
        <f t="shared" si="316"/>
        <v>1+0.681346004157392i</v>
      </c>
      <c r="AK364">
        <f t="shared" si="335"/>
        <v>1.2100547001608006</v>
      </c>
      <c r="AL364">
        <f t="shared" si="336"/>
        <v>0.59809648978826258</v>
      </c>
      <c r="AM364" t="str">
        <f t="shared" si="317"/>
        <v>1-0.0827102340299232i</v>
      </c>
      <c r="AN364">
        <f t="shared" si="337"/>
        <v>1.0034146614502326</v>
      </c>
      <c r="AO364">
        <f t="shared" si="338"/>
        <v>-8.252239798928955E-2</v>
      </c>
      <c r="AP364" s="41" t="str">
        <f t="shared" si="339"/>
        <v>1.35179845894577-2.22282899372586i</v>
      </c>
      <c r="AQ364">
        <f t="shared" si="340"/>
        <v>8.3048138463103811</v>
      </c>
      <c r="AR364" s="43">
        <f t="shared" si="341"/>
        <v>-58.694406415229359</v>
      </c>
      <c r="AS364" t="str">
        <f t="shared" si="318"/>
        <v>-0.0000166666666666667</v>
      </c>
      <c r="AT364" t="str">
        <f t="shared" si="319"/>
        <v>0.000616110748440197i</v>
      </c>
      <c r="AU364">
        <f t="shared" si="342"/>
        <v>6.1611074844019698E-4</v>
      </c>
      <c r="AV364">
        <f t="shared" si="343"/>
        <v>1.5707963267948966</v>
      </c>
      <c r="AW364" t="str">
        <f t="shared" si="320"/>
        <v>1+0.62613054261898i</v>
      </c>
      <c r="AX364">
        <f t="shared" si="344"/>
        <v>1.1798472173973791</v>
      </c>
      <c r="AY364">
        <f t="shared" si="345"/>
        <v>0.55941187676241555</v>
      </c>
      <c r="AZ364" t="str">
        <f t="shared" si="321"/>
        <v>1+21.2884384490453i</v>
      </c>
      <c r="BA364">
        <f t="shared" si="346"/>
        <v>21.311912434101039</v>
      </c>
      <c r="BB364">
        <f t="shared" si="347"/>
        <v>1.5238569770485282</v>
      </c>
      <c r="BC364" s="41" t="str">
        <f t="shared" si="348"/>
        <v>-0.401529305874396+0.278461175743791i</v>
      </c>
      <c r="BD364">
        <f t="shared" si="349"/>
        <v>-6.2202677064596745</v>
      </c>
      <c r="BE364" s="43">
        <f t="shared" si="350"/>
        <v>145.25863381846571</v>
      </c>
      <c r="BF364" s="41" t="str">
        <f t="shared" si="351"/>
        <v>0.165814632577164+0.232909594949927i</v>
      </c>
      <c r="BG364" s="20">
        <f t="shared" si="352"/>
        <v>-10.875580781655973</v>
      </c>
      <c r="BH364" s="43">
        <f t="shared" si="353"/>
        <v>54.551909019443727</v>
      </c>
      <c r="BI364" s="41" t="str">
        <f t="shared" si="306"/>
        <v>0.0761848781677175+1.26895437117491i</v>
      </c>
      <c r="BJ364" s="20">
        <f t="shared" si="354"/>
        <v>2.084546139850703</v>
      </c>
      <c r="BK364" s="43">
        <f t="shared" si="307"/>
        <v>86.564227403236359</v>
      </c>
      <c r="BL364">
        <f t="shared" si="355"/>
        <v>-10.875580781655973</v>
      </c>
      <c r="BM364" s="43">
        <f t="shared" si="356"/>
        <v>54.551909019443727</v>
      </c>
    </row>
    <row r="365" spans="14:65" x14ac:dyDescent="0.25">
      <c r="N365" s="9">
        <v>47</v>
      </c>
      <c r="O365" s="34">
        <f t="shared" si="308"/>
        <v>29512.092266663854</v>
      </c>
      <c r="P365" s="33" t="str">
        <f t="shared" si="309"/>
        <v>19.1021967526266</v>
      </c>
      <c r="Q365" s="4" t="str">
        <f t="shared" si="310"/>
        <v>1+41.6199015862438i</v>
      </c>
      <c r="R365" s="4">
        <f t="shared" si="322"/>
        <v>41.631913336389175</v>
      </c>
      <c r="S365" s="4">
        <f t="shared" si="323"/>
        <v>1.5467739817914845</v>
      </c>
      <c r="T365" s="4" t="str">
        <f t="shared" si="311"/>
        <v>1+0.697216591372756i</v>
      </c>
      <c r="U365" s="4">
        <f t="shared" si="324"/>
        <v>1.2190615141515397</v>
      </c>
      <c r="V365" s="4">
        <f t="shared" si="325"/>
        <v>0.60885546113854927</v>
      </c>
      <c r="W365" t="str">
        <f t="shared" si="312"/>
        <v>1-0.386312384404231i</v>
      </c>
      <c r="X365" s="4">
        <f t="shared" si="326"/>
        <v>1.0720248403577608</v>
      </c>
      <c r="Y365" s="4">
        <f t="shared" si="327"/>
        <v>-0.36865130692637083</v>
      </c>
      <c r="Z365" t="str">
        <f t="shared" si="313"/>
        <v>0.999129036410044+0.287416413996748i</v>
      </c>
      <c r="AA365" s="4">
        <f t="shared" si="328"/>
        <v>1.0396475491398096</v>
      </c>
      <c r="AB365" s="4">
        <f t="shared" si="329"/>
        <v>0.28010403032768511</v>
      </c>
      <c r="AC365" s="47" t="str">
        <f t="shared" si="330"/>
        <v>-0.00915726966336047-0.576695462418996i</v>
      </c>
      <c r="AD365" s="20">
        <f t="shared" si="331"/>
        <v>-4.7799744292222961</v>
      </c>
      <c r="AE365" s="43">
        <f t="shared" si="332"/>
        <v>-90.909715521810611</v>
      </c>
      <c r="AF365" t="str">
        <f t="shared" si="314"/>
        <v>69.5520360182888</v>
      </c>
      <c r="AG365" t="str">
        <f t="shared" si="315"/>
        <v>1+33.2007900653694i</v>
      </c>
      <c r="AH365">
        <f t="shared" si="333"/>
        <v>33.21584653391708</v>
      </c>
      <c r="AI365">
        <f t="shared" si="334"/>
        <v>1.5406856648966989</v>
      </c>
      <c r="AJ365" t="str">
        <f t="shared" si="316"/>
        <v>1+0.697216591372756i</v>
      </c>
      <c r="AK365">
        <f t="shared" si="335"/>
        <v>1.2190615141515397</v>
      </c>
      <c r="AL365">
        <f t="shared" si="336"/>
        <v>0.60885546113854927</v>
      </c>
      <c r="AM365" t="str">
        <f t="shared" si="317"/>
        <v>1-0.0846368028727219i</v>
      </c>
      <c r="AN365">
        <f t="shared" si="337"/>
        <v>1.0035753028051837</v>
      </c>
      <c r="AO365">
        <f t="shared" si="338"/>
        <v>-8.4435571635089912E-2</v>
      </c>
      <c r="AP365" s="41" t="str">
        <f t="shared" si="339"/>
        <v>1.34888519860309-2.1778827872753i</v>
      </c>
      <c r="AQ365">
        <f t="shared" si="340"/>
        <v>8.1708021676234406</v>
      </c>
      <c r="AR365" s="43">
        <f t="shared" si="341"/>
        <v>-58.22773979362276</v>
      </c>
      <c r="AS365" t="str">
        <f t="shared" si="318"/>
        <v>-0.0000166666666666667</v>
      </c>
      <c r="AT365" t="str">
        <f t="shared" si="319"/>
        <v>0.000630461811347704i</v>
      </c>
      <c r="AU365">
        <f t="shared" si="342"/>
        <v>6.3046181134770399E-4</v>
      </c>
      <c r="AV365">
        <f t="shared" si="343"/>
        <v>1.5707963267948966</v>
      </c>
      <c r="AW365" t="str">
        <f t="shared" si="320"/>
        <v>1+0.640714996514952i</v>
      </c>
      <c r="AX365">
        <f t="shared" si="344"/>
        <v>1.1876513405706048</v>
      </c>
      <c r="AY365">
        <f t="shared" si="345"/>
        <v>0.56982026007061271</v>
      </c>
      <c r="AZ365" t="str">
        <f t="shared" si="321"/>
        <v>1+21.7843098815084i</v>
      </c>
      <c r="BA365">
        <f t="shared" si="346"/>
        <v>21.807250102055153</v>
      </c>
      <c r="BB365">
        <f t="shared" si="347"/>
        <v>1.5249239314120047</v>
      </c>
      <c r="BC365" s="41" t="str">
        <f t="shared" si="348"/>
        <v>-0.396269700507237+0.280331588008572i</v>
      </c>
      <c r="BD365">
        <f t="shared" si="349"/>
        <v>-6.2779618931402599</v>
      </c>
      <c r="BE365" s="43">
        <f t="shared" si="350"/>
        <v>144.7234093653118</v>
      </c>
      <c r="BF365" s="41" t="str">
        <f t="shared" si="351"/>
        <v>0.165294703284219+0.225959866230106i</v>
      </c>
      <c r="BG365" s="20">
        <f t="shared" si="352"/>
        <v>-11.05793632236254</v>
      </c>
      <c r="BH365" s="43">
        <f t="shared" si="353"/>
        <v>53.813693843501191</v>
      </c>
      <c r="BI365" s="41" t="str">
        <f t="shared" si="306"/>
        <v>0.0760070065843285+1.24116408961911i</v>
      </c>
      <c r="BJ365" s="20">
        <f t="shared" si="354"/>
        <v>1.8928402744831674</v>
      </c>
      <c r="BK365" s="43">
        <f t="shared" si="307"/>
        <v>86.495669571689049</v>
      </c>
      <c r="BL365">
        <f t="shared" si="355"/>
        <v>-11.05793632236254</v>
      </c>
      <c r="BM365" s="43">
        <f t="shared" si="356"/>
        <v>53.813693843501191</v>
      </c>
    </row>
    <row r="366" spans="14:65" x14ac:dyDescent="0.25">
      <c r="N366" s="9">
        <v>48</v>
      </c>
      <c r="O366" s="34">
        <f t="shared" si="308"/>
        <v>30199.517204020212</v>
      </c>
      <c r="P366" s="33" t="str">
        <f t="shared" si="309"/>
        <v>19.1021967526266</v>
      </c>
      <c r="Q366" s="4" t="str">
        <f t="shared" si="310"/>
        <v>1+42.589353632618i</v>
      </c>
      <c r="R366" s="4">
        <f t="shared" si="322"/>
        <v>42.601092038164843</v>
      </c>
      <c r="S366" s="4">
        <f t="shared" si="323"/>
        <v>1.5473205939032944</v>
      </c>
      <c r="T366" s="4" t="str">
        <f t="shared" si="311"/>
        <v>1+0.713456852053615i</v>
      </c>
      <c r="U366" s="4">
        <f t="shared" si="324"/>
        <v>1.2284220283527376</v>
      </c>
      <c r="V366" s="4">
        <f t="shared" si="325"/>
        <v>0.61970042958396243</v>
      </c>
      <c r="W366" t="str">
        <f t="shared" si="312"/>
        <v>1-0.395310755792119i</v>
      </c>
      <c r="X366" s="4">
        <f t="shared" si="326"/>
        <v>1.0753002341880784</v>
      </c>
      <c r="Y366" s="4">
        <f t="shared" si="327"/>
        <v>-0.37645740018218493</v>
      </c>
      <c r="Z366" t="str">
        <f t="shared" si="313"/>
        <v>0.999087989160644+0.294111202309336i</v>
      </c>
      <c r="AA366" s="4">
        <f t="shared" si="328"/>
        <v>1.0414788569188058</v>
      </c>
      <c r="AB366" s="4">
        <f t="shared" si="329"/>
        <v>0.28629259483955666</v>
      </c>
      <c r="AC366" s="47" t="str">
        <f t="shared" si="330"/>
        <v>-0.0111310874923005-0.568599218384664i</v>
      </c>
      <c r="AD366" s="20">
        <f t="shared" si="331"/>
        <v>-4.9022107927342908</v>
      </c>
      <c r="AE366" s="43">
        <f t="shared" si="332"/>
        <v>-91.121497993791721</v>
      </c>
      <c r="AF366" t="str">
        <f t="shared" si="314"/>
        <v>69.5520360182888</v>
      </c>
      <c r="AG366" t="str">
        <f t="shared" si="315"/>
        <v>1+33.974135812077i</v>
      </c>
      <c r="AH366">
        <f t="shared" si="333"/>
        <v>33.988849703652122</v>
      </c>
      <c r="AI366">
        <f t="shared" si="334"/>
        <v>1.5413706670601666</v>
      </c>
      <c r="AJ366" t="str">
        <f t="shared" si="316"/>
        <v>1+0.713456852053615i</v>
      </c>
      <c r="AK366">
        <f t="shared" si="335"/>
        <v>1.2284220283527376</v>
      </c>
      <c r="AL366">
        <f t="shared" si="336"/>
        <v>0.61970042958396243</v>
      </c>
      <c r="AM366" t="str">
        <f t="shared" si="317"/>
        <v>1-0.086608247268704i</v>
      </c>
      <c r="AN366">
        <f t="shared" si="337"/>
        <v>1.0037434873985271</v>
      </c>
      <c r="AO366">
        <f t="shared" si="338"/>
        <v>-8.6392667521415376E-2</v>
      </c>
      <c r="AP366" s="41" t="str">
        <f t="shared" si="339"/>
        <v>1.34610282422851-2.13408342934555i</v>
      </c>
      <c r="AQ366">
        <f t="shared" si="340"/>
        <v>8.0388743413234778</v>
      </c>
      <c r="AR366" s="43">
        <f t="shared" si="341"/>
        <v>-57.757749940060819</v>
      </c>
      <c r="AS366" t="str">
        <f t="shared" si="318"/>
        <v>-0.0000166666666666667</v>
      </c>
      <c r="AT366" t="str">
        <f t="shared" si="319"/>
        <v>0.000645147153452738i</v>
      </c>
      <c r="AU366">
        <f t="shared" si="342"/>
        <v>6.4514715345273803E-4</v>
      </c>
      <c r="AV366">
        <f t="shared" si="343"/>
        <v>1.5707963267948966</v>
      </c>
      <c r="AW366" t="str">
        <f t="shared" si="320"/>
        <v>1+0.655639165982938i</v>
      </c>
      <c r="AX366">
        <f t="shared" si="344"/>
        <v>1.1957686715961422</v>
      </c>
      <c r="AY366">
        <f t="shared" si="345"/>
        <v>0.5803292755454007</v>
      </c>
      <c r="AZ366" t="str">
        <f t="shared" si="321"/>
        <v>1+22.2917316434199i</v>
      </c>
      <c r="BA366">
        <f t="shared" si="346"/>
        <v>22.314150211519326</v>
      </c>
      <c r="BB366">
        <f t="shared" si="347"/>
        <v>1.5259666999299335</v>
      </c>
      <c r="BC366" s="41" t="str">
        <f t="shared" si="348"/>
        <v>-0.390907903559614+0.282128431275531i</v>
      </c>
      <c r="BD366">
        <f t="shared" si="349"/>
        <v>-6.3375370897756689</v>
      </c>
      <c r="BE366" s="43">
        <f t="shared" si="350"/>
        <v>144.18103336685527</v>
      </c>
      <c r="BF366" s="41" t="str">
        <f t="shared" si="351"/>
        <v>0.164769235583312+0.219129532171791i</v>
      </c>
      <c r="BG366" s="20">
        <f t="shared" si="352"/>
        <v>-11.239747882509956</v>
      </c>
      <c r="BH366" s="43">
        <f t="shared" si="353"/>
        <v>53.059535373063618</v>
      </c>
      <c r="BI366" s="41" t="str">
        <f t="shared" si="306"/>
        <v>0.0758833771375231+1.21400395752193i</v>
      </c>
      <c r="BJ366" s="20">
        <f t="shared" si="354"/>
        <v>1.7013372515477938</v>
      </c>
      <c r="BK366" s="43">
        <f t="shared" si="307"/>
        <v>86.423283426794455</v>
      </c>
      <c r="BL366">
        <f t="shared" si="355"/>
        <v>-11.239747882509956</v>
      </c>
      <c r="BM366" s="43">
        <f t="shared" si="356"/>
        <v>53.059535373063618</v>
      </c>
    </row>
    <row r="367" spans="14:65" x14ac:dyDescent="0.25">
      <c r="N367" s="9">
        <v>49</v>
      </c>
      <c r="O367" s="34">
        <f t="shared" si="308"/>
        <v>30902.954325135954</v>
      </c>
      <c r="P367" s="33" t="str">
        <f t="shared" si="309"/>
        <v>19.1021967526266</v>
      </c>
      <c r="Q367" s="4" t="str">
        <f t="shared" si="310"/>
        <v>1+43.5813871180248i</v>
      </c>
      <c r="R367" s="4">
        <f t="shared" si="322"/>
        <v>43.592858395970524</v>
      </c>
      <c r="S367" s="4">
        <f t="shared" si="323"/>
        <v>1.547854777162639</v>
      </c>
      <c r="T367" s="4" t="str">
        <f t="shared" si="311"/>
        <v>1+0.73007539700115i</v>
      </c>
      <c r="U367" s="4">
        <f t="shared" si="324"/>
        <v>1.238147844688342</v>
      </c>
      <c r="V367" s="4">
        <f t="shared" si="325"/>
        <v>0.63062694130652985</v>
      </c>
      <c r="W367" t="str">
        <f t="shared" si="312"/>
        <v>1-0.404518726175283i</v>
      </c>
      <c r="X367" s="4">
        <f t="shared" si="326"/>
        <v>1.0787193332032543</v>
      </c>
      <c r="Y367" s="4">
        <f t="shared" si="327"/>
        <v>-0.38439575071948973</v>
      </c>
      <c r="Z367" t="str">
        <f t="shared" si="313"/>
        <v>0.999045007413979+0.300961932274411i</v>
      </c>
      <c r="AA367" s="4">
        <f t="shared" si="328"/>
        <v>1.0433930283057984</v>
      </c>
      <c r="AB367" s="4">
        <f t="shared" si="329"/>
        <v>0.29260284332684339</v>
      </c>
      <c r="AC367" s="47" t="str">
        <f t="shared" si="330"/>
        <v>-0.0131412134149051-0.560766145890081i</v>
      </c>
      <c r="AD367" s="20">
        <f t="shared" si="331"/>
        <v>-5.0219798989236146</v>
      </c>
      <c r="AE367" s="43">
        <f t="shared" si="332"/>
        <v>-91.342446021618741</v>
      </c>
      <c r="AF367" t="str">
        <f t="shared" si="314"/>
        <v>69.5520360182888</v>
      </c>
      <c r="AG367" t="str">
        <f t="shared" si="315"/>
        <v>1+34.7654950952929i</v>
      </c>
      <c r="AH367">
        <f t="shared" si="333"/>
        <v>34.779874197886834</v>
      </c>
      <c r="AI367">
        <f t="shared" si="334"/>
        <v>1.5420401033631763</v>
      </c>
      <c r="AJ367" t="str">
        <f t="shared" si="316"/>
        <v>1+0.73007539700115i</v>
      </c>
      <c r="AK367">
        <f t="shared" si="335"/>
        <v>1.238147844688342</v>
      </c>
      <c r="AL367">
        <f t="shared" si="336"/>
        <v>0.63062694130652985</v>
      </c>
      <c r="AM367" t="str">
        <f t="shared" si="317"/>
        <v>1-0.0886256125037835i</v>
      </c>
      <c r="AN367">
        <f t="shared" si="337"/>
        <v>1.0039195680888338</v>
      </c>
      <c r="AO367">
        <f t="shared" si="338"/>
        <v>-8.839466332417753E-2</v>
      </c>
      <c r="AP367" s="41" t="str">
        <f t="shared" si="339"/>
        <v>1.34344546540106-2.09140822290958i</v>
      </c>
      <c r="AQ367">
        <f t="shared" si="340"/>
        <v>7.9090653281103389</v>
      </c>
      <c r="AR367" s="43">
        <f t="shared" si="341"/>
        <v>-57.284768718474005</v>
      </c>
      <c r="AS367" t="str">
        <f t="shared" si="318"/>
        <v>-0.0000166666666666667</v>
      </c>
      <c r="AT367" t="str">
        <f t="shared" si="319"/>
        <v>0.000660174561118063i</v>
      </c>
      <c r="AU367">
        <f t="shared" si="342"/>
        <v>6.6017456111806296E-4</v>
      </c>
      <c r="AV367">
        <f t="shared" si="343"/>
        <v>1.5707963267948966</v>
      </c>
      <c r="AW367" t="str">
        <f t="shared" si="320"/>
        <v>1+0.670910964015138i</v>
      </c>
      <c r="AX367">
        <f t="shared" si="344"/>
        <v>1.2042099159348099</v>
      </c>
      <c r="AY367">
        <f t="shared" si="345"/>
        <v>0.59093521012488115</v>
      </c>
      <c r="AZ367" t="str">
        <f t="shared" si="321"/>
        <v>1+22.8109727765147i</v>
      </c>
      <c r="BA367">
        <f t="shared" si="346"/>
        <v>22.832881531048479</v>
      </c>
      <c r="BB367">
        <f t="shared" si="347"/>
        <v>1.5269858264158542</v>
      </c>
      <c r="BC367" s="41" t="str">
        <f t="shared" si="348"/>
        <v>-0.385446756246827+0.283846302875524i</v>
      </c>
      <c r="BD367">
        <f t="shared" si="349"/>
        <v>-6.3990302300132491</v>
      </c>
      <c r="BE367" s="43">
        <f t="shared" si="350"/>
        <v>143.63174972409243</v>
      </c>
      <c r="BF367" s="41" t="str">
        <f t="shared" si="351"/>
        <v>0.164236635372579+0.212415407103248i</v>
      </c>
      <c r="BG367" s="20">
        <f t="shared" si="352"/>
        <v>-11.421010128936848</v>
      </c>
      <c r="BH367" s="43">
        <f t="shared" si="353"/>
        <v>52.289303702473688</v>
      </c>
      <c r="BI367" s="41" t="str">
        <f t="shared" si="306"/>
        <v>0.0758117950430066+1.18745854397742i</v>
      </c>
      <c r="BJ367" s="20">
        <f t="shared" si="354"/>
        <v>1.5100350980971078</v>
      </c>
      <c r="BK367" s="43">
        <f t="shared" si="307"/>
        <v>86.346981005618446</v>
      </c>
      <c r="BL367">
        <f t="shared" si="355"/>
        <v>-11.421010128936848</v>
      </c>
      <c r="BM367" s="43">
        <f t="shared" si="356"/>
        <v>52.289303702473688</v>
      </c>
    </row>
    <row r="368" spans="14:65" x14ac:dyDescent="0.25">
      <c r="N368" s="9">
        <v>50</v>
      </c>
      <c r="O368" s="34">
        <f t="shared" si="308"/>
        <v>31622.77660168384</v>
      </c>
      <c r="P368" s="33" t="str">
        <f t="shared" si="309"/>
        <v>19.1021967526266</v>
      </c>
      <c r="Q368" s="4" t="str">
        <f t="shared" si="310"/>
        <v>1+44.5965280317495i</v>
      </c>
      <c r="R368" s="4">
        <f t="shared" si="322"/>
        <v>44.607738257914612</v>
      </c>
      <c r="S368" s="4">
        <f t="shared" si="323"/>
        <v>1.5483768135804132</v>
      </c>
      <c r="T368" s="4" t="str">
        <f t="shared" si="311"/>
        <v>1+0.747081037587866i</v>
      </c>
      <c r="U368" s="4">
        <f t="shared" si="324"/>
        <v>1.2482508068186307</v>
      </c>
      <c r="V368" s="4">
        <f t="shared" si="325"/>
        <v>0.64163035391051026</v>
      </c>
      <c r="W368" t="str">
        <f t="shared" si="312"/>
        <v>1-0.413941177741504i</v>
      </c>
      <c r="X368" s="4">
        <f t="shared" si="326"/>
        <v>1.0822879924631998</v>
      </c>
      <c r="Y368" s="4">
        <f t="shared" si="327"/>
        <v>-0.39246656448508271</v>
      </c>
      <c r="Z368" t="str">
        <f t="shared" si="313"/>
        <v>0.999+0.307972236239679i</v>
      </c>
      <c r="AA368" s="4">
        <f t="shared" si="328"/>
        <v>1.0453936570950049</v>
      </c>
      <c r="AB368" s="4">
        <f t="shared" si="329"/>
        <v>0.29903617963772738</v>
      </c>
      <c r="AC368" s="47" t="str">
        <f t="shared" si="330"/>
        <v>-0.0151904715680271-0.55318993433399i</v>
      </c>
      <c r="AD368" s="20">
        <f t="shared" si="331"/>
        <v>-5.1392410984810777</v>
      </c>
      <c r="AE368" s="43">
        <f t="shared" si="332"/>
        <v>-91.572933987466627</v>
      </c>
      <c r="AF368" t="str">
        <f t="shared" si="314"/>
        <v>69.5520360182888</v>
      </c>
      <c r="AG368" t="str">
        <f t="shared" si="315"/>
        <v>1+35.5752875041842i</v>
      </c>
      <c r="AH368">
        <f t="shared" si="333"/>
        <v>35.589339429179695</v>
      </c>
      <c r="AI368">
        <f t="shared" si="334"/>
        <v>1.5426943263483077</v>
      </c>
      <c r="AJ368" t="str">
        <f t="shared" si="316"/>
        <v>1+0.747081037587866i</v>
      </c>
      <c r="AK368">
        <f t="shared" si="335"/>
        <v>1.2482508068186307</v>
      </c>
      <c r="AL368">
        <f t="shared" si="336"/>
        <v>0.64163035391051026</v>
      </c>
      <c r="AM368" t="str">
        <f t="shared" si="317"/>
        <v>1-0.0906899682117111i</v>
      </c>
      <c r="AN368">
        <f t="shared" si="337"/>
        <v>1.0041039141116028</v>
      </c>
      <c r="AO368">
        <f t="shared" si="338"/>
        <v>-9.0442556300671509E-2</v>
      </c>
      <c r="AP368" s="41" t="str">
        <f t="shared" si="339"/>
        <v>1.34090751411903-2.04983503197194i</v>
      </c>
      <c r="AQ368">
        <f t="shared" si="340"/>
        <v>7.7814087204892299</v>
      </c>
      <c r="AR368" s="43">
        <f t="shared" si="341"/>
        <v>-56.809139456380827</v>
      </c>
      <c r="AS368" t="str">
        <f t="shared" si="318"/>
        <v>-0.0000166666666666667</v>
      </c>
      <c r="AT368" t="str">
        <f t="shared" si="319"/>
        <v>0.000675552002074136i</v>
      </c>
      <c r="AU368">
        <f t="shared" si="342"/>
        <v>6.7555200207413595E-4</v>
      </c>
      <c r="AV368">
        <f t="shared" si="343"/>
        <v>1.5707963267948966</v>
      </c>
      <c r="AW368" t="str">
        <f t="shared" si="320"/>
        <v>1+0.686538487921015i</v>
      </c>
      <c r="AX368">
        <f t="shared" si="344"/>
        <v>1.21298602440295</v>
      </c>
      <c r="AY368">
        <f t="shared" si="345"/>
        <v>0.60163414296187578</v>
      </c>
      <c r="AZ368" t="str">
        <f t="shared" si="321"/>
        <v>1+23.3423085893145i</v>
      </c>
      <c r="BA368">
        <f t="shared" si="346"/>
        <v>23.363719102034793</v>
      </c>
      <c r="BB368">
        <f t="shared" si="347"/>
        <v>1.5279818427514276</v>
      </c>
      <c r="BC368" s="41" t="str">
        <f t="shared" si="348"/>
        <v>-0.379889420450092+0.285479890697157i</v>
      </c>
      <c r="BD368">
        <f t="shared" si="349"/>
        <v>-6.4624771348042751</v>
      </c>
      <c r="BE368" s="43">
        <f t="shared" si="350"/>
        <v>143.07581355959314</v>
      </c>
      <c r="BF368" s="41" t="str">
        <f t="shared" si="351"/>
        <v>0.163695301428776+0.205814429390085i</v>
      </c>
      <c r="BG368" s="20">
        <f t="shared" si="352"/>
        <v>-11.601718233285364</v>
      </c>
      <c r="BH368" s="43">
        <f t="shared" si="353"/>
        <v>51.502879572126538</v>
      </c>
      <c r="BI368" s="41" t="str">
        <f t="shared" si="306"/>
        <v>0.075790102458701+1.16151277287981i</v>
      </c>
      <c r="BJ368" s="20">
        <f t="shared" si="354"/>
        <v>1.3189315856849335</v>
      </c>
      <c r="BK368" s="43">
        <f t="shared" si="307"/>
        <v>86.266674103212296</v>
      </c>
      <c r="BL368">
        <f t="shared" si="355"/>
        <v>-11.601718233285364</v>
      </c>
      <c r="BM368" s="43">
        <f t="shared" si="356"/>
        <v>51.502879572126538</v>
      </c>
    </row>
    <row r="369" spans="14:65" x14ac:dyDescent="0.25">
      <c r="N369" s="9">
        <v>51</v>
      </c>
      <c r="O369" s="34">
        <f t="shared" si="308"/>
        <v>32359.365692962871</v>
      </c>
      <c r="P369" s="33" t="str">
        <f t="shared" si="309"/>
        <v>19.1021967526266</v>
      </c>
      <c r="Q369" s="4" t="str">
        <f t="shared" si="310"/>
        <v>1+45.6353146149414i</v>
      </c>
      <c r="R369" s="4">
        <f t="shared" si="322"/>
        <v>45.646269727160444</v>
      </c>
      <c r="S369" s="4">
        <f t="shared" si="323"/>
        <v>1.5488869788084523</v>
      </c>
      <c r="T369" s="4" t="str">
        <f t="shared" si="311"/>
        <v>1+0.764482790429497i</v>
      </c>
      <c r="U369" s="4">
        <f t="shared" si="324"/>
        <v>1.2587429987344001</v>
      </c>
      <c r="V369" s="4">
        <f t="shared" si="325"/>
        <v>0.65270584396819398</v>
      </c>
      <c r="W369" t="str">
        <f t="shared" si="312"/>
        <v>1-0.423583106399323i</v>
      </c>
      <c r="X369" s="4">
        <f t="shared" si="326"/>
        <v>1.0860122688196945</v>
      </c>
      <c r="Y369" s="4">
        <f t="shared" si="327"/>
        <v>-0.40066991395000373</v>
      </c>
      <c r="Z369" t="str">
        <f t="shared" si="313"/>
        <v>0.998952871451949+0.315145831161096i</v>
      </c>
      <c r="AA369" s="4">
        <f t="shared" si="328"/>
        <v>1.0474844792550926</v>
      </c>
      <c r="AB369" s="4">
        <f t="shared" si="329"/>
        <v>0.3055939572982922</v>
      </c>
      <c r="AC369" s="47" t="str">
        <f t="shared" si="330"/>
        <v>-0.0172816542756768-0.545864291449486i</v>
      </c>
      <c r="AD369" s="20">
        <f t="shared" si="331"/>
        <v>-5.253955507231586</v>
      </c>
      <c r="AE369" s="43">
        <f t="shared" si="332"/>
        <v>-91.81333575068966</v>
      </c>
      <c r="AF369" t="str">
        <f t="shared" si="314"/>
        <v>69.5520360182888</v>
      </c>
      <c r="AG369" t="str">
        <f t="shared" si="315"/>
        <v>1+36.4039424014047i</v>
      </c>
      <c r="AH369">
        <f t="shared" si="333"/>
        <v>36.417674587551453</v>
      </c>
      <c r="AI369">
        <f t="shared" si="334"/>
        <v>1.5433336806518652</v>
      </c>
      <c r="AJ369" t="str">
        <f t="shared" si="316"/>
        <v>1+0.764482790429497i</v>
      </c>
      <c r="AK369">
        <f t="shared" si="335"/>
        <v>1.2587429987344001</v>
      </c>
      <c r="AL369">
        <f t="shared" si="336"/>
        <v>0.65270584396819398</v>
      </c>
      <c r="AM369" t="str">
        <f t="shared" si="317"/>
        <v>1-0.0928024089412082i</v>
      </c>
      <c r="AN369">
        <f t="shared" si="337"/>
        <v>1.0042969118270211</v>
      </c>
      <c r="AO369">
        <f t="shared" si="338"/>
        <v>-9.2537363524125379E-2</v>
      </c>
      <c r="AP369" s="41" t="str">
        <f t="shared" si="339"/>
        <v>1.33848361314651-2.00934227215808i</v>
      </c>
      <c r="AQ369">
        <f t="shared" si="340"/>
        <v>7.6559366411472185</v>
      </c>
      <c r="AR369" s="43">
        <f t="shared" si="341"/>
        <v>-56.331216536041275</v>
      </c>
      <c r="AS369" t="str">
        <f t="shared" si="318"/>
        <v>-0.0000166666666666667</v>
      </c>
      <c r="AT369" t="str">
        <f t="shared" si="319"/>
        <v>0.000691287629643697i</v>
      </c>
      <c r="AU369">
        <f t="shared" si="342"/>
        <v>6.9128762964369695E-4</v>
      </c>
      <c r="AV369">
        <f t="shared" si="343"/>
        <v>1.5707963267948966</v>
      </c>
      <c r="AW369" t="str">
        <f t="shared" si="320"/>
        <v>1+0.702530023620599i</v>
      </c>
      <c r="AX369">
        <f t="shared" si="344"/>
        <v>1.2221081924643002</v>
      </c>
      <c r="AY369">
        <f t="shared" si="345"/>
        <v>0.61242194934051775</v>
      </c>
      <c r="AZ369" t="str">
        <f t="shared" si="321"/>
        <v>1+23.8860208031004i</v>
      </c>
      <c r="BA369">
        <f t="shared" si="346"/>
        <v>23.906944384553732</v>
      </c>
      <c r="BB369">
        <f t="shared" si="347"/>
        <v>1.5289552691284236</v>
      </c>
      <c r="BC369" s="41" t="str">
        <f t="shared" si="348"/>
        <v>-0.374239377793846+0.287023996651604i</v>
      </c>
      <c r="BD369">
        <f t="shared" si="349"/>
        <v>-6.5279123994847978</v>
      </c>
      <c r="BE369" s="43">
        <f t="shared" si="350"/>
        <v>142.51349100696126</v>
      </c>
      <c r="BF369" s="41" t="str">
        <f t="shared" si="351"/>
        <v>0.163143626104605+0.199323663312978i</v>
      </c>
      <c r="BG369" s="20">
        <f t="shared" si="352"/>
        <v>-11.781867906716393</v>
      </c>
      <c r="BH369" s="43">
        <f t="shared" si="353"/>
        <v>50.700155256271579</v>
      </c>
      <c r="BI369" s="41" t="str">
        <f t="shared" si="306"/>
        <v>0.0758161750246182+1.1361519178053i</v>
      </c>
      <c r="BJ369" s="20">
        <f t="shared" si="354"/>
        <v>1.1280242416623949</v>
      </c>
      <c r="BK369" s="43">
        <f t="shared" si="307"/>
        <v>86.182274470919992</v>
      </c>
      <c r="BL369">
        <f t="shared" si="355"/>
        <v>-11.781867906716393</v>
      </c>
      <c r="BM369" s="43">
        <f t="shared" si="356"/>
        <v>50.700155256271579</v>
      </c>
    </row>
    <row r="370" spans="14:65" x14ac:dyDescent="0.25">
      <c r="N370" s="9">
        <v>52</v>
      </c>
      <c r="O370" s="34">
        <f t="shared" si="308"/>
        <v>33113.11214825909</v>
      </c>
      <c r="P370" s="33" t="str">
        <f t="shared" si="309"/>
        <v>19.1021967526266</v>
      </c>
      <c r="Q370" s="4" t="str">
        <f t="shared" si="310"/>
        <v>1+46.6982976459969i</v>
      </c>
      <c r="R370" s="4">
        <f t="shared" si="322"/>
        <v>46.709003447238302</v>
      </c>
      <c r="S370" s="4">
        <f t="shared" si="323"/>
        <v>1.549385542280264</v>
      </c>
      <c r="T370" s="4" t="str">
        <f t="shared" si="311"/>
        <v>1+0.78228988216574i</v>
      </c>
      <c r="U370" s="4">
        <f t="shared" si="324"/>
        <v>1.2696367432218112</v>
      </c>
      <c r="V370" s="4">
        <f t="shared" si="325"/>
        <v>0.66384841554350937</v>
      </c>
      <c r="W370" t="str">
        <f t="shared" si="312"/>
        <v>1-0.43344962442694i</v>
      </c>
      <c r="X370" s="4">
        <f t="shared" si="326"/>
        <v>1.0898984250451302</v>
      </c>
      <c r="Y370" s="4">
        <f t="shared" si="327"/>
        <v>-0.40900573123689143</v>
      </c>
      <c r="Z370" t="str">
        <f t="shared" si="313"/>
        <v>0.998903521803857+0.322486520573643i</v>
      </c>
      <c r="AA370" s="4">
        <f t="shared" si="328"/>
        <v>1.0496693773869195</v>
      </c>
      <c r="AB370" s="4">
        <f t="shared" si="329"/>
        <v>0.31227747440861625</v>
      </c>
      <c r="AC370" s="47" t="str">
        <f t="shared" si="330"/>
        <v>-0.0194175198077524-0.538782936687012i</v>
      </c>
      <c r="AD370" s="20">
        <f t="shared" si="331"/>
        <v>-5.3660861529165613</v>
      </c>
      <c r="AE370" s="43">
        <f t="shared" si="332"/>
        <v>-92.064023481311764</v>
      </c>
      <c r="AF370" t="str">
        <f t="shared" si="314"/>
        <v>69.5520360182888</v>
      </c>
      <c r="AG370" t="str">
        <f t="shared" si="315"/>
        <v>1+37.2518991507496i</v>
      </c>
      <c r="AH370">
        <f t="shared" si="333"/>
        <v>37.265318868052354</v>
      </c>
      <c r="AI370">
        <f t="shared" si="334"/>
        <v>1.5439585031759553</v>
      </c>
      <c r="AJ370" t="str">
        <f t="shared" si="316"/>
        <v>1+0.78228988216574i</v>
      </c>
      <c r="AK370">
        <f t="shared" si="335"/>
        <v>1.2696367432218112</v>
      </c>
      <c r="AL370">
        <f t="shared" si="336"/>
        <v>0.66384841554350937</v>
      </c>
      <c r="AM370" t="str">
        <f t="shared" si="317"/>
        <v>1-0.094964054736311i</v>
      </c>
      <c r="AN370">
        <f t="shared" si="337"/>
        <v>1.0044989655006924</v>
      </c>
      <c r="AO370">
        <f t="shared" si="338"/>
        <v>-9.4680122108668829E-2</v>
      </c>
      <c r="AP370" s="41" t="str">
        <f t="shared" si="339"/>
        <v>1.33616864487061-1.96990890144182i</v>
      </c>
      <c r="AQ370">
        <f t="shared" si="340"/>
        <v>7.5326796450073275</v>
      </c>
      <c r="AR370" s="43">
        <f t="shared" si="341"/>
        <v>-55.851364928838187</v>
      </c>
      <c r="AS370" t="str">
        <f t="shared" si="318"/>
        <v>-0.0000166666666666667</v>
      </c>
      <c r="AT370" t="str">
        <f t="shared" si="319"/>
        <v>0.000707389787064767i</v>
      </c>
      <c r="AU370">
        <f t="shared" si="342"/>
        <v>7.0738978706476698E-4</v>
      </c>
      <c r="AV370">
        <f t="shared" si="343"/>
        <v>1.5707963267948966</v>
      </c>
      <c r="AW370" t="str">
        <f t="shared" si="320"/>
        <v>1+0.718894050037791i</v>
      </c>
      <c r="AX370">
        <f t="shared" si="344"/>
        <v>1.2315878593018601</v>
      </c>
      <c r="AY370">
        <f t="shared" si="345"/>
        <v>0.62329430557402632</v>
      </c>
      <c r="AZ370" t="str">
        <f t="shared" si="321"/>
        <v>1+24.4423977012849i</v>
      </c>
      <c r="BA370">
        <f t="shared" si="346"/>
        <v>24.462845406611585</v>
      </c>
      <c r="BB370">
        <f t="shared" si="347"/>
        <v>1.5299066142871576</v>
      </c>
      <c r="BC370" s="41" t="str">
        <f t="shared" si="348"/>
        <v>-0.368500426714646+0.288473560485901i</v>
      </c>
      <c r="BD370">
        <f t="shared" si="349"/>
        <v>-6.5953692814694476</v>
      </c>
      <c r="BE370" s="43">
        <f t="shared" si="350"/>
        <v>141.94505894387416</v>
      </c>
      <c r="BF370" s="41" t="str">
        <f t="shared" si="351"/>
        <v>0.162579996410049+0.192940301000986i</v>
      </c>
      <c r="BG370" s="20">
        <f t="shared" si="352"/>
        <v>-11.961455434386014</v>
      </c>
      <c r="BH370" s="43">
        <f t="shared" si="353"/>
        <v>49.881035462562359</v>
      </c>
      <c r="BI370" s="41" t="str">
        <f t="shared" ref="BI370:BI433" si="357">IMPRODUCT(AP370,BC370)</f>
        <v>0.0758879188342416+1.11136159716574i</v>
      </c>
      <c r="BJ370" s="20">
        <f t="shared" si="354"/>
        <v>0.93731036353790942</v>
      </c>
      <c r="BK370" s="43">
        <f t="shared" ref="BK370:BK433" si="358">(180/PI())*IMARGUMENT(BI370)</f>
        <v>86.093694015035979</v>
      </c>
      <c r="BL370">
        <f t="shared" si="355"/>
        <v>-11.961455434386014</v>
      </c>
      <c r="BM370" s="43">
        <f t="shared" si="356"/>
        <v>49.881035462562359</v>
      </c>
    </row>
    <row r="371" spans="14:65" x14ac:dyDescent="0.25">
      <c r="N371" s="9">
        <v>53</v>
      </c>
      <c r="O371" s="34">
        <f t="shared" si="308"/>
        <v>33884.41561392029</v>
      </c>
      <c r="P371" s="33" t="str">
        <f t="shared" si="309"/>
        <v>19.1021967526266</v>
      </c>
      <c r="Q371" s="4" t="str">
        <f t="shared" si="310"/>
        <v>1+47.7860407325898i</v>
      </c>
      <c r="R371" s="4">
        <f t="shared" si="322"/>
        <v>47.796502894006082</v>
      </c>
      <c r="S371" s="4">
        <f t="shared" si="323"/>
        <v>1.5498727673488271</v>
      </c>
      <c r="T371" s="4" t="str">
        <f t="shared" si="311"/>
        <v>1+0.800511754352343i</v>
      </c>
      <c r="U371" s="4">
        <f t="shared" si="324"/>
        <v>1.2809446002291691</v>
      </c>
      <c r="V371" s="4">
        <f t="shared" si="325"/>
        <v>0.67505290967183407</v>
      </c>
      <c r="W371" t="str">
        <f t="shared" si="312"/>
        <v>1-0.443545963182815i</v>
      </c>
      <c r="X371" s="4">
        <f t="shared" si="326"/>
        <v>1.0939529338393728</v>
      </c>
      <c r="Y371" s="4">
        <f t="shared" si="327"/>
        <v>-0.4174738012842909</v>
      </c>
      <c r="Z371" t="str">
        <f t="shared" si="313"/>
        <v>0.998851846378503+0.329998196608014i</v>
      </c>
      <c r="AA371" s="4">
        <f t="shared" si="328"/>
        <v>1.0519523852239159</v>
      </c>
      <c r="AB371" s="4">
        <f t="shared" si="329"/>
        <v>0.31908796833091679</v>
      </c>
      <c r="AC371" s="47" t="str">
        <f t="shared" si="330"/>
        <v>-0.0216007896336264-0.531939594713658i</v>
      </c>
      <c r="AD371" s="20">
        <f t="shared" si="331"/>
        <v>-5.4755981203248965</v>
      </c>
      <c r="AE371" s="43">
        <f t="shared" si="332"/>
        <v>-92.325366428765676</v>
      </c>
      <c r="AF371" t="str">
        <f t="shared" si="314"/>
        <v>69.5520360182888</v>
      </c>
      <c r="AG371" t="str">
        <f t="shared" si="315"/>
        <v>1+38.1196073501116i</v>
      </c>
      <c r="AH371">
        <f t="shared" si="333"/>
        <v>38.132721703632463</v>
      </c>
      <c r="AI371">
        <f t="shared" si="334"/>
        <v>1.5445691232571723</v>
      </c>
      <c r="AJ371" t="str">
        <f t="shared" si="316"/>
        <v>1+0.800511754352343i</v>
      </c>
      <c r="AK371">
        <f t="shared" si="335"/>
        <v>1.2809446002291691</v>
      </c>
      <c r="AL371">
        <f t="shared" si="336"/>
        <v>0.67505290967183407</v>
      </c>
      <c r="AM371" t="str">
        <f t="shared" si="317"/>
        <v>1-0.0971760517302336i</v>
      </c>
      <c r="AN371">
        <f t="shared" si="337"/>
        <v>1.0047104981186754</v>
      </c>
      <c r="AO371">
        <f t="shared" si="338"/>
        <v>-9.6871889423518251E-2</v>
      </c>
      <c r="AP371" s="41" t="str">
        <f t="shared" si="339"/>
        <v>1.33395772064764-1.93151441101665i</v>
      </c>
      <c r="AQ371">
        <f t="shared" si="340"/>
        <v>7.4116666257468511</v>
      </c>
      <c r="AR371" s="43">
        <f t="shared" si="341"/>
        <v>-55.369959674061427</v>
      </c>
      <c r="AS371" t="str">
        <f t="shared" si="318"/>
        <v>-0.0000166666666666667</v>
      </c>
      <c r="AT371" t="str">
        <f t="shared" si="319"/>
        <v>0.000723867011914352i</v>
      </c>
      <c r="AU371">
        <f t="shared" si="342"/>
        <v>7.2386701191435199E-4</v>
      </c>
      <c r="AV371">
        <f t="shared" si="343"/>
        <v>1.5707963267948966</v>
      </c>
      <c r="AW371" t="str">
        <f t="shared" si="320"/>
        <v>1+0.735639243596005i</v>
      </c>
      <c r="AX371">
        <f t="shared" si="344"/>
        <v>1.241436706690479</v>
      </c>
      <c r="AY371">
        <f t="shared" si="345"/>
        <v>0.63424669489396446</v>
      </c>
      <c r="AZ371" t="str">
        <f t="shared" si="321"/>
        <v>1+25.0117342822642i</v>
      </c>
      <c r="BA371">
        <f t="shared" si="346"/>
        <v>25.031716916875482</v>
      </c>
      <c r="BB371">
        <f t="shared" si="347"/>
        <v>1.5308363757513217</v>
      </c>
      <c r="BC371" s="41" t="str">
        <f t="shared" si="348"/>
        <v>-0.362676677448981+0.289823683752911i</v>
      </c>
      <c r="BD371">
        <f t="shared" si="349"/>
        <v>-6.6648795892922035</v>
      </c>
      <c r="BE371" s="43">
        <f t="shared" si="350"/>
        <v>141.37080466810792</v>
      </c>
      <c r="BF371" s="41" t="str">
        <f t="shared" si="351"/>
        <v>0.162002795488541+0.186661664390718i</v>
      </c>
      <c r="BG371" s="20">
        <f t="shared" si="352"/>
        <v>-12.140477709617087</v>
      </c>
      <c r="BH371" s="43">
        <f t="shared" si="353"/>
        <v>49.045438239342275</v>
      </c>
      <c r="BI371" s="41" t="str">
        <f t="shared" si="357"/>
        <v>0.0760032678407776+1.08712776960108i</v>
      </c>
      <c r="BJ371" s="20">
        <f t="shared" si="354"/>
        <v>0.74678703645465028</v>
      </c>
      <c r="BK371" s="43">
        <f t="shared" si="358"/>
        <v>86.000844994046503</v>
      </c>
      <c r="BL371">
        <f t="shared" si="355"/>
        <v>-12.140477709617087</v>
      </c>
      <c r="BM371" s="43">
        <f t="shared" si="356"/>
        <v>49.045438239342275</v>
      </c>
    </row>
    <row r="372" spans="14:65" x14ac:dyDescent="0.25">
      <c r="N372" s="9">
        <v>54</v>
      </c>
      <c r="O372" s="34">
        <f t="shared" si="308"/>
        <v>34673.685045253202</v>
      </c>
      <c r="P372" s="33" t="str">
        <f t="shared" si="309"/>
        <v>19.1021967526266</v>
      </c>
      <c r="Q372" s="4" t="str">
        <f t="shared" si="310"/>
        <v>1+48.8991206105016i</v>
      </c>
      <c r="R372" s="4">
        <f t="shared" si="322"/>
        <v>48.909344674411479</v>
      </c>
      <c r="S372" s="4">
        <f t="shared" si="323"/>
        <v>1.5503489114214988</v>
      </c>
      <c r="T372" s="4" t="str">
        <f t="shared" si="311"/>
        <v>1+0.819158068467121i</v>
      </c>
      <c r="U372" s="4">
        <f t="shared" si="324"/>
        <v>1.2926793651694084</v>
      </c>
      <c r="V372" s="4">
        <f t="shared" si="325"/>
        <v>0.68631401476512488</v>
      </c>
      <c r="W372" t="str">
        <f t="shared" si="312"/>
        <v>1-0.45387747587939i</v>
      </c>
      <c r="X372" s="4">
        <f t="shared" si="326"/>
        <v>1.0981824816990327</v>
      </c>
      <c r="Y372" s="4">
        <f t="shared" si="327"/>
        <v>-0.42607375508565243</v>
      </c>
      <c r="Z372" t="str">
        <f t="shared" si="313"/>
        <v>0.998797735565383+0.337684842054266i</v>
      </c>
      <c r="AA372" s="4">
        <f t="shared" si="328"/>
        <v>1.0543376921668652</v>
      </c>
      <c r="AB372" s="4">
        <f t="shared" si="329"/>
        <v>0.32602661017438944</v>
      </c>
      <c r="AC372" s="47" t="str">
        <f t="shared" si="330"/>
        <v>-0.0238341451595884-0.525327989061386i</v>
      </c>
      <c r="AD372" s="20">
        <f t="shared" si="331"/>
        <v>-5.5824586939545862</v>
      </c>
      <c r="AE372" s="43">
        <f t="shared" si="332"/>
        <v>-92.597729630080536</v>
      </c>
      <c r="AF372" t="str">
        <f t="shared" si="314"/>
        <v>69.5520360182888</v>
      </c>
      <c r="AG372" t="str">
        <f t="shared" si="315"/>
        <v>1+39.007527069863i</v>
      </c>
      <c r="AH372">
        <f t="shared" si="333"/>
        <v>39.02034300343982</v>
      </c>
      <c r="AI372">
        <f t="shared" si="334"/>
        <v>1.5451658628319309</v>
      </c>
      <c r="AJ372" t="str">
        <f t="shared" si="316"/>
        <v>1+0.819158068467121i</v>
      </c>
      <c r="AK372">
        <f t="shared" si="335"/>
        <v>1.2926793651694084</v>
      </c>
      <c r="AL372">
        <f t="shared" si="336"/>
        <v>0.68631401476512488</v>
      </c>
      <c r="AM372" t="str">
        <f t="shared" si="317"/>
        <v>1-0.0994395727530596i</v>
      </c>
      <c r="AN372">
        <f t="shared" si="337"/>
        <v>1.0049319522382154</v>
      </c>
      <c r="AO372">
        <f t="shared" si="338"/>
        <v>-9.9113743295082171E-2</v>
      </c>
      <c r="AP372" s="41" t="str">
        <f t="shared" si="339"/>
        <v>1.33184617061731-1.89413881631527i</v>
      </c>
      <c r="AQ372">
        <f t="shared" si="340"/>
        <v>7.292924727555679</v>
      </c>
      <c r="AR372" s="43">
        <f t="shared" si="341"/>
        <v>-54.88738530379041</v>
      </c>
      <c r="AS372" t="str">
        <f t="shared" si="318"/>
        <v>-0.0000166666666666667</v>
      </c>
      <c r="AT372" t="str">
        <f t="shared" si="319"/>
        <v>0.000740728040635165i</v>
      </c>
      <c r="AU372">
        <f t="shared" si="342"/>
        <v>7.4072804063516501E-4</v>
      </c>
      <c r="AV372">
        <f t="shared" si="343"/>
        <v>1.5707963267948966</v>
      </c>
      <c r="AW372" t="str">
        <f t="shared" si="320"/>
        <v>1+0.752774482818504i</v>
      </c>
      <c r="AX372">
        <f t="shared" si="344"/>
        <v>1.251666657693919</v>
      </c>
      <c r="AY372">
        <f t="shared" si="345"/>
        <v>0.64527441433310184</v>
      </c>
      <c r="AZ372" t="str">
        <f t="shared" si="321"/>
        <v>1+25.5943324158291i</v>
      </c>
      <c r="BA372">
        <f t="shared" si="346"/>
        <v>25.613860540964147</v>
      </c>
      <c r="BB372">
        <f t="shared" si="347"/>
        <v>1.5317450400591783</v>
      </c>
      <c r="BC372" s="41" t="str">
        <f t="shared" si="348"/>
        <v>-0.356772544887511+0.291069653733857i</v>
      </c>
      <c r="BD372">
        <f t="shared" si="349"/>
        <v>-6.7364735737529537</v>
      </c>
      <c r="BE372" s="43">
        <f t="shared" si="350"/>
        <v>140.79102551642555</v>
      </c>
      <c r="BF372" s="41" t="str">
        <f t="shared" si="351"/>
        <v>0.161410404496606+0.180485207179425i</v>
      </c>
      <c r="BG372" s="20">
        <f t="shared" si="352"/>
        <v>-12.318932267707542</v>
      </c>
      <c r="BH372" s="43">
        <f t="shared" si="353"/>
        <v>48.193295886344927</v>
      </c>
      <c r="BI372" s="41" t="str">
        <f t="shared" si="357"/>
        <v>0.0761601816989196+1.06343672957536i</v>
      </c>
      <c r="BJ372" s="20">
        <f t="shared" si="354"/>
        <v>0.5564511538027217</v>
      </c>
      <c r="BK372" s="43">
        <f t="shared" si="358"/>
        <v>85.903640212635153</v>
      </c>
      <c r="BL372">
        <f t="shared" si="355"/>
        <v>-12.318932267707542</v>
      </c>
      <c r="BM372" s="43">
        <f t="shared" si="356"/>
        <v>48.193295886344927</v>
      </c>
    </row>
    <row r="373" spans="14:65" x14ac:dyDescent="0.25">
      <c r="N373" s="9">
        <v>55</v>
      </c>
      <c r="O373" s="34">
        <f t="shared" si="308"/>
        <v>35481.33892335758</v>
      </c>
      <c r="P373" s="33" t="str">
        <f t="shared" si="309"/>
        <v>19.1021967526266</v>
      </c>
      <c r="Q373" s="4" t="str">
        <f t="shared" si="310"/>
        <v>1+50.0381274494179i</v>
      </c>
      <c r="R373" s="4">
        <f t="shared" si="322"/>
        <v>50.048118832221746</v>
      </c>
      <c r="S373" s="4">
        <f t="shared" si="323"/>
        <v>1.550814226092089</v>
      </c>
      <c r="T373" s="4" t="str">
        <f t="shared" si="311"/>
        <v>1+0.838238711032647i</v>
      </c>
      <c r="U373" s="4">
        <f t="shared" si="324"/>
        <v>1.3048540671943638</v>
      </c>
      <c r="V373" s="4">
        <f t="shared" si="325"/>
        <v>0.69762627790223375</v>
      </c>
      <c r="W373" t="str">
        <f t="shared" si="312"/>
        <v>1-0.464449640421458i</v>
      </c>
      <c r="X373" s="4">
        <f t="shared" si="326"/>
        <v>1.1025939726334539</v>
      </c>
      <c r="Y373" s="4">
        <f t="shared" si="327"/>
        <v>-0.43480506304367267</v>
      </c>
      <c r="Z373" t="str">
        <f t="shared" si="313"/>
        <v>0.998741074588206+0.345550532473565i</v>
      </c>
      <c r="AA373" s="4">
        <f t="shared" si="328"/>
        <v>1.0568296478441399</v>
      </c>
      <c r="AB373" s="4">
        <f t="shared" si="329"/>
        <v>0.33309449908316419</v>
      </c>
      <c r="AC373" s="47" t="str">
        <f t="shared" si="330"/>
        <v>-0.0261202239408014-0.518941835959524i</v>
      </c>
      <c r="AD373" s="20">
        <f t="shared" si="331"/>
        <v>-5.6866374973803682</v>
      </c>
      <c r="AE373" s="43">
        <f t="shared" si="332"/>
        <v>-92.881472562516805</v>
      </c>
      <c r="AF373" t="str">
        <f t="shared" si="314"/>
        <v>69.5520360182888</v>
      </c>
      <c r="AG373" t="str">
        <f t="shared" si="315"/>
        <v>1+39.9161290967928i</v>
      </c>
      <c r="AH373">
        <f t="shared" si="333"/>
        <v>39.928653396675287</v>
      </c>
      <c r="AI373">
        <f t="shared" si="334"/>
        <v>1.5457490365984967</v>
      </c>
      <c r="AJ373" t="str">
        <f t="shared" si="316"/>
        <v>1+0.838238711032647i</v>
      </c>
      <c r="AK373">
        <f t="shared" si="335"/>
        <v>1.3048540671943638</v>
      </c>
      <c r="AL373">
        <f t="shared" si="336"/>
        <v>0.69762627790223375</v>
      </c>
      <c r="AM373" t="str">
        <f t="shared" si="317"/>
        <v>1-0.101755817953599i</v>
      </c>
      <c r="AN373">
        <f t="shared" si="337"/>
        <v>1.0051637908755995</v>
      </c>
      <c r="AO373">
        <f t="shared" si="338"/>
        <v>-0.10140678219561784</v>
      </c>
      <c r="AP373" s="41" t="str">
        <f t="shared" si="339"/>
        <v>1.32982953396485-1.85776264818137i</v>
      </c>
      <c r="AQ373">
        <f t="shared" si="340"/>
        <v>7.1764792628930074</v>
      </c>
      <c r="AR373" s="43">
        <f t="shared" si="341"/>
        <v>-54.404035216099494</v>
      </c>
      <c r="AS373" t="str">
        <f t="shared" si="318"/>
        <v>-0.0000166666666666667</v>
      </c>
      <c r="AT373" t="str">
        <f t="shared" si="319"/>
        <v>0.000757981813167818i</v>
      </c>
      <c r="AU373">
        <f t="shared" si="342"/>
        <v>7.5798181316781804E-4</v>
      </c>
      <c r="AV373">
        <f t="shared" si="343"/>
        <v>1.5707963267948966</v>
      </c>
      <c r="AW373" t="str">
        <f t="shared" si="320"/>
        <v>1+0.770308853035947i</v>
      </c>
      <c r="AX373">
        <f t="shared" si="344"/>
        <v>1.2622898752131209</v>
      </c>
      <c r="AY373">
        <f t="shared" si="345"/>
        <v>0.65637258259545705</v>
      </c>
      <c r="AZ373" t="str">
        <f t="shared" si="321"/>
        <v>1+26.1905010032222i</v>
      </c>
      <c r="BA373">
        <f t="shared" si="346"/>
        <v>26.209584941387053</v>
      </c>
      <c r="BB373">
        <f t="shared" si="347"/>
        <v>1.5326330829910881</v>
      </c>
      <c r="BC373" s="41" t="str">
        <f t="shared" si="348"/>
        <v>-0.350792739265584+0.292206967099587i</v>
      </c>
      <c r="BD373">
        <f t="shared" si="349"/>
        <v>-6.8101798219411647</v>
      </c>
      <c r="BE373" s="43">
        <f t="shared" si="350"/>
        <v>140.20602842669123</v>
      </c>
      <c r="BF373" s="41" t="str">
        <f t="shared" si="351"/>
        <v>0.160801204893248+0.174408516738049i</v>
      </c>
      <c r="BG373" s="20">
        <f t="shared" si="352"/>
        <v>-12.496817319321543</v>
      </c>
      <c r="BH373" s="43">
        <f t="shared" si="353"/>
        <v>47.324555864174414</v>
      </c>
      <c r="BI373" s="41" t="str">
        <f t="shared" si="357"/>
        <v>0.0763566440401705+1.04027510314015i</v>
      </c>
      <c r="BJ373" s="20">
        <f t="shared" si="354"/>
        <v>0.36629944095180605</v>
      </c>
      <c r="BK373" s="43">
        <f t="shared" si="358"/>
        <v>85.801993210591732</v>
      </c>
      <c r="BL373">
        <f t="shared" si="355"/>
        <v>-12.496817319321543</v>
      </c>
      <c r="BM373" s="43">
        <f t="shared" si="356"/>
        <v>47.324555864174414</v>
      </c>
    </row>
    <row r="374" spans="14:65" x14ac:dyDescent="0.25">
      <c r="N374" s="9">
        <v>56</v>
      </c>
      <c r="O374" s="34">
        <f t="shared" si="308"/>
        <v>36307.805477010232</v>
      </c>
      <c r="P374" s="33" t="str">
        <f t="shared" si="309"/>
        <v>19.1021967526266</v>
      </c>
      <c r="Q374" s="4" t="str">
        <f t="shared" si="310"/>
        <v>1+51.2036651658405i</v>
      </c>
      <c r="R374" s="4">
        <f t="shared" si="322"/>
        <v>51.213429160870568</v>
      </c>
      <c r="S374" s="4">
        <f t="shared" si="323"/>
        <v>1.5512689572701419</v>
      </c>
      <c r="T374" s="4" t="str">
        <f t="shared" si="311"/>
        <v>1+0.857763798858158i</v>
      </c>
      <c r="U374" s="4">
        <f t="shared" si="324"/>
        <v>1.3174819674787122</v>
      </c>
      <c r="V374" s="4">
        <f t="shared" si="325"/>
        <v>0.70898411695494357</v>
      </c>
      <c r="W374" t="str">
        <f t="shared" si="312"/>
        <v>1-0.475268062310594i</v>
      </c>
      <c r="X374" s="4">
        <f t="shared" si="326"/>
        <v>1.1071945317117795</v>
      </c>
      <c r="Y374" s="4">
        <f t="shared" si="327"/>
        <v>-0.44366702848325523</v>
      </c>
      <c r="Z374" t="str">
        <f t="shared" si="313"/>
        <v>0.998681743261444+0.353599438359082i</v>
      </c>
      <c r="AA374" s="4">
        <f t="shared" si="328"/>
        <v>1.0594327666877097</v>
      </c>
      <c r="AB374" s="4">
        <f t="shared" si="329"/>
        <v>0.34029265633556371</v>
      </c>
      <c r="AC374" s="47" t="str">
        <f t="shared" si="330"/>
        <v>-0.0284616153604205-0.51277483838999i</v>
      </c>
      <c r="AD374" s="20">
        <f t="shared" si="331"/>
        <v>-5.7881066284969442</v>
      </c>
      <c r="AE374" s="43">
        <f t="shared" si="332"/>
        <v>-93.176947746435857</v>
      </c>
      <c r="AF374" t="str">
        <f t="shared" si="314"/>
        <v>69.5520360182888</v>
      </c>
      <c r="AG374" t="str">
        <f t="shared" si="315"/>
        <v>1+40.8458951837219i</v>
      </c>
      <c r="AH374">
        <f t="shared" si="333"/>
        <v>40.858134482127248</v>
      </c>
      <c r="AI374">
        <f t="shared" si="334"/>
        <v>1.5463189521757508</v>
      </c>
      <c r="AJ374" t="str">
        <f t="shared" si="316"/>
        <v>1+0.857763798858158i</v>
      </c>
      <c r="AK374">
        <f t="shared" si="335"/>
        <v>1.3174819674787122</v>
      </c>
      <c r="AL374">
        <f t="shared" si="336"/>
        <v>0.70898411695494357</v>
      </c>
      <c r="AM374" t="str">
        <f t="shared" si="317"/>
        <v>1-0.104126015435713i</v>
      </c>
      <c r="AN374">
        <f t="shared" si="337"/>
        <v>1.0054064984326083</v>
      </c>
      <c r="AO374">
        <f t="shared" si="338"/>
        <v>-0.10375212541693266</v>
      </c>
      <c r="AP374" s="41" t="str">
        <f t="shared" si="339"/>
        <v>1.32790354961187-1.82236694419767i</v>
      </c>
      <c r="AQ374">
        <f t="shared" si="340"/>
        <v>7.0623536369749473</v>
      </c>
      <c r="AR374" s="43">
        <f t="shared" si="341"/>
        <v>-53.920310999336877</v>
      </c>
      <c r="AS374" t="str">
        <f t="shared" si="318"/>
        <v>-0.0000166666666666667</v>
      </c>
      <c r="AT374" t="str">
        <f t="shared" si="319"/>
        <v>0.00077563747769089i</v>
      </c>
      <c r="AU374">
        <f t="shared" si="342"/>
        <v>7.7563747769089002E-4</v>
      </c>
      <c r="AV374">
        <f t="shared" si="343"/>
        <v>1.5707963267948966</v>
      </c>
      <c r="AW374" t="str">
        <f t="shared" si="320"/>
        <v>1+0.788251651203509i</v>
      </c>
      <c r="AX374">
        <f t="shared" si="344"/>
        <v>1.2733187604151046</v>
      </c>
      <c r="AY374">
        <f t="shared" si="345"/>
        <v>0.66753614889799107</v>
      </c>
      <c r="AZ374" t="str">
        <f t="shared" si="321"/>
        <v>1+26.8005561409193i</v>
      </c>
      <c r="BA374">
        <f t="shared" si="346"/>
        <v>26.819205981209947</v>
      </c>
      <c r="BB374">
        <f t="shared" si="347"/>
        <v>1.5335009697933415</v>
      </c>
      <c r="BC374" s="41" t="str">
        <f t="shared" si="348"/>
        <v>-0.344742254683852+0.293231353089356i</v>
      </c>
      <c r="BD374">
        <f t="shared" si="349"/>
        <v>-6.8860251549171885</v>
      </c>
      <c r="BE374" s="43">
        <f t="shared" si="350"/>
        <v>139.61612944410578</v>
      </c>
      <c r="BF374" s="41" t="str">
        <f t="shared" si="351"/>
        <v>0.160173581142569+0.168429315948468i</v>
      </c>
      <c r="BG374" s="20">
        <f t="shared" si="352"/>
        <v>-12.674131783414124</v>
      </c>
      <c r="BH374" s="43">
        <f t="shared" si="353"/>
        <v>46.439181697669824</v>
      </c>
      <c r="BI374" s="41" t="str">
        <f t="shared" si="357"/>
        <v>0.0765906611765113+1.01762984382887i</v>
      </c>
      <c r="BJ374" s="20">
        <f t="shared" si="354"/>
        <v>0.1763284820577293</v>
      </c>
      <c r="BK374" s="43">
        <f t="shared" si="358"/>
        <v>85.695818444768904</v>
      </c>
      <c r="BL374">
        <f t="shared" si="355"/>
        <v>-12.674131783414124</v>
      </c>
      <c r="BM374" s="43">
        <f t="shared" si="356"/>
        <v>46.439181697669824</v>
      </c>
    </row>
    <row r="375" spans="14:65" x14ac:dyDescent="0.25">
      <c r="N375" s="9">
        <v>57</v>
      </c>
      <c r="O375" s="34">
        <f t="shared" si="308"/>
        <v>37153.522909717351</v>
      </c>
      <c r="P375" s="33" t="str">
        <f t="shared" si="309"/>
        <v>19.1021967526266</v>
      </c>
      <c r="Q375" s="4" t="str">
        <f t="shared" si="310"/>
        <v>1+52.3963517432947i</v>
      </c>
      <c r="R375" s="4">
        <f t="shared" si="322"/>
        <v>52.405893523601534</v>
      </c>
      <c r="S375" s="4">
        <f t="shared" si="323"/>
        <v>1.5517133453074798</v>
      </c>
      <c r="T375" s="4" t="str">
        <f t="shared" si="311"/>
        <v>1+0.877743684403672i</v>
      </c>
      <c r="U375" s="4">
        <f t="shared" si="324"/>
        <v>1.3305765575533537</v>
      </c>
      <c r="V375" s="4">
        <f t="shared" si="325"/>
        <v>0.72038183349158413</v>
      </c>
      <c r="W375" t="str">
        <f t="shared" si="312"/>
        <v>1-0.486338477617283i</v>
      </c>
      <c r="X375" s="4">
        <f t="shared" si="326"/>
        <v>1.1119915084258047</v>
      </c>
      <c r="Y375" s="4">
        <f t="shared" si="327"/>
        <v>-0.45265878136911908</v>
      </c>
      <c r="Z375" t="str">
        <f t="shared" si="313"/>
        <v>0.998619615735397+0.361835827347259i</v>
      </c>
      <c r="AA375" s="4">
        <f t="shared" si="328"/>
        <v>1.0621517325145158</v>
      </c>
      <c r="AB375" s="4">
        <f t="shared" si="329"/>
        <v>0.3476220192650073</v>
      </c>
      <c r="AC375" s="47" t="str">
        <f t="shared" si="330"/>
        <v>-0.0308608557709361-0.506820680406442i</v>
      </c>
      <c r="AD375" s="20">
        <f t="shared" si="331"/>
        <v>-5.8868407898148138</v>
      </c>
      <c r="AE375" s="43">
        <f t="shared" si="332"/>
        <v>-93.484499304966803</v>
      </c>
      <c r="AF375" t="str">
        <f t="shared" si="314"/>
        <v>69.5520360182888</v>
      </c>
      <c r="AG375" t="str">
        <f t="shared" si="315"/>
        <v>1+41.7973183049368i</v>
      </c>
      <c r="AH375">
        <f t="shared" si="333"/>
        <v>41.809279083526484</v>
      </c>
      <c r="AI375">
        <f t="shared" si="334"/>
        <v>1.5468759102587413</v>
      </c>
      <c r="AJ375" t="str">
        <f t="shared" si="316"/>
        <v>1+0.877743684403672i</v>
      </c>
      <c r="AK375">
        <f t="shared" si="335"/>
        <v>1.3305765575533537</v>
      </c>
      <c r="AL375">
        <f t="shared" si="336"/>
        <v>0.72038183349158413</v>
      </c>
      <c r="AM375" t="str">
        <f t="shared" si="317"/>
        <v>1-0.106551421909483i</v>
      </c>
      <c r="AN375">
        <f t="shared" si="337"/>
        <v>1.0056605816630841</v>
      </c>
      <c r="AO375">
        <f t="shared" si="338"/>
        <v>-0.10615091322758555</v>
      </c>
      <c r="AP375" s="41" t="str">
        <f t="shared" si="339"/>
        <v>1.3260641473175-1.78793324017282i</v>
      </c>
      <c r="AQ375">
        <f t="shared" si="340"/>
        <v>6.9505692796854754</v>
      </c>
      <c r="AR375" s="43">
        <f t="shared" si="341"/>
        <v>-53.436621710719699</v>
      </c>
      <c r="AS375" t="str">
        <f t="shared" si="318"/>
        <v>-0.0000166666666666667</v>
      </c>
      <c r="AT375" t="str">
        <f t="shared" si="319"/>
        <v>0.000793704395471407i</v>
      </c>
      <c r="AU375">
        <f t="shared" si="342"/>
        <v>7.9370439547140703E-4</v>
      </c>
      <c r="AV375">
        <f t="shared" si="343"/>
        <v>1.5707963267948966</v>
      </c>
      <c r="AW375" t="str">
        <f t="shared" si="320"/>
        <v>1+0.806612390830284i</v>
      </c>
      <c r="AX375">
        <f t="shared" si="344"/>
        <v>1.2847659510747267</v>
      </c>
      <c r="AY375">
        <f t="shared" si="345"/>
        <v>0.67875990275940712</v>
      </c>
      <c r="AZ375" t="str">
        <f t="shared" si="321"/>
        <v>1+27.4248212882296i</v>
      </c>
      <c r="BA375">
        <f t="shared" si="346"/>
        <v>27.443046891541243</v>
      </c>
      <c r="BB375">
        <f t="shared" si="347"/>
        <v>1.5343491553982946</v>
      </c>
      <c r="BC375" s="41" t="str">
        <f t="shared" si="348"/>
        <v>-0.338626355478184+0.294138795982014i</v>
      </c>
      <c r="BD375">
        <f t="shared" si="349"/>
        <v>-6.9640345298252724</v>
      </c>
      <c r="BE375" s="43">
        <f t="shared" si="350"/>
        <v>139.02165317296055</v>
      </c>
      <c r="BF375" s="41" t="str">
        <f t="shared" si="351"/>
        <v>0.159525923830186+0.162545464927569i</v>
      </c>
      <c r="BG375" s="20">
        <f t="shared" si="352"/>
        <v>-12.850875319640092</v>
      </c>
      <c r="BH375" s="43">
        <f t="shared" si="353"/>
        <v>45.537153867993695</v>
      </c>
      <c r="BI375" s="41" t="str">
        <f t="shared" si="357"/>
        <v>0.0768602612242436+0.995488228644908i</v>
      </c>
      <c r="BJ375" s="20">
        <f t="shared" si="354"/>
        <v>-1.3465250139800438E-2</v>
      </c>
      <c r="BK375" s="43">
        <f t="shared" si="358"/>
        <v>85.585031462240849</v>
      </c>
      <c r="BL375">
        <f t="shared" si="355"/>
        <v>-12.850875319640092</v>
      </c>
      <c r="BM375" s="43">
        <f t="shared" si="356"/>
        <v>45.537153867993695</v>
      </c>
    </row>
    <row r="376" spans="14:65" x14ac:dyDescent="0.25">
      <c r="N376" s="9">
        <v>58</v>
      </c>
      <c r="O376" s="34">
        <f t="shared" si="308"/>
        <v>38018.939632056143</v>
      </c>
      <c r="P376" s="33" t="str">
        <f t="shared" si="309"/>
        <v>19.1021967526266</v>
      </c>
      <c r="Q376" s="4" t="str">
        <f t="shared" si="310"/>
        <v>1+53.6168195599909i</v>
      </c>
      <c r="R376" s="4">
        <f t="shared" si="322"/>
        <v>53.626144181067346</v>
      </c>
      <c r="S376" s="4">
        <f t="shared" si="323"/>
        <v>1.5521476251220552</v>
      </c>
      <c r="T376" s="4" t="str">
        <f t="shared" si="311"/>
        <v>1+0.898188961268967i</v>
      </c>
      <c r="U376" s="4">
        <f t="shared" si="324"/>
        <v>1.3441515577290479</v>
      </c>
      <c r="V376" s="4">
        <f t="shared" si="325"/>
        <v>0.73181362639135372</v>
      </c>
      <c r="W376" t="str">
        <f t="shared" si="312"/>
        <v>1-0.497666756022256i</v>
      </c>
      <c r="X376" s="4">
        <f t="shared" si="326"/>
        <v>1.1169924798536988</v>
      </c>
      <c r="Y376" s="4">
        <f t="shared" si="327"/>
        <v>-0.46177927227634397</v>
      </c>
      <c r="Z376" t="str">
        <f t="shared" si="313"/>
        <v>0.998554560229254+0.370264066480558i</v>
      </c>
      <c r="AA376" s="4">
        <f t="shared" si="328"/>
        <v>1.0649914031020897</v>
      </c>
      <c r="AB376" s="4">
        <f t="shared" si="329"/>
        <v>0.35508343501493927</v>
      </c>
      <c r="AC376" s="47" t="str">
        <f t="shared" si="330"/>
        <v>-0.0333204230956547-0.50107302176146i</v>
      </c>
      <c r="AD376" s="20">
        <f t="shared" si="331"/>
        <v>-5.9828174129965408</v>
      </c>
      <c r="AE376" s="43">
        <f t="shared" si="332"/>
        <v>-93.804461487780273</v>
      </c>
      <c r="AF376" t="str">
        <f t="shared" si="314"/>
        <v>69.5520360182888</v>
      </c>
      <c r="AG376" t="str">
        <f t="shared" si="315"/>
        <v>1+42.7709029175699i</v>
      </c>
      <c r="AH376">
        <f t="shared" si="333"/>
        <v>42.782591510849244</v>
      </c>
      <c r="AI376">
        <f t="shared" si="334"/>
        <v>1.5474202047710672</v>
      </c>
      <c r="AJ376" t="str">
        <f t="shared" si="316"/>
        <v>1+0.898188961268967i</v>
      </c>
      <c r="AK376">
        <f t="shared" si="335"/>
        <v>1.3441515577290479</v>
      </c>
      <c r="AL376">
        <f t="shared" si="336"/>
        <v>0.73181362639135372</v>
      </c>
      <c r="AM376" t="str">
        <f t="shared" si="317"/>
        <v>1-0.109033323357524i</v>
      </c>
      <c r="AN376">
        <f t="shared" si="337"/>
        <v>1.0059265706811737</v>
      </c>
      <c r="AO376">
        <f t="shared" si="338"/>
        <v>-0.10860430701185311</v>
      </c>
      <c r="AP376" s="41" t="str">
        <f t="shared" si="339"/>
        <v>1.32430743917204-1.75444356179045i</v>
      </c>
      <c r="AQ376">
        <f t="shared" si="340"/>
        <v>6.8411455855598042</v>
      </c>
      <c r="AR376" s="43">
        <f t="shared" si="341"/>
        <v>-52.953383112985705</v>
      </c>
      <c r="AS376" t="str">
        <f t="shared" si="318"/>
        <v>-0.0000166666666666667</v>
      </c>
      <c r="AT376" t="str">
        <f t="shared" si="319"/>
        <v>0.000812192145828322i</v>
      </c>
      <c r="AU376">
        <f t="shared" si="342"/>
        <v>8.1219214582832196E-4</v>
      </c>
      <c r="AV376">
        <f t="shared" si="343"/>
        <v>1.5707963267948966</v>
      </c>
      <c r="AW376" t="str">
        <f t="shared" si="320"/>
        <v>1+0.825400807023454i</v>
      </c>
      <c r="AX376">
        <f t="shared" si="344"/>
        <v>1.2966443198637663</v>
      </c>
      <c r="AY376">
        <f t="shared" si="345"/>
        <v>0.69003848470202245</v>
      </c>
      <c r="AZ376" t="str">
        <f t="shared" si="321"/>
        <v>1+28.0636274387974i</v>
      </c>
      <c r="BA376">
        <f t="shared" si="346"/>
        <v>28.081438442922089</v>
      </c>
      <c r="BB376">
        <f t="shared" si="347"/>
        <v>1.5351780846407901</v>
      </c>
      <c r="BC376" s="41" t="str">
        <f t="shared" si="348"/>
        <v>-0.332450560484302+0.294925556633189i</v>
      </c>
      <c r="BD376">
        <f t="shared" si="349"/>
        <v>-7.0442309472057456</v>
      </c>
      <c r="BE376" s="43">
        <f t="shared" si="350"/>
        <v>138.42293217586621</v>
      </c>
      <c r="BF376" s="41" t="str">
        <f t="shared" si="351"/>
        <v>0.158856633190597+0.156754962599421i</v>
      </c>
      <c r="BG376" s="20">
        <f t="shared" si="352"/>
        <v>-13.027048360202285</v>
      </c>
      <c r="BH376" s="43">
        <f t="shared" si="353"/>
        <v>44.618470688085971</v>
      </c>
      <c r="BI376" s="41" t="str">
        <f t="shared" si="357"/>
        <v>0.0771634936362878+0.973837854106597i</v>
      </c>
      <c r="BJ376" s="20">
        <f t="shared" si="354"/>
        <v>-0.20308536164594193</v>
      </c>
      <c r="BK376" s="43">
        <f t="shared" si="358"/>
        <v>85.469549062880503</v>
      </c>
      <c r="BL376">
        <f t="shared" si="355"/>
        <v>-13.027048360202285</v>
      </c>
      <c r="BM376" s="43">
        <f t="shared" si="356"/>
        <v>44.618470688085971</v>
      </c>
    </row>
    <row r="377" spans="14:65" x14ac:dyDescent="0.25">
      <c r="N377" s="9">
        <v>59</v>
      </c>
      <c r="O377" s="34">
        <f t="shared" si="308"/>
        <v>38904.514499428085</v>
      </c>
      <c r="P377" s="33" t="str">
        <f t="shared" si="309"/>
        <v>19.1021967526266</v>
      </c>
      <c r="Q377" s="4" t="str">
        <f t="shared" si="310"/>
        <v>1+54.8657157241204i</v>
      </c>
      <c r="R377" s="4">
        <f t="shared" si="322"/>
        <v>54.874828126564488</v>
      </c>
      <c r="S377" s="4">
        <f t="shared" si="323"/>
        <v>1.55257202631916</v>
      </c>
      <c r="T377" s="4" t="str">
        <f t="shared" si="311"/>
        <v>1+0.919110469810464i</v>
      </c>
      <c r="U377" s="4">
        <f t="shared" si="324"/>
        <v>1.3582209156522409</v>
      </c>
      <c r="V377" s="4">
        <f t="shared" si="325"/>
        <v>0.74327360609474047</v>
      </c>
      <c r="W377" t="str">
        <f t="shared" si="312"/>
        <v>1-0.509258903928671i</v>
      </c>
      <c r="X377" s="4">
        <f t="shared" si="326"/>
        <v>1.1222052536103329</v>
      </c>
      <c r="Y377" s="4">
        <f t="shared" si="327"/>
        <v>-0.47102726666435768</v>
      </c>
      <c r="Z377" t="str">
        <f t="shared" si="313"/>
        <v>0.998486438751564+0.378888624522931i</v>
      </c>
      <c r="AA377" s="4">
        <f t="shared" si="328"/>
        <v>1.0679568147465792</v>
      </c>
      <c r="AB377" s="4">
        <f t="shared" si="329"/>
        <v>0.36267765414257164</v>
      </c>
      <c r="AC377" s="47" t="str">
        <f t="shared" si="330"/>
        <v>-0.0358427308915569-0.495525492888643i</v>
      </c>
      <c r="AD377" s="20">
        <f t="shared" si="331"/>
        <v>-6.0760167768393512</v>
      </c>
      <c r="AE377" s="43">
        <f t="shared" si="332"/>
        <v>-94.137157166989766</v>
      </c>
      <c r="AF377" t="str">
        <f t="shared" si="314"/>
        <v>69.5520360182888</v>
      </c>
      <c r="AG377" t="str">
        <f t="shared" si="315"/>
        <v>1+43.7671652290698i</v>
      </c>
      <c r="AH377">
        <f t="shared" si="333"/>
        <v>43.778587827712037</v>
      </c>
      <c r="AI377">
        <f t="shared" si="334"/>
        <v>1.547952123014138</v>
      </c>
      <c r="AJ377" t="str">
        <f t="shared" si="316"/>
        <v>1+0.919110469810464i</v>
      </c>
      <c r="AK377">
        <f t="shared" si="335"/>
        <v>1.3582209156522409</v>
      </c>
      <c r="AL377">
        <f t="shared" si="336"/>
        <v>0.74327360609474047</v>
      </c>
      <c r="AM377" t="str">
        <f t="shared" si="317"/>
        <v>1-0.111573035716836i</v>
      </c>
      <c r="AN377">
        <f t="shared" si="337"/>
        <v>1.0062050200128552</v>
      </c>
      <c r="AO377">
        <f t="shared" si="338"/>
        <v>-0.11111348938869633</v>
      </c>
      <c r="AP377" s="41" t="str">
        <f t="shared" si="339"/>
        <v>1.32262971146622-1.72188041642225i</v>
      </c>
      <c r="AQ377">
        <f t="shared" si="340"/>
        <v>6.7340998624310364</v>
      </c>
      <c r="AR377" s="43">
        <f t="shared" si="341"/>
        <v>-52.471016873271743</v>
      </c>
      <c r="AS377" t="str">
        <f t="shared" si="318"/>
        <v>-0.0000166666666666667</v>
      </c>
      <c r="AT377" t="str">
        <f t="shared" si="319"/>
        <v>0.00083111053121159i</v>
      </c>
      <c r="AU377">
        <f t="shared" si="342"/>
        <v>8.3111053121159005E-4</v>
      </c>
      <c r="AV377">
        <f t="shared" si="343"/>
        <v>1.5707963267948966</v>
      </c>
      <c r="AW377" t="str">
        <f t="shared" si="320"/>
        <v>1+0.84462686164998i</v>
      </c>
      <c r="AX377">
        <f t="shared" si="344"/>
        <v>1.3089669726240973</v>
      </c>
      <c r="AY377">
        <f t="shared" si="345"/>
        <v>0.70136639782353183</v>
      </c>
      <c r="AZ377" t="str">
        <f t="shared" si="321"/>
        <v>1+28.7173132960993i</v>
      </c>
      <c r="BA377">
        <f t="shared" si="346"/>
        <v>28.734719120713912</v>
      </c>
      <c r="BB377">
        <f t="shared" si="347"/>
        <v>1.5359881924708669</v>
      </c>
      <c r="BC377" s="41" t="str">
        <f t="shared" si="348"/>
        <v>-0.326220625269452+0.295588192854784i</v>
      </c>
      <c r="BD377">
        <f t="shared" si="349"/>
        <v>-7.1266353642477229</v>
      </c>
      <c r="BE377" s="43">
        <f t="shared" si="350"/>
        <v>137.82030632292674</v>
      </c>
      <c r="BF377" s="41" t="str">
        <f t="shared" si="351"/>
        <v>0.158164123039239+0.151055948075871i</v>
      </c>
      <c r="BG377" s="20">
        <f t="shared" si="352"/>
        <v>-13.202652141087059</v>
      </c>
      <c r="BH377" s="43">
        <f t="shared" si="353"/>
        <v>43.683149155936903</v>
      </c>
      <c r="BI377" s="41" t="str">
        <f t="shared" si="357"/>
        <v>0.0774984291278307+0.952666632312835i</v>
      </c>
      <c r="BJ377" s="20">
        <f t="shared" si="354"/>
        <v>-0.39253550181668917</v>
      </c>
      <c r="BK377" s="43">
        <f t="shared" si="358"/>
        <v>85.349289449655018</v>
      </c>
      <c r="BL377">
        <f t="shared" si="355"/>
        <v>-13.202652141087059</v>
      </c>
      <c r="BM377" s="43">
        <f t="shared" si="356"/>
        <v>43.683149155936903</v>
      </c>
    </row>
    <row r="378" spans="14:65" x14ac:dyDescent="0.25">
      <c r="N378" s="9">
        <v>60</v>
      </c>
      <c r="O378" s="34">
        <f t="shared" si="308"/>
        <v>39810.717055349742</v>
      </c>
      <c r="P378" s="33" t="str">
        <f t="shared" si="309"/>
        <v>19.1021967526266</v>
      </c>
      <c r="Q378" s="4" t="str">
        <f t="shared" si="310"/>
        <v>1+56.1437024169603i</v>
      </c>
      <c r="R378" s="4">
        <f t="shared" si="322"/>
        <v>56.152607429078422</v>
      </c>
      <c r="S378" s="4">
        <f t="shared" si="323"/>
        <v>1.5529867733100435</v>
      </c>
      <c r="T378" s="4" t="str">
        <f t="shared" si="311"/>
        <v>1+0.940519302888917i</v>
      </c>
      <c r="U378" s="4">
        <f t="shared" si="324"/>
        <v>1.3727988050354116</v>
      </c>
      <c r="V378" s="4">
        <f t="shared" si="325"/>
        <v>0.75475580940809406</v>
      </c>
      <c r="W378" t="str">
        <f t="shared" si="312"/>
        <v>1-0.521121067646785i</v>
      </c>
      <c r="X378" s="4">
        <f t="shared" si="326"/>
        <v>1.1276378705707453</v>
      </c>
      <c r="Y378" s="4">
        <f t="shared" si="327"/>
        <v>-0.48040133950667657</v>
      </c>
      <c r="Z378" t="str">
        <f t="shared" si="313"/>
        <v>0.998415106807539+0.387714074329208i</v>
      </c>
      <c r="AA378" s="4">
        <f t="shared" si="328"/>
        <v>1.0710531867906767</v>
      </c>
      <c r="AB378" s="4">
        <f t="shared" si="329"/>
        <v>0.37040532408860766</v>
      </c>
      <c r="AC378" s="47" t="str">
        <f t="shared" si="330"/>
        <v>-0.0384301218785327-0.490171690288955i</v>
      </c>
      <c r="AD378" s="20">
        <f t="shared" si="331"/>
        <v>-6.1664221179375005</v>
      </c>
      <c r="AE378" s="43">
        <f t="shared" si="332"/>
        <v>-94.482896313857836</v>
      </c>
      <c r="AF378" t="str">
        <f t="shared" si="314"/>
        <v>69.5520360182888</v>
      </c>
      <c r="AG378" t="str">
        <f t="shared" si="315"/>
        <v>1+44.7866334709009i</v>
      </c>
      <c r="AH378">
        <f t="shared" si="333"/>
        <v>44.797796124997284</v>
      </c>
      <c r="AI378">
        <f t="shared" si="334"/>
        <v>1.5484719458133616</v>
      </c>
      <c r="AJ378" t="str">
        <f t="shared" si="316"/>
        <v>1+0.940519302888917i</v>
      </c>
      <c r="AK378">
        <f t="shared" si="335"/>
        <v>1.3727988050354116</v>
      </c>
      <c r="AL378">
        <f t="shared" si="336"/>
        <v>0.75475580940809406</v>
      </c>
      <c r="AM378" t="str">
        <f t="shared" si="317"/>
        <v>1-0.114171905576528i</v>
      </c>
      <c r="AN378">
        <f t="shared" si="337"/>
        <v>1.0064965096923961</v>
      </c>
      <c r="AO378">
        <f t="shared" si="338"/>
        <v>-0.1136796643087768</v>
      </c>
      <c r="AP378" s="41" t="str">
        <f t="shared" si="339"/>
        <v>1.32102741691979-1.69022678510733i</v>
      </c>
      <c r="AQ378">
        <f t="shared" si="340"/>
        <v>6.6294472892690104</v>
      </c>
      <c r="AR378" s="43">
        <f t="shared" si="341"/>
        <v>-51.989949728808782</v>
      </c>
      <c r="AS378" t="str">
        <f t="shared" si="318"/>
        <v>-0.0000166666666666667</v>
      </c>
      <c r="AT378" t="str">
        <f t="shared" si="319"/>
        <v>0.000850469582399555i</v>
      </c>
      <c r="AU378">
        <f t="shared" si="342"/>
        <v>8.5046958239955498E-4</v>
      </c>
      <c r="AV378">
        <f t="shared" si="343"/>
        <v>1.5707963267948966</v>
      </c>
      <c r="AW378" t="str">
        <f t="shared" si="320"/>
        <v>1+0.864300748618508i</v>
      </c>
      <c r="AX378">
        <f t="shared" si="344"/>
        <v>1.3217472466634888</v>
      </c>
      <c r="AY378">
        <f t="shared" si="345"/>
        <v>0.71273802018629895</v>
      </c>
      <c r="AZ378" t="str">
        <f t="shared" si="321"/>
        <v>1+29.3862254530293i</v>
      </c>
      <c r="BA378">
        <f t="shared" si="346"/>
        <v>29.403235304576047</v>
      </c>
      <c r="BB378">
        <f t="shared" si="347"/>
        <v>1.5367799041627637</v>
      </c>
      <c r="BC378" s="41" t="str">
        <f t="shared" si="348"/>
        <v>-0.319942522430124+0.296123578418907i</v>
      </c>
      <c r="BD378">
        <f t="shared" si="349"/>
        <v>-7.2112666146966609</v>
      </c>
      <c r="BE378" s="43">
        <f t="shared" si="350"/>
        <v>137.21412209386054</v>
      </c>
      <c r="BF378" s="41" t="str">
        <f t="shared" si="351"/>
        <v>0.157446825099124+0.14544670180514i</v>
      </c>
      <c r="BG378" s="20">
        <f t="shared" si="352"/>
        <v>-13.377688732634173</v>
      </c>
      <c r="BH378" s="43">
        <f t="shared" si="353"/>
        <v>42.731225780002774</v>
      </c>
      <c r="BI378" s="41" t="str">
        <f t="shared" si="357"/>
        <v>0.0778631599767989+0.931962786993972i</v>
      </c>
      <c r="BJ378" s="20">
        <f t="shared" si="354"/>
        <v>-0.58181932542764869</v>
      </c>
      <c r="BK378" s="43">
        <f t="shared" si="358"/>
        <v>85.224172365051757</v>
      </c>
      <c r="BL378">
        <f t="shared" si="355"/>
        <v>-13.377688732634173</v>
      </c>
      <c r="BM378" s="43">
        <f t="shared" si="356"/>
        <v>42.731225780002774</v>
      </c>
    </row>
    <row r="379" spans="14:65" x14ac:dyDescent="0.25">
      <c r="N379" s="9">
        <v>61</v>
      </c>
      <c r="O379" s="34">
        <f t="shared" si="308"/>
        <v>40738.027780411358</v>
      </c>
      <c r="P379" s="33" t="str">
        <f t="shared" si="309"/>
        <v>19.1021967526266</v>
      </c>
      <c r="Q379" s="4" t="str">
        <f t="shared" si="310"/>
        <v>1+57.4514572439715i</v>
      </c>
      <c r="R379" s="4">
        <f t="shared" si="322"/>
        <v>57.460159584323165</v>
      </c>
      <c r="S379" s="4">
        <f t="shared" si="323"/>
        <v>1.5533920854279806</v>
      </c>
      <c r="T379" s="4" t="str">
        <f t="shared" si="311"/>
        <v>1+0.96242681175101i</v>
      </c>
      <c r="U379" s="4">
        <f t="shared" si="324"/>
        <v>1.3878996246044646</v>
      </c>
      <c r="V379" s="4">
        <f t="shared" si="325"/>
        <v>0.76625421477407696</v>
      </c>
      <c r="W379" t="str">
        <f t="shared" si="312"/>
        <v>1-0.533259536652821i</v>
      </c>
      <c r="X379" s="4">
        <f t="shared" si="326"/>
        <v>1.1332986073542937</v>
      </c>
      <c r="Y379" s="4">
        <f t="shared" si="327"/>
        <v>-0.48989987033018584</v>
      </c>
      <c r="Z379" t="str">
        <f t="shared" si="313"/>
        <v>0.998340413092562+0.396745095269699i</v>
      </c>
      <c r="AA379" s="4">
        <f t="shared" si="328"/>
        <v>1.0742859261083104</v>
      </c>
      <c r="AB379" s="4">
        <f t="shared" si="329"/>
        <v>0.37826698253275737</v>
      </c>
      <c r="AC379" s="47" t="str">
        <f t="shared" si="330"/>
        <v>-0.0410848609443029-0.485005172373133i</v>
      </c>
      <c r="AD379" s="20">
        <f t="shared" si="331"/>
        <v>-6.2540197332871914</v>
      </c>
      <c r="AE379" s="43">
        <f t="shared" si="332"/>
        <v>-94.841974465584897</v>
      </c>
      <c r="AF379" t="str">
        <f t="shared" si="314"/>
        <v>69.5520360182888</v>
      </c>
      <c r="AG379" t="str">
        <f t="shared" si="315"/>
        <v>1+45.8298481786196i</v>
      </c>
      <c r="AH379">
        <f t="shared" si="333"/>
        <v>45.840756800857051</v>
      </c>
      <c r="AI379">
        <f t="shared" si="334"/>
        <v>1.5489799476613084</v>
      </c>
      <c r="AJ379" t="str">
        <f t="shared" si="316"/>
        <v>1+0.96242681175101i</v>
      </c>
      <c r="AK379">
        <f t="shared" si="335"/>
        <v>1.3878996246044646</v>
      </c>
      <c r="AL379">
        <f t="shared" si="336"/>
        <v>0.76625421477407696</v>
      </c>
      <c r="AM379" t="str">
        <f t="shared" si="317"/>
        <v>1-0.116831310891801i</v>
      </c>
      <c r="AN379">
        <f t="shared" si="337"/>
        <v>1.0068016464054361</v>
      </c>
      <c r="AO379">
        <f t="shared" si="338"/>
        <v>-0.11630405712748981</v>
      </c>
      <c r="AP379" s="41" t="str">
        <f t="shared" si="339"/>
        <v>1.31949716725384-1.65946611469938i</v>
      </c>
      <c r="AQ379">
        <f t="shared" si="340"/>
        <v>6.5272008836676312</v>
      </c>
      <c r="AR379" s="43">
        <f t="shared" si="341"/>
        <v>-51.510612624376165</v>
      </c>
      <c r="AS379" t="str">
        <f t="shared" si="318"/>
        <v>-0.0000166666666666667</v>
      </c>
      <c r="AT379" t="str">
        <f t="shared" si="319"/>
        <v>0.000870279563817405i</v>
      </c>
      <c r="AU379">
        <f t="shared" si="342"/>
        <v>8.7027956381740504E-4</v>
      </c>
      <c r="AV379">
        <f t="shared" si="343"/>
        <v>1.5707963267948966</v>
      </c>
      <c r="AW379" t="str">
        <f t="shared" si="320"/>
        <v>1+0.88443289928433i</v>
      </c>
      <c r="AX379">
        <f t="shared" si="344"/>
        <v>1.3349987091141646</v>
      </c>
      <c r="AY379">
        <f t="shared" si="345"/>
        <v>0.72414761796307736</v>
      </c>
      <c r="AZ379" t="str">
        <f t="shared" si="321"/>
        <v>1+30.0707185756672i</v>
      </c>
      <c r="BA379">
        <f t="shared" si="346"/>
        <v>30.087341452128609</v>
      </c>
      <c r="BB379">
        <f t="shared" si="347"/>
        <v>1.5375536355202251</v>
      </c>
      <c r="BC379" s="41" t="str">
        <f t="shared" si="348"/>
        <v>-0.313622420081164+0.296528920478002i</v>
      </c>
      <c r="BD379">
        <f t="shared" si="349"/>
        <v>-7.2981413360888698</v>
      </c>
      <c r="BE379" s="43">
        <f t="shared" si="350"/>
        <v>136.60473183656867</v>
      </c>
      <c r="BF379" s="41" t="str">
        <f t="shared" si="351"/>
        <v>0.156703193708103+0.139925646447741i</v>
      </c>
      <c r="BG379" s="20">
        <f t="shared" si="352"/>
        <v>-13.552161069376059</v>
      </c>
      <c r="BH379" s="43">
        <f t="shared" si="353"/>
        <v>41.762757370983728</v>
      </c>
      <c r="BI379" s="41" t="str">
        <f t="shared" si="357"/>
        <v>0.0782558006772417+0.911714849514269i</v>
      </c>
      <c r="BJ379" s="20">
        <f t="shared" si="354"/>
        <v>-0.77094045242123777</v>
      </c>
      <c r="BK379" s="43">
        <f t="shared" si="358"/>
        <v>85.094119212192538</v>
      </c>
      <c r="BL379">
        <f t="shared" si="355"/>
        <v>-13.552161069376059</v>
      </c>
      <c r="BM379" s="43">
        <f t="shared" si="356"/>
        <v>41.762757370983728</v>
      </c>
    </row>
    <row r="380" spans="14:65" x14ac:dyDescent="0.25">
      <c r="N380" s="9">
        <v>62</v>
      </c>
      <c r="O380" s="34">
        <f t="shared" si="308"/>
        <v>41686.938347033625</v>
      </c>
      <c r="P380" s="33" t="str">
        <f t="shared" si="309"/>
        <v>19.1021967526266</v>
      </c>
      <c r="Q380" s="4" t="str">
        <f t="shared" si="310"/>
        <v>1+58.7896735940736i</v>
      </c>
      <c r="R380" s="4">
        <f t="shared" si="322"/>
        <v>58.798177873958934</v>
      </c>
      <c r="S380" s="4">
        <f t="shared" si="323"/>
        <v>1.5537881770418451</v>
      </c>
      <c r="T380" s="4" t="str">
        <f t="shared" si="311"/>
        <v>1+0.984844612047919i</v>
      </c>
      <c r="U380" s="4">
        <f t="shared" si="324"/>
        <v>1.4035379973053155</v>
      </c>
      <c r="V380" s="4">
        <f t="shared" si="325"/>
        <v>0.77776275791422533</v>
      </c>
      <c r="W380" t="str">
        <f t="shared" si="312"/>
        <v>1-0.545680746923715i</v>
      </c>
      <c r="X380" s="4">
        <f t="shared" si="326"/>
        <v>1.1391959785582213</v>
      </c>
      <c r="Y380" s="4">
        <f t="shared" si="327"/>
        <v>-0.4995210387187381</v>
      </c>
      <c r="Z380" t="str">
        <f t="shared" si="313"/>
        <v>0.998262199171251+0.405986475711243i</v>
      </c>
      <c r="AA380" s="4">
        <f t="shared" si="328"/>
        <v>1.0776606315323289</v>
      </c>
      <c r="AB380" s="4">
        <f t="shared" si="329"/>
        <v>0.3862630506574608</v>
      </c>
      <c r="AC380" s="47" t="str">
        <f t="shared" si="330"/>
        <v>-0.043809127639046-0.480019455813917i</v>
      </c>
      <c r="AD380" s="20">
        <f t="shared" si="331"/>
        <v>-6.3387990741362739</v>
      </c>
      <c r="AE380" s="43">
        <f t="shared" si="332"/>
        <v>-95.214671191978482</v>
      </c>
      <c r="AF380" t="str">
        <f t="shared" si="314"/>
        <v>69.5520360182888</v>
      </c>
      <c r="AG380" t="str">
        <f t="shared" si="315"/>
        <v>1+46.8973624784724i</v>
      </c>
      <c r="AH380">
        <f t="shared" si="333"/>
        <v>46.908022847240446</v>
      </c>
      <c r="AI380">
        <f t="shared" si="334"/>
        <v>1.5494763968578982</v>
      </c>
      <c r="AJ380" t="str">
        <f t="shared" si="316"/>
        <v>1+0.984844612047919i</v>
      </c>
      <c r="AK380">
        <f t="shared" si="335"/>
        <v>1.4035379973053155</v>
      </c>
      <c r="AL380">
        <f t="shared" si="336"/>
        <v>0.77776275791422533</v>
      </c>
      <c r="AM380" t="str">
        <f t="shared" si="317"/>
        <v>1-0.119552661714555i</v>
      </c>
      <c r="AN380">
        <f t="shared" si="337"/>
        <v>1.0071210646804261</v>
      </c>
      <c r="AO380">
        <f t="shared" si="338"/>
        <v>-0.11898791465182018</v>
      </c>
      <c r="AP380" s="41" t="str">
        <f t="shared" si="339"/>
        <v>1.31803572609182-1.62958231018308i</v>
      </c>
      <c r="AQ380">
        <f t="shared" si="340"/>
        <v>6.427371479359091</v>
      </c>
      <c r="AR380" s="43">
        <f t="shared" si="341"/>
        <v>-51.033439826767122</v>
      </c>
      <c r="AS380" t="str">
        <f t="shared" si="318"/>
        <v>-0.0000166666666666667</v>
      </c>
      <c r="AT380" t="str">
        <f t="shared" si="319"/>
        <v>0.000890550978979502i</v>
      </c>
      <c r="AU380">
        <f t="shared" si="342"/>
        <v>8.90550978979502E-4</v>
      </c>
      <c r="AV380">
        <f t="shared" si="343"/>
        <v>1.5707963267948966</v>
      </c>
      <c r="AW380" t="str">
        <f t="shared" si="320"/>
        <v>1+0.905033987980207i</v>
      </c>
      <c r="AX380">
        <f t="shared" si="344"/>
        <v>1.3487351553953641</v>
      </c>
      <c r="AY380">
        <f t="shared" si="345"/>
        <v>0.73558935926968594</v>
      </c>
      <c r="AZ380" t="str">
        <f t="shared" si="321"/>
        <v>1+30.771155591327i</v>
      </c>
      <c r="BA380">
        <f t="shared" si="346"/>
        <v>30.787400286897476</v>
      </c>
      <c r="BB380">
        <f t="shared" si="347"/>
        <v>1.5383097930781229</v>
      </c>
      <c r="BC380" s="41" t="str">
        <f t="shared" si="348"/>
        <v>-0.307266658686887+0.296801775205997i</v>
      </c>
      <c r="BD380">
        <f t="shared" si="349"/>
        <v>-7.3872739049359968</v>
      </c>
      <c r="BE380" s="43">
        <f t="shared" si="350"/>
        <v>135.99249298613401</v>
      </c>
      <c r="BF380" s="41" t="str">
        <f t="shared" si="351"/>
        <v>0.155931710888624+0.134491347439145i</v>
      </c>
      <c r="BG380" s="20">
        <f t="shared" si="352"/>
        <v>-13.726072979072281</v>
      </c>
      <c r="BH380" s="43">
        <f t="shared" si="353"/>
        <v>40.777821794155528</v>
      </c>
      <c r="BI380" s="41" t="str">
        <f t="shared" si="357"/>
        <v>0.0786744889204491+0.891911654794191i</v>
      </c>
      <c r="BJ380" s="20">
        <f t="shared" si="354"/>
        <v>-0.95990242557690231</v>
      </c>
      <c r="BK380" s="43">
        <f t="shared" si="358"/>
        <v>84.959053159366889</v>
      </c>
      <c r="BL380">
        <f t="shared" si="355"/>
        <v>-13.726072979072281</v>
      </c>
      <c r="BM380" s="43">
        <f t="shared" si="356"/>
        <v>40.777821794155528</v>
      </c>
    </row>
    <row r="381" spans="14:65" x14ac:dyDescent="0.25">
      <c r="N381" s="9">
        <v>63</v>
      </c>
      <c r="O381" s="34">
        <f t="shared" si="308"/>
        <v>42657.951880159271</v>
      </c>
      <c r="P381" s="33" t="str">
        <f t="shared" si="309"/>
        <v>19.1021967526266</v>
      </c>
      <c r="Q381" s="4" t="str">
        <f t="shared" si="310"/>
        <v>1+60.1590610072883i</v>
      </c>
      <c r="R381" s="4">
        <f t="shared" si="322"/>
        <v>60.167371733179735</v>
      </c>
      <c r="S381" s="4">
        <f t="shared" si="323"/>
        <v>1.5541752576672301</v>
      </c>
      <c r="T381" s="4" t="str">
        <f t="shared" si="311"/>
        <v>1+1.00778458999409i</v>
      </c>
      <c r="U381" s="4">
        <f t="shared" si="324"/>
        <v>1.4197287698111765</v>
      </c>
      <c r="V381" s="4">
        <f t="shared" si="325"/>
        <v>0.78927534774551578</v>
      </c>
      <c r="W381" t="str">
        <f t="shared" si="312"/>
        <v>1-0.558391284349565i</v>
      </c>
      <c r="X381" s="4">
        <f t="shared" si="326"/>
        <v>1.1453387387308422</v>
      </c>
      <c r="Y381" s="4">
        <f t="shared" si="327"/>
        <v>-0.50926282033647496</v>
      </c>
      <c r="Z381" t="str">
        <f t="shared" si="313"/>
        <v>0.99818029914139+0.415443115556076i</v>
      </c>
      <c r="AA381" s="4">
        <f t="shared" si="328"/>
        <v>1.0811830982109061</v>
      </c>
      <c r="AB381" s="4">
        <f t="shared" si="329"/>
        <v>0.39439382634511783</v>
      </c>
      <c r="AC381" s="47" t="str">
        <f t="shared" si="330"/>
        <v>-0.0466050081790809-0.475208012463623i</v>
      </c>
      <c r="AD381" s="20">
        <f t="shared" si="331"/>
        <v>-6.4207528304219501</v>
      </c>
      <c r="AE381" s="43">
        <f t="shared" si="332"/>
        <v>-95.601248572250938</v>
      </c>
      <c r="AF381" t="str">
        <f t="shared" si="314"/>
        <v>69.5520360182888</v>
      </c>
      <c r="AG381" t="str">
        <f t="shared" si="315"/>
        <v>1+47.9897423806712i</v>
      </c>
      <c r="AH381">
        <f t="shared" si="333"/>
        <v>48.000160143099421</v>
      </c>
      <c r="AI381">
        <f t="shared" si="334"/>
        <v>1.5499615556476587</v>
      </c>
      <c r="AJ381" t="str">
        <f t="shared" si="316"/>
        <v>1+1.00778458999409i</v>
      </c>
      <c r="AK381">
        <f t="shared" si="335"/>
        <v>1.4197287698111765</v>
      </c>
      <c r="AL381">
        <f t="shared" si="336"/>
        <v>0.78927534774551578</v>
      </c>
      <c r="AM381" t="str">
        <f t="shared" si="317"/>
        <v>1-0.122337400941015i</v>
      </c>
      <c r="AN381">
        <f t="shared" si="337"/>
        <v>1.0074554281301991</v>
      </c>
      <c r="AO381">
        <f t="shared" si="338"/>
        <v>-0.12173250515870992</v>
      </c>
      <c r="AP381" s="41" t="str">
        <f t="shared" si="339"/>
        <v>1.31664000217517-1.60055972716076i</v>
      </c>
      <c r="AQ381">
        <f t="shared" si="340"/>
        <v>6.3299677140499133</v>
      </c>
      <c r="AR381" s="43">
        <f t="shared" si="341"/>
        <v>-50.558868021752446</v>
      </c>
      <c r="AS381" t="str">
        <f t="shared" si="318"/>
        <v>-0.0000166666666666667</v>
      </c>
      <c r="AT381" t="str">
        <f t="shared" si="319"/>
        <v>0.000911294576058488i</v>
      </c>
      <c r="AU381">
        <f t="shared" si="342"/>
        <v>9.1129457605848801E-4</v>
      </c>
      <c r="AV381">
        <f t="shared" si="343"/>
        <v>1.5707963267948966</v>
      </c>
      <c r="AW381" t="str">
        <f t="shared" si="320"/>
        <v>1+0.926114937676049i</v>
      </c>
      <c r="AX381">
        <f t="shared" si="344"/>
        <v>1.3629706078220147</v>
      </c>
      <c r="AY381">
        <f t="shared" si="345"/>
        <v>0.74705732860752583</v>
      </c>
      <c r="AZ381" t="str">
        <f t="shared" si="321"/>
        <v>1+31.4879078809857i</v>
      </c>
      <c r="BA381">
        <f t="shared" si="346"/>
        <v>31.503782990641636</v>
      </c>
      <c r="BB381">
        <f t="shared" si="347"/>
        <v>1.5390487743004149</v>
      </c>
      <c r="BC381" s="41" t="str">
        <f t="shared" si="348"/>
        <v>-0.300881726408429+0.296940061481811i</v>
      </c>
      <c r="BD381">
        <f t="shared" si="349"/>
        <v>-7.4786763804246199</v>
      </c>
      <c r="BE381" s="43">
        <f t="shared" si="350"/>
        <v>135.37776724866711</v>
      </c>
      <c r="BF381" s="41" t="str">
        <f t="shared" si="351"/>
        <v>0.155130891757798+0.129142513199117i</v>
      </c>
      <c r="BG381" s="20">
        <f t="shared" si="352"/>
        <v>-13.899429210846563</v>
      </c>
      <c r="BH381" s="43">
        <f t="shared" si="353"/>
        <v>39.776518676416316</v>
      </c>
      <c r="BI381" s="41" t="str">
        <f t="shared" si="357"/>
        <v>0.0791173868755639+0.87254233712324i</v>
      </c>
      <c r="BJ381" s="20">
        <f t="shared" si="354"/>
        <v>-1.1487086663747099</v>
      </c>
      <c r="BK381" s="43">
        <f t="shared" si="358"/>
        <v>84.818899226914667</v>
      </c>
      <c r="BL381">
        <f t="shared" si="355"/>
        <v>-13.899429210846563</v>
      </c>
      <c r="BM381" s="43">
        <f t="shared" si="356"/>
        <v>39.776518676416316</v>
      </c>
    </row>
    <row r="382" spans="14:65" x14ac:dyDescent="0.25">
      <c r="N382" s="9">
        <v>64</v>
      </c>
      <c r="O382" s="34">
        <f t="shared" si="308"/>
        <v>43651.583224016598</v>
      </c>
      <c r="P382" s="33" t="str">
        <f t="shared" si="309"/>
        <v>19.1021967526266</v>
      </c>
      <c r="Q382" s="4" t="str">
        <f t="shared" si="310"/>
        <v>1+61.5603455509484i</v>
      </c>
      <c r="R382" s="4">
        <f t="shared" si="322"/>
        <v>61.568467126867567</v>
      </c>
      <c r="S382" s="4">
        <f t="shared" si="323"/>
        <v>1.554553532075166</v>
      </c>
      <c r="T382" s="4" t="str">
        <f t="shared" si="311"/>
        <v>1+1.03125890866949i</v>
      </c>
      <c r="U382" s="4">
        <f t="shared" si="324"/>
        <v>1.43648701237087</v>
      </c>
      <c r="V382" s="4">
        <f t="shared" si="325"/>
        <v>0.80078588246954496</v>
      </c>
      <c r="W382" t="str">
        <f t="shared" si="312"/>
        <v>1-0.571397888225558i</v>
      </c>
      <c r="X382" s="4">
        <f t="shared" si="326"/>
        <v>1.1517358840761311</v>
      </c>
      <c r="Y382" s="4">
        <f t="shared" si="327"/>
        <v>-0.51912298352622022</v>
      </c>
      <c r="Z382" t="str">
        <f t="shared" si="313"/>
        <v>0.998094539282037+0.425120028839815i</v>
      </c>
      <c r="AA382" s="4">
        <f t="shared" si="328"/>
        <v>1.0848593218779043</v>
      </c>
      <c r="AB382" s="4">
        <f t="shared" si="329"/>
        <v>0.4026594773368839</v>
      </c>
      <c r="AC382" s="47" t="str">
        <f t="shared" si="330"/>
        <v>-0.0494744869846085-0.47056426689373i</v>
      </c>
      <c r="AD382" s="20">
        <f t="shared" si="331"/>
        <v>-6.4998770051887664</v>
      </c>
      <c r="AE382" s="43">
        <f t="shared" si="332"/>
        <v>-96.001949692536812</v>
      </c>
      <c r="AF382" t="str">
        <f t="shared" si="314"/>
        <v>69.5520360182888</v>
      </c>
      <c r="AG382" t="str">
        <f t="shared" si="315"/>
        <v>1+49.1075670794994i</v>
      </c>
      <c r="AH382">
        <f t="shared" si="333"/>
        <v>49.117747754427143</v>
      </c>
      <c r="AI382">
        <f t="shared" si="334"/>
        <v>1.5504356803541082</v>
      </c>
      <c r="AJ382" t="str">
        <f t="shared" si="316"/>
        <v>1+1.03125890866949i</v>
      </c>
      <c r="AK382">
        <f t="shared" si="335"/>
        <v>1.43648701237087</v>
      </c>
      <c r="AL382">
        <f t="shared" si="336"/>
        <v>0.80078588246954496</v>
      </c>
      <c r="AM382" t="str">
        <f t="shared" si="317"/>
        <v>1-0.125187005076782i</v>
      </c>
      <c r="AN382">
        <f t="shared" si="337"/>
        <v>1.0078054307454858</v>
      </c>
      <c r="AO382">
        <f t="shared" si="338"/>
        <v>-0.12453911838248548</v>
      </c>
      <c r="AP382" s="41" t="str">
        <f t="shared" si="339"/>
        <v>1.31530704287963-1.57238316451013i</v>
      </c>
      <c r="AQ382">
        <f t="shared" si="340"/>
        <v>6.2349960277844758</v>
      </c>
      <c r="AR382" s="43">
        <f t="shared" si="341"/>
        <v>-50.087335399217395</v>
      </c>
      <c r="AS382" t="str">
        <f t="shared" si="318"/>
        <v>-0.0000166666666666667</v>
      </c>
      <c r="AT382" t="str">
        <f t="shared" si="319"/>
        <v>0.000932521353584111i</v>
      </c>
      <c r="AU382">
        <f t="shared" si="342"/>
        <v>9.3252135358411095E-4</v>
      </c>
      <c r="AV382">
        <f t="shared" si="343"/>
        <v>1.5707963267948966</v>
      </c>
      <c r="AW382" t="str">
        <f t="shared" si="320"/>
        <v>1+0.947686925770427i</v>
      </c>
      <c r="AX382">
        <f t="shared" si="344"/>
        <v>1.3777193144019586</v>
      </c>
      <c r="AY382">
        <f t="shared" si="345"/>
        <v>0.75854554183181055</v>
      </c>
      <c r="AZ382" t="str">
        <f t="shared" si="321"/>
        <v>1+32.2213554761945i</v>
      </c>
      <c r="BA382">
        <f t="shared" si="346"/>
        <v>32.236869400164927</v>
      </c>
      <c r="BB382">
        <f t="shared" si="347"/>
        <v>1.5397709677744591</v>
      </c>
      <c r="BC382" s="41" t="str">
        <f t="shared" si="348"/>
        <v>-0.294474233163242+0.296942072456221i</v>
      </c>
      <c r="BD382">
        <f t="shared" si="349"/>
        <v>-7.5723584571295133</v>
      </c>
      <c r="BE382" s="43">
        <f t="shared" si="350"/>
        <v>134.7609197548237</v>
      </c>
      <c r="BF382" s="41" t="str">
        <f t="shared" si="351"/>
        <v>0.154299290251204+0.123877994948636i</v>
      </c>
      <c r="BG382" s="20">
        <f t="shared" si="352"/>
        <v>-14.072235462318286</v>
      </c>
      <c r="BH382" s="43">
        <f t="shared" si="353"/>
        <v>38.758970062286799</v>
      </c>
      <c r="BI382" s="41" t="str">
        <f t="shared" si="357"/>
        <v>0.0795826827387185+0.853596325836853i</v>
      </c>
      <c r="BJ382" s="20">
        <f t="shared" si="354"/>
        <v>-1.3373624293450397</v>
      </c>
      <c r="BK382" s="43">
        <f t="shared" si="358"/>
        <v>84.673584355606323</v>
      </c>
      <c r="BL382">
        <f t="shared" si="355"/>
        <v>-14.072235462318286</v>
      </c>
      <c r="BM382" s="43">
        <f t="shared" si="356"/>
        <v>38.758970062286799</v>
      </c>
    </row>
    <row r="383" spans="14:65" x14ac:dyDescent="0.25">
      <c r="N383" s="9">
        <v>65</v>
      </c>
      <c r="O383" s="34">
        <f t="shared" si="308"/>
        <v>44668.359215096389</v>
      </c>
      <c r="P383" s="33" t="str">
        <f t="shared" si="309"/>
        <v>19.1021967526266</v>
      </c>
      <c r="Q383" s="4" t="str">
        <f t="shared" si="310"/>
        <v>1+62.9942702046674i</v>
      </c>
      <c r="R383" s="4">
        <f t="shared" si="322"/>
        <v>63.002206934508628</v>
      </c>
      <c r="S383" s="4">
        <f t="shared" si="323"/>
        <v>1.5549232003984796</v>
      </c>
      <c r="T383" s="4" t="str">
        <f t="shared" si="311"/>
        <v>1+1.05528001446859i</v>
      </c>
      <c r="U383" s="4">
        <f t="shared" si="324"/>
        <v>1.4538280190369244</v>
      </c>
      <c r="V383" s="4">
        <f t="shared" si="325"/>
        <v>0.81228826573082447</v>
      </c>
      <c r="W383" t="str">
        <f t="shared" si="312"/>
        <v>1-0.584707454825238i</v>
      </c>
      <c r="X383" s="4">
        <f t="shared" si="326"/>
        <v>1.1583966538833785</v>
      </c>
      <c r="Y383" s="4">
        <f t="shared" si="327"/>
        <v>-0.52909908653774418</v>
      </c>
      <c r="Z383" t="str">
        <f t="shared" si="313"/>
        <v>0.998004737685031+0.435022346389977i</v>
      </c>
      <c r="AA383" s="4">
        <f t="shared" si="328"/>
        <v>1.088695503022038</v>
      </c>
      <c r="AB383" s="4">
        <f t="shared" si="329"/>
        <v>0.41106003438409727</v>
      </c>
      <c r="AC383" s="47" t="str">
        <f t="shared" si="330"/>
        <v>-0.0524194377827838-0.466081594613941i</v>
      </c>
      <c r="AD383" s="20">
        <f t="shared" si="331"/>
        <v>-6.5761709784287259</v>
      </c>
      <c r="AE383" s="43">
        <f t="shared" si="332"/>
        <v>-96.416997174981418</v>
      </c>
      <c r="AF383" t="str">
        <f t="shared" si="314"/>
        <v>69.5520360182888</v>
      </c>
      <c r="AG383" t="str">
        <f t="shared" si="315"/>
        <v>1+50.251429260409i</v>
      </c>
      <c r="AH383">
        <f t="shared" si="333"/>
        <v>50.26137824128871</v>
      </c>
      <c r="AI383">
        <f t="shared" si="334"/>
        <v>1.5508990215113097</v>
      </c>
      <c r="AJ383" t="str">
        <f t="shared" si="316"/>
        <v>1+1.05528001446859i</v>
      </c>
      <c r="AK383">
        <f t="shared" si="335"/>
        <v>1.4538280190369244</v>
      </c>
      <c r="AL383">
        <f t="shared" si="336"/>
        <v>0.81228826573082447</v>
      </c>
      <c r="AM383" t="str">
        <f t="shared" si="317"/>
        <v>1-0.128102985019686i</v>
      </c>
      <c r="AN383">
        <f t="shared" si="337"/>
        <v>1.0081717982422211</v>
      </c>
      <c r="AO383">
        <f t="shared" si="338"/>
        <v>-0.12740906546870448</v>
      </c>
      <c r="AP383" s="41" t="str">
        <f t="shared" si="339"/>
        <v>1.31403402801914-1.54503785721372i</v>
      </c>
      <c r="AQ383">
        <f t="shared" si="340"/>
        <v>6.1424606719511408</v>
      </c>
      <c r="AR383" s="43">
        <f t="shared" si="341"/>
        <v>-49.619280732252399</v>
      </c>
      <c r="AS383" t="str">
        <f t="shared" si="318"/>
        <v>-0.0000166666666666667</v>
      </c>
      <c r="AT383" t="str">
        <f t="shared" si="319"/>
        <v>0.000954242566274786i</v>
      </c>
      <c r="AU383">
        <f t="shared" si="342"/>
        <v>9.5424256627478596E-4</v>
      </c>
      <c r="AV383">
        <f t="shared" si="343"/>
        <v>1.5707963267948966</v>
      </c>
      <c r="AW383" t="str">
        <f t="shared" si="320"/>
        <v>1+0.969761390016973i</v>
      </c>
      <c r="AX383">
        <f t="shared" si="344"/>
        <v>1.3929957478641677</v>
      </c>
      <c r="AY383">
        <f t="shared" si="345"/>
        <v>0.77004796155529953</v>
      </c>
      <c r="AZ383" t="str">
        <f t="shared" si="321"/>
        <v>1+32.9718872605771i</v>
      </c>
      <c r="BA383">
        <f t="shared" si="346"/>
        <v>32.9870482087168</v>
      </c>
      <c r="BB383">
        <f t="shared" si="347"/>
        <v>1.5404767534017147</v>
      </c>
      <c r="BC383" s="41" t="str">
        <f t="shared" si="348"/>
        <v>-0.288050883611736+0.296806484865732i</v>
      </c>
      <c r="BD383">
        <f t="shared" si="349"/>
        <v>-7.6683274271645443</v>
      </c>
      <c r="BE383" s="43">
        <f t="shared" si="350"/>
        <v>134.14231818816256</v>
      </c>
      <c r="BF383" s="41" t="str">
        <f t="shared" si="351"/>
        <v>0.15343550512974+0.118696786096767i</v>
      </c>
      <c r="BG383" s="20">
        <f t="shared" si="352"/>
        <v>-14.244498405593266</v>
      </c>
      <c r="BH383" s="43">
        <f t="shared" si="353"/>
        <v>37.725321013181279</v>
      </c>
      <c r="BI383" s="41" t="str">
        <f t="shared" si="357"/>
        <v>0.0800685925172851+0.835063340834315i</v>
      </c>
      <c r="BJ383" s="20">
        <f t="shared" si="354"/>
        <v>-1.5258667552134033</v>
      </c>
      <c r="BK383" s="43">
        <f t="shared" si="358"/>
        <v>84.523037455910185</v>
      </c>
      <c r="BL383">
        <f t="shared" si="355"/>
        <v>-14.244498405593266</v>
      </c>
      <c r="BM383" s="43">
        <f t="shared" si="356"/>
        <v>37.725321013181279</v>
      </c>
    </row>
    <row r="384" spans="14:65" x14ac:dyDescent="0.25">
      <c r="N384" s="9">
        <v>66</v>
      </c>
      <c r="O384" s="34">
        <f t="shared" ref="O384:O418" si="359">10^(4+(N384/100))</f>
        <v>45708.818961487581</v>
      </c>
      <c r="P384" s="33" t="str">
        <f t="shared" si="309"/>
        <v>19.1021967526266</v>
      </c>
      <c r="Q384" s="4" t="str">
        <f t="shared" si="310"/>
        <v>1+64.4615952542763i</v>
      </c>
      <c r="R384" s="4">
        <f t="shared" si="322"/>
        <v>64.469351344077737</v>
      </c>
      <c r="S384" s="4">
        <f t="shared" si="323"/>
        <v>1.555284458235842</v>
      </c>
      <c r="T384" s="4" t="str">
        <f t="shared" si="311"/>
        <v>1+1.07986064369963i</v>
      </c>
      <c r="U384" s="4">
        <f t="shared" si="324"/>
        <v>1.4717673083104474</v>
      </c>
      <c r="V384" s="4">
        <f t="shared" si="325"/>
        <v>0.82377642273997409</v>
      </c>
      <c r="W384" t="str">
        <f t="shared" si="312"/>
        <v>1-0.598327041056979i</v>
      </c>
      <c r="X384" s="4">
        <f t="shared" si="326"/>
        <v>1.1653305316776008</v>
      </c>
      <c r="Y384" s="4">
        <f t="shared" si="327"/>
        <v>-0.5391884754394507</v>
      </c>
      <c r="Z384" t="str">
        <f t="shared" si="313"/>
        <v>0.997910703869146+0.445155318546392i</v>
      </c>
      <c r="AA384" s="4">
        <f t="shared" si="328"/>
        <v>1.0926980509393958</v>
      </c>
      <c r="AB384" s="4">
        <f t="shared" si="329"/>
        <v>0.41959538442623928</v>
      </c>
      <c r="AC384" s="47" t="str">
        <f t="shared" si="330"/>
        <v>-0.0554416143139049-0.461753321028279i</v>
      </c>
      <c r="AD384" s="20">
        <f t="shared" si="331"/>
        <v>-6.649637559839797</v>
      </c>
      <c r="AE384" s="43">
        <f t="shared" si="332"/>
        <v>-96.846591749385837</v>
      </c>
      <c r="AF384" t="str">
        <f t="shared" si="314"/>
        <v>69.5520360182888</v>
      </c>
      <c r="AG384" t="str">
        <f t="shared" si="315"/>
        <v>1+51.4219354142684i</v>
      </c>
      <c r="AH384">
        <f t="shared" si="333"/>
        <v>51.431657972003876</v>
      </c>
      <c r="AI384">
        <f t="shared" si="334"/>
        <v>1.5513518239926416</v>
      </c>
      <c r="AJ384" t="str">
        <f t="shared" si="316"/>
        <v>1+1.07986064369963i</v>
      </c>
      <c r="AK384">
        <f t="shared" si="335"/>
        <v>1.4717673083104474</v>
      </c>
      <c r="AL384">
        <f t="shared" si="336"/>
        <v>0.82377642273997409</v>
      </c>
      <c r="AM384" t="str">
        <f t="shared" si="317"/>
        <v>1-0.131086886860891i</v>
      </c>
      <c r="AN384">
        <f t="shared" si="337"/>
        <v>1.0085552894645291</v>
      </c>
      <c r="AO384">
        <f t="shared" si="338"/>
        <v>-0.13034367889168866</v>
      </c>
      <c r="AP384" s="41" t="str">
        <f t="shared" si="339"/>
        <v>1.31281826392485-1.51850946936057i</v>
      </c>
      <c r="AQ384">
        <f t="shared" si="340"/>
        <v>6.0523637289534671</v>
      </c>
      <c r="AR384" s="43">
        <f t="shared" si="341"/>
        <v>-49.155142456017423</v>
      </c>
      <c r="AS384" t="str">
        <f t="shared" si="318"/>
        <v>-0.0000166666666666667</v>
      </c>
      <c r="AT384" t="str">
        <f t="shared" si="319"/>
        <v>0.000976469731004992i</v>
      </c>
      <c r="AU384">
        <f t="shared" si="342"/>
        <v>9.7646973100499199E-4</v>
      </c>
      <c r="AV384">
        <f t="shared" si="343"/>
        <v>1.5707963267948966</v>
      </c>
      <c r="AW384" t="str">
        <f t="shared" si="320"/>
        <v>1+0.992350034588808i</v>
      </c>
      <c r="AX384">
        <f t="shared" si="344"/>
        <v>1.4088146049599317</v>
      </c>
      <c r="AY384">
        <f t="shared" si="345"/>
        <v>0.78155851289222567</v>
      </c>
      <c r="AZ384" t="str">
        <f t="shared" si="321"/>
        <v>1+33.7399011760195i</v>
      </c>
      <c r="BA384">
        <f t="shared" si="346"/>
        <v>33.754717172086657</v>
      </c>
      <c r="BB384">
        <f t="shared" si="347"/>
        <v>1.5411665025848509</v>
      </c>
      <c r="BC384" s="41" t="str">
        <f t="shared" si="348"/>
        <v>-0.281618449302082+0.296532365982157i</v>
      </c>
      <c r="BD384">
        <f t="shared" si="349"/>
        <v>-7.7665881521174587</v>
      </c>
      <c r="BE384" s="43">
        <f t="shared" si="350"/>
        <v>133.52233189380425</v>
      </c>
      <c r="BF384" s="41" t="str">
        <f t="shared" si="351"/>
        <v>0.15253818623452+0.113598021161698i</v>
      </c>
      <c r="BG384" s="20">
        <f t="shared" si="352"/>
        <v>-14.416225711957257</v>
      </c>
      <c r="BH384" s="43">
        <f t="shared" si="353"/>
        <v>36.675740144418441</v>
      </c>
      <c r="BI384" s="41" t="str">
        <f t="shared" si="357"/>
        <v>0.0805733620138319+0.816933387918075i</v>
      </c>
      <c r="BJ384" s="20">
        <f t="shared" si="354"/>
        <v>-1.714224423163988</v>
      </c>
      <c r="BK384" s="43">
        <f t="shared" si="358"/>
        <v>84.367189437786834</v>
      </c>
      <c r="BL384">
        <f t="shared" si="355"/>
        <v>-14.416225711957257</v>
      </c>
      <c r="BM384" s="43">
        <f t="shared" si="356"/>
        <v>36.675740144418441</v>
      </c>
    </row>
    <row r="385" spans="14:65" x14ac:dyDescent="0.25">
      <c r="N385" s="9">
        <v>67</v>
      </c>
      <c r="O385" s="34">
        <f t="shared" si="359"/>
        <v>46773.514128719893</v>
      </c>
      <c r="P385" s="33" t="str">
        <f t="shared" si="309"/>
        <v>19.1021967526266</v>
      </c>
      <c r="Q385" s="4" t="str">
        <f t="shared" si="310"/>
        <v>1+65.9630986949394i</v>
      </c>
      <c r="R385" s="4">
        <f t="shared" si="322"/>
        <v>65.970678255102982</v>
      </c>
      <c r="S385" s="4">
        <f t="shared" si="323"/>
        <v>1.55563749675355</v>
      </c>
      <c r="T385" s="4" t="str">
        <f t="shared" si="311"/>
        <v>1+1.10501382933762i</v>
      </c>
      <c r="U385" s="4">
        <f t="shared" si="324"/>
        <v>1.4903206242374125</v>
      </c>
      <c r="V385" s="4">
        <f t="shared" si="325"/>
        <v>0.8352443162579245</v>
      </c>
      <c r="W385" t="str">
        <f t="shared" si="312"/>
        <v>1-0.612263868205687i</v>
      </c>
      <c r="X385" s="4">
        <f t="shared" si="326"/>
        <v>1.1725472460886985</v>
      </c>
      <c r="Y385" s="4">
        <f t="shared" si="327"/>
        <v>-0.54938828276521257</v>
      </c>
      <c r="Z385" t="str">
        <f t="shared" si="313"/>
        <v>0.99781223837605+0.455524317945031i</v>
      </c>
      <c r="AA385" s="4">
        <f t="shared" si="328"/>
        <v>1.0968735876537046</v>
      </c>
      <c r="AB385" s="4">
        <f t="shared" si="329"/>
        <v>0.42826526383237962</v>
      </c>
      <c r="AC385" s="47" t="str">
        <f t="shared" si="330"/>
        <v>-0.0585426406856153-0.457572721185089i</v>
      </c>
      <c r="AD385" s="20">
        <f t="shared" si="331"/>
        <v>-6.7202830300577503</v>
      </c>
      <c r="AE385" s="43">
        <f t="shared" si="332"/>
        <v>-97.290910878444066</v>
      </c>
      <c r="AF385" t="str">
        <f t="shared" si="314"/>
        <v>69.5520360182888</v>
      </c>
      <c r="AG385" t="str">
        <f t="shared" si="315"/>
        <v>1+52.6197061589345i</v>
      </c>
      <c r="AH385">
        <f t="shared" si="333"/>
        <v>52.629207444655755</v>
      </c>
      <c r="AI385">
        <f t="shared" si="334"/>
        <v>1.5517943271368424</v>
      </c>
      <c r="AJ385" t="str">
        <f t="shared" si="316"/>
        <v>1+1.10501382933762i</v>
      </c>
      <c r="AK385">
        <f t="shared" si="335"/>
        <v>1.4903206242374125</v>
      </c>
      <c r="AL385">
        <f t="shared" si="336"/>
        <v>0.8352443162579245</v>
      </c>
      <c r="AM385" t="str">
        <f t="shared" si="317"/>
        <v>1-0.13414029270465i</v>
      </c>
      <c r="AN385">
        <f t="shared" si="337"/>
        <v>1.0089566978452986</v>
      </c>
      <c r="AO385">
        <f t="shared" si="338"/>
        <v>-0.13334431233278671</v>
      </c>
      <c r="AP385" s="41" t="str">
        <f t="shared" si="339"/>
        <v>1.3116571777872-1.49278408731997i</v>
      </c>
      <c r="AQ385">
        <f t="shared" si="340"/>
        <v>5.9647051424735276</v>
      </c>
      <c r="AR385" s="43">
        <f t="shared" si="341"/>
        <v>-48.695357752158131</v>
      </c>
      <c r="AS385" t="str">
        <f t="shared" si="318"/>
        <v>-0.0000166666666666667</v>
      </c>
      <c r="AT385" t="str">
        <f t="shared" si="319"/>
        <v>0.000999214632911681i</v>
      </c>
      <c r="AU385">
        <f t="shared" si="342"/>
        <v>9.9921463291168097E-4</v>
      </c>
      <c r="AV385">
        <f t="shared" si="343"/>
        <v>1.5707963267948966</v>
      </c>
      <c r="AW385" t="str">
        <f t="shared" si="320"/>
        <v>1+1.01546483628429i</v>
      </c>
      <c r="AX385">
        <f t="shared" si="344"/>
        <v>1.4251908060782177</v>
      </c>
      <c r="AY385">
        <f t="shared" si="345"/>
        <v>0.79307109944312126</v>
      </c>
      <c r="AZ385" t="str">
        <f t="shared" si="321"/>
        <v>1+34.525804433666i</v>
      </c>
      <c r="BA385">
        <f t="shared" si="346"/>
        <v>34.540283319506102</v>
      </c>
      <c r="BB385">
        <f t="shared" si="347"/>
        <v>1.5418405784113058</v>
      </c>
      <c r="BC385" s="41" t="str">
        <f t="shared" si="348"/>
        <v>-0.275183740217104+0.296119178113904i</v>
      </c>
      <c r="BD385">
        <f t="shared" si="349"/>
        <v>-7.8671430450266886</v>
      </c>
      <c r="BE385" s="43">
        <f t="shared" si="350"/>
        <v>132.90133097308654</v>
      </c>
      <c r="BF385" s="41" t="str">
        <f t="shared" si="351"/>
        <v>0.151606040950725+0.108580974192589i</v>
      </c>
      <c r="BG385" s="20">
        <f t="shared" si="352"/>
        <v>-14.587426075084426</v>
      </c>
      <c r="BH385" s="43">
        <f t="shared" si="353"/>
        <v>35.610420094642464</v>
      </c>
      <c r="BI385" s="41" t="str">
        <f t="shared" si="357"/>
        <v>0.0810952689726112+0.799196753938834i</v>
      </c>
      <c r="BJ385" s="20">
        <f t="shared" si="354"/>
        <v>-1.9024379025531581</v>
      </c>
      <c r="BK385" s="43">
        <f t="shared" si="358"/>
        <v>84.205973220928442</v>
      </c>
      <c r="BL385">
        <f t="shared" si="355"/>
        <v>-14.587426075084426</v>
      </c>
      <c r="BM385" s="43">
        <f t="shared" si="356"/>
        <v>35.610420094642464</v>
      </c>
    </row>
    <row r="386" spans="14:65" x14ac:dyDescent="0.25">
      <c r="N386" s="9">
        <v>68</v>
      </c>
      <c r="O386" s="34">
        <f t="shared" si="359"/>
        <v>47863.009232263823</v>
      </c>
      <c r="P386" s="33" t="str">
        <f t="shared" si="309"/>
        <v>19.1021967526266</v>
      </c>
      <c r="Q386" s="4" t="str">
        <f t="shared" si="310"/>
        <v>1+67.4995766436551i</v>
      </c>
      <c r="R386" s="4">
        <f t="shared" si="322"/>
        <v>67.506983691116503</v>
      </c>
      <c r="S386" s="4">
        <f t="shared" si="323"/>
        <v>1.5559825027850855</v>
      </c>
      <c r="T386" s="4" t="str">
        <f t="shared" si="311"/>
        <v>1+1.13075290793451i</v>
      </c>
      <c r="U386" s="4">
        <f t="shared" si="324"/>
        <v>1.5095039379883548</v>
      </c>
      <c r="V386" s="4">
        <f t="shared" si="325"/>
        <v>0.84668596233886662</v>
      </c>
      <c r="W386" t="str">
        <f t="shared" si="312"/>
        <v>1-0.626525325761585i</v>
      </c>
      <c r="X386" s="4">
        <f t="shared" si="326"/>
        <v>1.1800567714396881</v>
      </c>
      <c r="Y386" s="4">
        <f t="shared" si="327"/>
        <v>-0.55969542694530428</v>
      </c>
      <c r="Z386" t="str">
        <f t="shared" si="313"/>
        <v>0.997709132347232+0.466134842366619i</v>
      </c>
      <c r="AA386" s="4">
        <f t="shared" si="328"/>
        <v>1.1012289516886209</v>
      </c>
      <c r="AB386" s="4">
        <f t="shared" si="329"/>
        <v>0.43706925174576111</v>
      </c>
      <c r="AC386" s="47" t="str">
        <f t="shared" si="330"/>
        <v>-0.0617240014271866-0.453533020376564i</v>
      </c>
      <c r="AD386" s="20">
        <f t="shared" si="331"/>
        <v>-6.7881171699731357</v>
      </c>
      <c r="AE386" s="43">
        <f t="shared" si="332"/>
        <v>-97.750107447510302</v>
      </c>
      <c r="AF386" t="str">
        <f t="shared" si="314"/>
        <v>69.5520360182888</v>
      </c>
      <c r="AG386" t="str">
        <f t="shared" si="315"/>
        <v>1+53.84537656831i</v>
      </c>
      <c r="AH386">
        <f t="shared" si="333"/>
        <v>53.854661616085828</v>
      </c>
      <c r="AI386">
        <f t="shared" si="334"/>
        <v>1.5522267648713697</v>
      </c>
      <c r="AJ386" t="str">
        <f t="shared" si="316"/>
        <v>1+1.13075290793451i</v>
      </c>
      <c r="AK386">
        <f t="shared" si="335"/>
        <v>1.5095039379883548</v>
      </c>
      <c r="AL386">
        <f t="shared" si="336"/>
        <v>0.84668596233886662</v>
      </c>
      <c r="AM386" t="str">
        <f t="shared" si="317"/>
        <v>1-0.137264821507157i</v>
      </c>
      <c r="AN386">
        <f t="shared" si="337"/>
        <v>1.0093768529262952</v>
      </c>
      <c r="AO386">
        <f t="shared" si="338"/>
        <v>-0.13641234051628184</v>
      </c>
      <c r="AP386" s="41" t="str">
        <f t="shared" si="339"/>
        <v>1.31054831224925-1.46784821308778i</v>
      </c>
      <c r="AQ386">
        <f t="shared" si="340"/>
        <v>5.8794827581640696</v>
      </c>
      <c r="AR386" s="43">
        <f t="shared" si="341"/>
        <v>-48.240361644469765</v>
      </c>
      <c r="AS386" t="str">
        <f t="shared" si="318"/>
        <v>-0.0000166666666666667</v>
      </c>
      <c r="AT386" t="str">
        <f t="shared" si="319"/>
        <v>0.00102248933164291i</v>
      </c>
      <c r="AU386">
        <f t="shared" si="342"/>
        <v>1.0224893316429101E-3</v>
      </c>
      <c r="AV386">
        <f t="shared" si="343"/>
        <v>1.5707963267948966</v>
      </c>
      <c r="AW386" t="str">
        <f t="shared" si="320"/>
        <v>1+1.03911805087724i</v>
      </c>
      <c r="AX386">
        <f t="shared" si="344"/>
        <v>1.4421394952149789</v>
      </c>
      <c r="AY386">
        <f t="shared" si="345"/>
        <v>0.80457961941826661</v>
      </c>
      <c r="AZ386" t="str">
        <f t="shared" si="321"/>
        <v>1+35.3300137298261i</v>
      </c>
      <c r="BA386">
        <f t="shared" si="346"/>
        <v>35.344163169464075</v>
      </c>
      <c r="BB386">
        <f t="shared" si="347"/>
        <v>1.5424993358333201</v>
      </c>
      <c r="BC386" s="41" t="str">
        <f t="shared" si="348"/>
        <v>-0.268753575976197+0.295566780603702i</v>
      </c>
      <c r="BD386">
        <f t="shared" si="349"/>
        <v>-7.9699920625723202</v>
      </c>
      <c r="BE386" s="43">
        <f t="shared" si="350"/>
        <v>132.27968537007322</v>
      </c>
      <c r="BF386" s="41" t="str">
        <f t="shared" si="351"/>
        <v>0.15063784083729+0.103645056661675i</v>
      </c>
      <c r="BG386" s="20">
        <f t="shared" si="352"/>
        <v>-14.758109232545477</v>
      </c>
      <c r="BH386" s="43">
        <f t="shared" si="353"/>
        <v>34.529577922562979</v>
      </c>
      <c r="BI386" s="41" t="str">
        <f t="shared" si="357"/>
        <v>0.0816326253506963+0.781844001734738i</v>
      </c>
      <c r="BJ386" s="20">
        <f t="shared" si="354"/>
        <v>-2.0905093044082457</v>
      </c>
      <c r="BK386" s="43">
        <f t="shared" si="358"/>
        <v>84.039323725603481</v>
      </c>
      <c r="BL386">
        <f t="shared" si="355"/>
        <v>-14.758109232545477</v>
      </c>
      <c r="BM386" s="43">
        <f t="shared" si="356"/>
        <v>34.529577922562979</v>
      </c>
    </row>
    <row r="387" spans="14:65" x14ac:dyDescent="0.25">
      <c r="N387" s="9">
        <v>69</v>
      </c>
      <c r="O387" s="34">
        <f t="shared" si="359"/>
        <v>48977.881936844598</v>
      </c>
      <c r="P387" s="33" t="str">
        <f t="shared" si="309"/>
        <v>19.1021967526266</v>
      </c>
      <c r="Q387" s="4" t="str">
        <f t="shared" si="310"/>
        <v>1+69.0718437613698i</v>
      </c>
      <c r="R387" s="4">
        <f t="shared" si="322"/>
        <v>69.079082221719474</v>
      </c>
      <c r="S387" s="4">
        <f t="shared" si="323"/>
        <v>1.5563196589284982</v>
      </c>
      <c r="T387" s="4" t="str">
        <f t="shared" si="311"/>
        <v>1+1.15709152669046i</v>
      </c>
      <c r="U387" s="4">
        <f t="shared" si="324"/>
        <v>1.529333449950945</v>
      </c>
      <c r="V387" s="4">
        <f t="shared" si="325"/>
        <v>0.85809544573274454</v>
      </c>
      <c r="W387" t="str">
        <f t="shared" si="312"/>
        <v>1-0.641118975338246i</v>
      </c>
      <c r="X387" s="4">
        <f t="shared" si="326"/>
        <v>1.1878693280570731</v>
      </c>
      <c r="Y387" s="4">
        <f t="shared" si="327"/>
        <v>-0.57010661256721029</v>
      </c>
      <c r="Z387" t="str">
        <f t="shared" si="313"/>
        <v>0.997601167080981+0.476992517651655i</v>
      </c>
      <c r="AA387" s="4">
        <f t="shared" si="328"/>
        <v>1.1057712016764587</v>
      </c>
      <c r="AB387" s="4">
        <f t="shared" si="329"/>
        <v>0.44600676357416164</v>
      </c>
      <c r="AC387" s="47" t="str">
        <f t="shared" si="330"/>
        <v>-0.0649870313035834-0.449627395641086i</v>
      </c>
      <c r="AD387" s="20">
        <f t="shared" si="331"/>
        <v>-6.8531532778073583</v>
      </c>
      <c r="AE387" s="43">
        <f t="shared" si="332"/>
        <v>-98.224308529649051</v>
      </c>
      <c r="AF387" t="str">
        <f t="shared" si="314"/>
        <v>69.5520360182888</v>
      </c>
      <c r="AG387" t="str">
        <f t="shared" si="315"/>
        <v>1+55.0995965090698i</v>
      </c>
      <c r="AH387">
        <f t="shared" si="333"/>
        <v>55.108670238559526</v>
      </c>
      <c r="AI387">
        <f t="shared" si="334"/>
        <v>1.5526493658331282</v>
      </c>
      <c r="AJ387" t="str">
        <f t="shared" si="316"/>
        <v>1+1.15709152669046i</v>
      </c>
      <c r="AK387">
        <f t="shared" si="335"/>
        <v>1.529333449950945</v>
      </c>
      <c r="AL387">
        <f t="shared" si="336"/>
        <v>0.85809544573274454</v>
      </c>
      <c r="AM387" t="str">
        <f t="shared" si="317"/>
        <v>1-0.140462129934943i</v>
      </c>
      <c r="AN387">
        <f t="shared" si="337"/>
        <v>1.0098166219397762</v>
      </c>
      <c r="AO387">
        <f t="shared" si="338"/>
        <v>-0.13954915899967441</v>
      </c>
      <c r="AP387" s="41" t="str">
        <f t="shared" si="339"/>
        <v>1.30948932024065-1.4436887578049i</v>
      </c>
      <c r="AQ387">
        <f t="shared" si="340"/>
        <v>5.7966923745157182</v>
      </c>
      <c r="AR387" s="43">
        <f t="shared" si="341"/>
        <v>-47.790586111299994</v>
      </c>
      <c r="AS387" t="str">
        <f t="shared" si="318"/>
        <v>-0.0000166666666666667</v>
      </c>
      <c r="AT387" t="str">
        <f t="shared" si="319"/>
        <v>0.00104630616775202i</v>
      </c>
      <c r="AU387">
        <f t="shared" si="342"/>
        <v>1.0463061677520201E-3</v>
      </c>
      <c r="AV387">
        <f t="shared" si="343"/>
        <v>1.5707963267948966</v>
      </c>
      <c r="AW387" t="str">
        <f t="shared" si="320"/>
        <v>1+1.06332221961511i</v>
      </c>
      <c r="AX387">
        <f t="shared" si="344"/>
        <v>1.4596760403347053</v>
      </c>
      <c r="AY387">
        <f t="shared" si="345"/>
        <v>0.81607798179594926</v>
      </c>
      <c r="AZ387" t="str">
        <f t="shared" si="321"/>
        <v>1+36.1529554669138i</v>
      </c>
      <c r="BA387">
        <f t="shared" si="346"/>
        <v>36.166782950556332</v>
      </c>
      <c r="BB387">
        <f t="shared" si="347"/>
        <v>1.5431431218444873</v>
      </c>
      <c r="BC387" s="41" t="str">
        <f t="shared" si="348"/>
        <v>-0.262334756950632+0.294875429297469i</v>
      </c>
      <c r="BD387">
        <f t="shared" si="349"/>
        <v>-8.0751327075584616</v>
      </c>
      <c r="BE387" s="43">
        <f t="shared" si="350"/>
        <v>131.65776395586926</v>
      </c>
      <c r="BF387" s="41" t="str">
        <f t="shared" si="351"/>
        <v>0.149632428375537+0.0987898147994377i</v>
      </c>
      <c r="BG387" s="20">
        <f t="shared" si="352"/>
        <v>-14.928285985365815</v>
      </c>
      <c r="BH387" s="43">
        <f t="shared" si="353"/>
        <v>33.433455426220164</v>
      </c>
      <c r="BI387" s="41" t="str">
        <f t="shared" si="357"/>
        <v>0.0821837796748704+0.764865964857521i</v>
      </c>
      <c r="BJ387" s="20">
        <f t="shared" si="354"/>
        <v>-2.2784403330427407</v>
      </c>
      <c r="BK387" s="43">
        <f t="shared" si="358"/>
        <v>83.867177844569269</v>
      </c>
      <c r="BL387">
        <f t="shared" si="355"/>
        <v>-14.928285985365815</v>
      </c>
      <c r="BM387" s="43">
        <f t="shared" si="356"/>
        <v>33.433455426220164</v>
      </c>
    </row>
    <row r="388" spans="14:65" x14ac:dyDescent="0.25">
      <c r="N388" s="9">
        <v>70</v>
      </c>
      <c r="O388" s="34">
        <f t="shared" si="359"/>
        <v>50118.723362727294</v>
      </c>
      <c r="P388" s="33" t="str">
        <f t="shared" si="309"/>
        <v>19.1021967526266</v>
      </c>
      <c r="Q388" s="4" t="str">
        <f t="shared" si="310"/>
        <v>1+70.6807336849209i</v>
      </c>
      <c r="R388" s="4">
        <f t="shared" si="322"/>
        <v>70.687807394477247</v>
      </c>
      <c r="S388" s="4">
        <f t="shared" si="323"/>
        <v>1.5566491436416545</v>
      </c>
      <c r="T388" s="4" t="str">
        <f t="shared" si="311"/>
        <v>1+1.18404365068979i</v>
      </c>
      <c r="U388" s="4">
        <f t="shared" si="324"/>
        <v>1.5498255923615423</v>
      </c>
      <c r="V388" s="4">
        <f t="shared" si="325"/>
        <v>0.86946693485192128</v>
      </c>
      <c r="W388" t="str">
        <f t="shared" si="312"/>
        <v>1-0.656052554681846i</v>
      </c>
      <c r="X388" s="4">
        <f t="shared" si="326"/>
        <v>1.1959953823090523</v>
      </c>
      <c r="Y388" s="4">
        <f t="shared" si="327"/>
        <v>-0.58061833150779196</v>
      </c>
      <c r="Z388" t="str">
        <f t="shared" si="313"/>
        <v>0.99748811356849+0.488103100683293i</v>
      </c>
      <c r="AA388" s="4">
        <f t="shared" si="328"/>
        <v>1.1105076197879371</v>
      </c>
      <c r="AB388" s="4">
        <f t="shared" si="329"/>
        <v>0.45507704467113441</v>
      </c>
      <c r="AC388" s="47" t="str">
        <f t="shared" si="330"/>
        <v>-0.0683329049566293-0.445848978218592i</v>
      </c>
      <c r="AD388" s="20">
        <f t="shared" si="331"/>
        <v>-6.9154081736817252</v>
      </c>
      <c r="AE388" s="43">
        <f t="shared" si="332"/>
        <v>-98.713614236396083</v>
      </c>
      <c r="AF388" t="str">
        <f t="shared" si="314"/>
        <v>69.5520360182888</v>
      </c>
      <c r="AG388" t="str">
        <f t="shared" si="315"/>
        <v>1+56.3830309852284i</v>
      </c>
      <c r="AH388">
        <f t="shared" si="333"/>
        <v>56.391898204274213</v>
      </c>
      <c r="AI388">
        <f t="shared" si="334"/>
        <v>1.5530623534866115</v>
      </c>
      <c r="AJ388" t="str">
        <f t="shared" si="316"/>
        <v>1+1.18404365068979i</v>
      </c>
      <c r="AK388">
        <f t="shared" si="335"/>
        <v>1.5498255923615423</v>
      </c>
      <c r="AL388">
        <f t="shared" si="336"/>
        <v>0.86946693485192128</v>
      </c>
      <c r="AM388" t="str">
        <f t="shared" si="317"/>
        <v>1-0.143733913243256i</v>
      </c>
      <c r="AN388">
        <f t="shared" si="337"/>
        <v>1.0102769114535974</v>
      </c>
      <c r="AO388">
        <f t="shared" si="338"/>
        <v>-0.14275618391487419</v>
      </c>
      <c r="AP388" s="41" t="str">
        <f t="shared" si="339"/>
        <v>1.30847796004145-1.42029303544774i</v>
      </c>
      <c r="AQ388">
        <f t="shared" si="340"/>
        <v>5.7163278035590075</v>
      </c>
      <c r="AR388" s="43">
        <f t="shared" si="341"/>
        <v>-47.346459219962149</v>
      </c>
      <c r="AS388" t="str">
        <f t="shared" si="318"/>
        <v>-0.0000166666666666667</v>
      </c>
      <c r="AT388" t="str">
        <f t="shared" si="319"/>
        <v>0.00107067776924077i</v>
      </c>
      <c r="AU388">
        <f t="shared" si="342"/>
        <v>1.07067776924077E-3</v>
      </c>
      <c r="AV388">
        <f t="shared" si="343"/>
        <v>1.5707963267948966</v>
      </c>
      <c r="AW388" t="str">
        <f t="shared" si="320"/>
        <v>1+1.08809017586856i</v>
      </c>
      <c r="AX388">
        <f t="shared" si="344"/>
        <v>1.4778160341604341</v>
      </c>
      <c r="AY388">
        <f t="shared" si="345"/>
        <v>0.82756012241125521</v>
      </c>
      <c r="AZ388" t="str">
        <f t="shared" si="321"/>
        <v>1+36.9950659795311i</v>
      </c>
      <c r="BA388">
        <f t="shared" si="346"/>
        <v>37.00857882748079</v>
      </c>
      <c r="BB388">
        <f t="shared" si="347"/>
        <v>1.54377227565286</v>
      </c>
      <c r="BC388" s="41" t="str">
        <f t="shared" si="348"/>
        <v>-0.255934035551837+0.294045773489264i</v>
      </c>
      <c r="BD388">
        <f t="shared" si="349"/>
        <v>-8.1825600416748117</v>
      </c>
      <c r="BE388" s="43">
        <f t="shared" si="350"/>
        <v>131.03593361672094</v>
      </c>
      <c r="BF388" s="41" t="str">
        <f t="shared" si="351"/>
        <v>0.148588723786214+0.0940149263494069i</v>
      </c>
      <c r="BG388" s="20">
        <f t="shared" si="352"/>
        <v>-15.097968215356545</v>
      </c>
      <c r="BH388" s="43">
        <f t="shared" si="353"/>
        <v>32.322319380324878</v>
      </c>
      <c r="BI388" s="41" t="str">
        <f t="shared" si="357"/>
        <v>0.0827471194456017+0.748253742082351i</v>
      </c>
      <c r="BJ388" s="20">
        <f t="shared" si="354"/>
        <v>-2.4662322381158051</v>
      </c>
      <c r="BK388" s="43">
        <f t="shared" si="358"/>
        <v>83.689474396758797</v>
      </c>
      <c r="BL388">
        <f t="shared" si="355"/>
        <v>-15.097968215356545</v>
      </c>
      <c r="BM388" s="43">
        <f t="shared" si="356"/>
        <v>32.322319380324878</v>
      </c>
    </row>
    <row r="389" spans="14:65" x14ac:dyDescent="0.25">
      <c r="N389" s="9">
        <v>71</v>
      </c>
      <c r="O389" s="34">
        <f t="shared" si="359"/>
        <v>51286.138399136544</v>
      </c>
      <c r="P389" s="33" t="str">
        <f t="shared" si="309"/>
        <v>19.1021967526266</v>
      </c>
      <c r="Q389" s="4" t="str">
        <f t="shared" si="310"/>
        <v>1+72.327099469042i</v>
      </c>
      <c r="R389" s="4">
        <f t="shared" si="322"/>
        <v>72.334012176877721</v>
      </c>
      <c r="S389" s="4">
        <f t="shared" si="323"/>
        <v>1.5569711313353951</v>
      </c>
      <c r="T389" s="4" t="str">
        <f t="shared" si="311"/>
        <v>1+1.21162357030539i</v>
      </c>
      <c r="U389" s="4">
        <f t="shared" si="324"/>
        <v>1.5709970324986551</v>
      </c>
      <c r="V389" s="4">
        <f t="shared" si="325"/>
        <v>0.88079469621180817</v>
      </c>
      <c r="W389" t="str">
        <f t="shared" si="312"/>
        <v>1-0.671333981773821i</v>
      </c>
      <c r="X389" s="4">
        <f t="shared" si="326"/>
        <v>1.2044456463802313</v>
      </c>
      <c r="Y389" s="4">
        <f t="shared" si="327"/>
        <v>-0.5912268649735386</v>
      </c>
      <c r="Z389" t="str">
        <f t="shared" si="313"/>
        <v>0.997369732008105+0.499472482439722i</v>
      </c>
      <c r="AA389" s="4">
        <f t="shared" si="328"/>
        <v>1.1154457149679753</v>
      </c>
      <c r="AB389" s="4">
        <f t="shared" si="329"/>
        <v>0.46427916425582116</v>
      </c>
      <c r="AC389" s="47" t="str">
        <f t="shared" si="330"/>
        <v>-0.0717626264483795-0.442190857004854i</v>
      </c>
      <c r="AD389" s="20">
        <f t="shared" si="331"/>
        <v>-6.9749021914781748</v>
      </c>
      <c r="AE389" s="43">
        <f t="shared" si="332"/>
        <v>-99.21809666423745</v>
      </c>
      <c r="AF389" t="str">
        <f t="shared" si="314"/>
        <v>69.5520360182888</v>
      </c>
      <c r="AG389" t="str">
        <f t="shared" si="315"/>
        <v>1+57.696360490733i</v>
      </c>
      <c r="AH389">
        <f t="shared" si="333"/>
        <v>57.705025897893989</v>
      </c>
      <c r="AI389">
        <f t="shared" si="334"/>
        <v>1.5534659462395075</v>
      </c>
      <c r="AJ389" t="str">
        <f t="shared" si="316"/>
        <v>1+1.21162357030539i</v>
      </c>
      <c r="AK389">
        <f t="shared" si="335"/>
        <v>1.5709970324986551</v>
      </c>
      <c r="AL389">
        <f t="shared" si="336"/>
        <v>0.88079469621180817</v>
      </c>
      <c r="AM389" t="str">
        <f t="shared" si="317"/>
        <v>1-0.147081906174914i</v>
      </c>
      <c r="AN389">
        <f t="shared" si="337"/>
        <v>1.0107586690818171</v>
      </c>
      <c r="AO389">
        <f t="shared" si="338"/>
        <v>-0.14603485165669139</v>
      </c>
      <c r="AP389" s="41" t="str">
        <f t="shared" si="339"/>
        <v>1.30751209056556-1.39764875669041i</v>
      </c>
      <c r="AQ389">
        <f t="shared" si="340"/>
        <v>5.6383809409802712</v>
      </c>
      <c r="AR389" s="43">
        <f t="shared" si="341"/>
        <v>-46.908404288124053</v>
      </c>
      <c r="AS389" t="str">
        <f t="shared" si="318"/>
        <v>-0.0000166666666666667</v>
      </c>
      <c r="AT389" t="str">
        <f t="shared" si="319"/>
        <v>0.00109561705825487i</v>
      </c>
      <c r="AU389">
        <f t="shared" si="342"/>
        <v>1.09561705825487E-3</v>
      </c>
      <c r="AV389">
        <f t="shared" si="343"/>
        <v>1.5707963267948966</v>
      </c>
      <c r="AW389" t="str">
        <f t="shared" si="320"/>
        <v>1+1.11343505193584i</v>
      </c>
      <c r="AX389">
        <f t="shared" si="344"/>
        <v>1.4965752954259826</v>
      </c>
      <c r="AY389">
        <f t="shared" si="345"/>
        <v>0.83902001987188424</v>
      </c>
      <c r="AZ389" t="str">
        <f t="shared" si="321"/>
        <v>1+37.8567917658184i</v>
      </c>
      <c r="BA389">
        <f t="shared" si="346"/>
        <v>37.869997132301663</v>
      </c>
      <c r="BB389">
        <f t="shared" si="347"/>
        <v>1.5443871288506481</v>
      </c>
      <c r="BC389" s="41" t="str">
        <f t="shared" si="348"/>
        <v>-0.249558087949651+0.293078850377646i</v>
      </c>
      <c r="BD389">
        <f t="shared" si="349"/>
        <v>-8.2922667084295796</v>
      </c>
      <c r="BE389" s="43">
        <f t="shared" si="350"/>
        <v>130.41455835182765</v>
      </c>
      <c r="BF389" s="41" t="str">
        <f t="shared" si="351"/>
        <v>0.147505731861191+0.0893201967233774i</v>
      </c>
      <c r="BG389" s="20">
        <f t="shared" si="352"/>
        <v>-15.267168899907768</v>
      </c>
      <c r="BH389" s="43">
        <f t="shared" si="353"/>
        <v>31.196461687590261</v>
      </c>
      <c r="BI389" s="41" t="str">
        <f t="shared" si="357"/>
        <v>0.0833210735499796+0.731998691702693i</v>
      </c>
      <c r="BJ389" s="20">
        <f t="shared" si="354"/>
        <v>-2.6538857674493039</v>
      </c>
      <c r="BK389" s="43">
        <f t="shared" si="358"/>
        <v>83.506154063703619</v>
      </c>
      <c r="BL389">
        <f t="shared" si="355"/>
        <v>-15.267168899907768</v>
      </c>
      <c r="BM389" s="43">
        <f t="shared" si="356"/>
        <v>31.196461687590261</v>
      </c>
    </row>
    <row r="390" spans="14:65" x14ac:dyDescent="0.25">
      <c r="N390" s="9">
        <v>72</v>
      </c>
      <c r="O390" s="34">
        <f t="shared" si="359"/>
        <v>52480.746024977314</v>
      </c>
      <c r="P390" s="33" t="str">
        <f t="shared" si="309"/>
        <v>19.1021967526266</v>
      </c>
      <c r="Q390" s="4" t="str">
        <f t="shared" si="310"/>
        <v>1+74.0118140386637i</v>
      </c>
      <c r="R390" s="4">
        <f t="shared" si="322"/>
        <v>74.018569408586501</v>
      </c>
      <c r="S390" s="4">
        <f t="shared" si="323"/>
        <v>1.5572857924646444</v>
      </c>
      <c r="T390" s="4" t="str">
        <f t="shared" si="311"/>
        <v>1+1.23984590877569i</v>
      </c>
      <c r="U390" s="4">
        <f t="shared" si="324"/>
        <v>1.5928646764580525</v>
      </c>
      <c r="V390" s="4">
        <f t="shared" si="325"/>
        <v>0.89207310826144526</v>
      </c>
      <c r="W390" t="str">
        <f t="shared" si="312"/>
        <v>1-0.686971359029085i</v>
      </c>
      <c r="X390" s="4">
        <f t="shared" si="326"/>
        <v>1.2132310777944439</v>
      </c>
      <c r="Y390" s="4">
        <f t="shared" si="327"/>
        <v>-0.60192828647995134</v>
      </c>
      <c r="Z390" t="str">
        <f t="shared" si="313"/>
        <v>0.997245771296662+0.511106691117639i</v>
      </c>
      <c r="AA390" s="4">
        <f t="shared" si="328"/>
        <v>1.1205932259630593</v>
      </c>
      <c r="AB390" s="4">
        <f t="shared" si="329"/>
        <v>0.47361200962119859</v>
      </c>
      <c r="AC390" s="47" t="str">
        <f t="shared" si="330"/>
        <v>-0.0752770187893778-0.438646083045454i</v>
      </c>
      <c r="AD390" s="20">
        <f t="shared" si="331"/>
        <v>-7.0316591578507195</v>
      </c>
      <c r="AE390" s="43">
        <f t="shared" si="332"/>
        <v>-99.737798946258948</v>
      </c>
      <c r="AF390" t="str">
        <f t="shared" si="314"/>
        <v>69.5520360182888</v>
      </c>
      <c r="AG390" t="str">
        <f t="shared" si="315"/>
        <v>1+59.0402813702712i</v>
      </c>
      <c r="AH390">
        <f t="shared" si="333"/>
        <v>59.048749557300475</v>
      </c>
      <c r="AI390">
        <f t="shared" si="334"/>
        <v>1.5538603575558136</v>
      </c>
      <c r="AJ390" t="str">
        <f t="shared" si="316"/>
        <v>1+1.23984590877569i</v>
      </c>
      <c r="AK390">
        <f t="shared" si="335"/>
        <v>1.5928646764580525</v>
      </c>
      <c r="AL390">
        <f t="shared" si="336"/>
        <v>0.89207310826144526</v>
      </c>
      <c r="AM390" t="str">
        <f t="shared" si="317"/>
        <v>1-0.150507883880084i</v>
      </c>
      <c r="AN390">
        <f t="shared" si="337"/>
        <v>1.0112628852628087</v>
      </c>
      <c r="AO390">
        <f t="shared" si="338"/>
        <v>-0.1493866185147785</v>
      </c>
      <c r="AP390" s="41" t="str">
        <f t="shared" si="339"/>
        <v>1.30658966685433-1.37574402293797i</v>
      </c>
      <c r="AQ390">
        <f t="shared" si="340"/>
        <v>5.5628418451554822</v>
      </c>
      <c r="AR390" s="43">
        <f t="shared" si="341"/>
        <v>-46.476839076767071</v>
      </c>
      <c r="AS390" t="str">
        <f t="shared" si="318"/>
        <v>-0.0000166666666666667</v>
      </c>
      <c r="AT390" t="str">
        <f t="shared" si="319"/>
        <v>0.00112113725793547i</v>
      </c>
      <c r="AU390">
        <f t="shared" si="342"/>
        <v>1.12113725793547E-3</v>
      </c>
      <c r="AV390">
        <f t="shared" si="343"/>
        <v>1.5707963267948966</v>
      </c>
      <c r="AW390" t="str">
        <f t="shared" si="320"/>
        <v>1+1.1393702860057i</v>
      </c>
      <c r="AX390">
        <f t="shared" si="344"/>
        <v>1.5159698706216791</v>
      </c>
      <c r="AY390">
        <f t="shared" si="345"/>
        <v>0.85045171119966101</v>
      </c>
      <c r="AZ390" t="str">
        <f t="shared" si="321"/>
        <v>1+38.7385897241937i</v>
      </c>
      <c r="BA390">
        <f t="shared" si="346"/>
        <v>38.75149460110417</v>
      </c>
      <c r="BB390">
        <f t="shared" si="347"/>
        <v>1.5449880055805558</v>
      </c>
      <c r="BC390" s="41" t="str">
        <f t="shared" si="348"/>
        <v>-0.24321348647093+0.291976077098242i</v>
      </c>
      <c r="BD390">
        <f t="shared" si="349"/>
        <v>-8.4042429660570175</v>
      </c>
      <c r="BE390" s="43">
        <f t="shared" si="350"/>
        <v>129.79399838668104</v>
      </c>
      <c r="BF390" s="41" t="str">
        <f t="shared" si="351"/>
        <v>0.146382548753024+0.0847055545425288i</v>
      </c>
      <c r="BG390" s="20">
        <f t="shared" si="352"/>
        <v>-15.435902123907718</v>
      </c>
      <c r="BH390" s="43">
        <f t="shared" si="353"/>
        <v>30.056199440422052</v>
      </c>
      <c r="BI390" s="41" t="str">
        <f t="shared" si="357"/>
        <v>0.0839041146462499+0.716092425615513i</v>
      </c>
      <c r="BJ390" s="20">
        <f t="shared" si="354"/>
        <v>-2.8414011209015335</v>
      </c>
      <c r="BK390" s="43">
        <f t="shared" si="358"/>
        <v>83.31715930991399</v>
      </c>
      <c r="BL390">
        <f t="shared" si="355"/>
        <v>-15.435902123907718</v>
      </c>
      <c r="BM390" s="43">
        <f t="shared" si="356"/>
        <v>30.056199440422052</v>
      </c>
    </row>
    <row r="391" spans="14:65" x14ac:dyDescent="0.25">
      <c r="N391" s="9">
        <v>73</v>
      </c>
      <c r="O391" s="34">
        <f t="shared" si="359"/>
        <v>53703.179637025423</v>
      </c>
      <c r="P391" s="33" t="str">
        <f t="shared" si="309"/>
        <v>19.1021967526266</v>
      </c>
      <c r="Q391" s="4" t="str">
        <f t="shared" si="310"/>
        <v>1+75.735770651751i</v>
      </c>
      <c r="R391" s="4">
        <f t="shared" si="322"/>
        <v>75.742372264239435</v>
      </c>
      <c r="S391" s="4">
        <f t="shared" si="323"/>
        <v>1.5575932936175143</v>
      </c>
      <c r="T391" s="4" t="str">
        <f t="shared" si="311"/>
        <v>1+1.26872562995813i</v>
      </c>
      <c r="U391" s="4">
        <f t="shared" si="324"/>
        <v>1.6154456735256231</v>
      </c>
      <c r="V391" s="4">
        <f t="shared" si="325"/>
        <v>0.90329667452686946</v>
      </c>
      <c r="W391" t="str">
        <f t="shared" si="312"/>
        <v>1-0.70297297759205i</v>
      </c>
      <c r="X391" s="4">
        <f t="shared" si="326"/>
        <v>1.2223628787003606</v>
      </c>
      <c r="Y391" s="4">
        <f t="shared" si="327"/>
        <v>-0.61271846579479627</v>
      </c>
      <c r="Z391" t="str">
        <f t="shared" si="313"/>
        <v>0.997115968496873+0.523011895328485i</v>
      </c>
      <c r="AA391" s="4">
        <f t="shared" si="328"/>
        <v>1.1259581241265375</v>
      </c>
      <c r="AB391" s="4">
        <f t="shared" si="329"/>
        <v>0.48307428068256064</v>
      </c>
      <c r="AC391" s="47" t="str">
        <f t="shared" si="330"/>
        <v>-0.0788767135419434-0.435207675103811i</v>
      </c>
      <c r="AD391" s="20">
        <f t="shared" si="331"/>
        <v>-7.0857063583109241</v>
      </c>
      <c r="AE391" s="43">
        <f t="shared" si="332"/>
        <v>-100.2727344177744</v>
      </c>
      <c r="AF391" t="str">
        <f t="shared" si="314"/>
        <v>69.5520360182888</v>
      </c>
      <c r="AG391" t="str">
        <f t="shared" si="315"/>
        <v>1+60.4155061884825i</v>
      </c>
      <c r="AH391">
        <f t="shared" si="333"/>
        <v>60.423781642748637</v>
      </c>
      <c r="AI391">
        <f t="shared" si="334"/>
        <v>1.554245796066511</v>
      </c>
      <c r="AJ391" t="str">
        <f t="shared" si="316"/>
        <v>1+1.26872562995813i</v>
      </c>
      <c r="AK391">
        <f t="shared" si="335"/>
        <v>1.6154456735256231</v>
      </c>
      <c r="AL391">
        <f t="shared" si="336"/>
        <v>0.90329667452686946</v>
      </c>
      <c r="AM391" t="str">
        <f t="shared" si="317"/>
        <v>1-0.154013662857496i</v>
      </c>
      <c r="AN391">
        <f t="shared" si="337"/>
        <v>1.0117905951069037</v>
      </c>
      <c r="AO391">
        <f t="shared" si="338"/>
        <v>-0.15281296024502883</v>
      </c>
      <c r="AP391" s="41" t="str">
        <f t="shared" si="339"/>
        <v>1.30570873577105-1.35456732053042i</v>
      </c>
      <c r="AQ391">
        <f t="shared" si="340"/>
        <v>5.4896988245395804</v>
      </c>
      <c r="AR391" s="43">
        <f t="shared" si="341"/>
        <v>-46.05217501891044</v>
      </c>
      <c r="AS391" t="str">
        <f t="shared" si="318"/>
        <v>-0.0000166666666666667</v>
      </c>
      <c r="AT391" t="str">
        <f t="shared" si="319"/>
        <v>0.00114725189943023i</v>
      </c>
      <c r="AU391">
        <f t="shared" si="342"/>
        <v>1.1472518994302299E-3</v>
      </c>
      <c r="AV391">
        <f t="shared" si="343"/>
        <v>1.5707963267948966</v>
      </c>
      <c r="AW391" t="str">
        <f t="shared" si="320"/>
        <v>1+1.16590962928255i</v>
      </c>
      <c r="AX391">
        <f t="shared" si="344"/>
        <v>1.5360160362619175</v>
      </c>
      <c r="AY391">
        <f t="shared" si="345"/>
        <v>0.86184930709963359</v>
      </c>
      <c r="AZ391" t="str">
        <f t="shared" si="321"/>
        <v>1+39.6409273956067i</v>
      </c>
      <c r="BA391">
        <f t="shared" si="346"/>
        <v>39.653538616165918</v>
      </c>
      <c r="BB391">
        <f t="shared" si="347"/>
        <v>1.5455752226987991</v>
      </c>
      <c r="BC391" s="41" t="str">
        <f t="shared" si="348"/>
        <v>-0.236906672918484+0.290739240425762i</v>
      </c>
      <c r="BD391">
        <f t="shared" si="349"/>
        <v>-8.5184767301134929</v>
      </c>
      <c r="BE391" s="43">
        <f t="shared" si="350"/>
        <v>129.17460930755013</v>
      </c>
      <c r="BF391" s="41" t="str">
        <f t="shared" si="351"/>
        <v>0.14521836866311+0.0801710465549674i</v>
      </c>
      <c r="BG391" s="20">
        <f t="shared" si="352"/>
        <v>-15.604183088424415</v>
      </c>
      <c r="BH391" s="43">
        <f t="shared" si="353"/>
        <v>28.90187488977574</v>
      </c>
      <c r="BI391" s="41" t="str">
        <f t="shared" si="357"/>
        <v>0.0844947614844547+0.700526803206325i</v>
      </c>
      <c r="BJ391" s="20">
        <f t="shared" si="354"/>
        <v>-3.0287779055739072</v>
      </c>
      <c r="BK391" s="43">
        <f t="shared" si="358"/>
        <v>83.122434288639695</v>
      </c>
      <c r="BL391">
        <f t="shared" si="355"/>
        <v>-15.604183088424415</v>
      </c>
      <c r="BM391" s="43">
        <f t="shared" si="356"/>
        <v>28.90187488977574</v>
      </c>
    </row>
    <row r="392" spans="14:65" x14ac:dyDescent="0.25">
      <c r="N392" s="9">
        <v>74</v>
      </c>
      <c r="O392" s="34">
        <f t="shared" si="359"/>
        <v>54954.087385762505</v>
      </c>
      <c r="P392" s="33" t="str">
        <f t="shared" si="309"/>
        <v>19.1021967526266</v>
      </c>
      <c r="Q392" s="4" t="str">
        <f t="shared" si="310"/>
        <v>1+77.499883372919i</v>
      </c>
      <c r="R392" s="4">
        <f t="shared" si="322"/>
        <v>77.506334727014718</v>
      </c>
      <c r="S392" s="4">
        <f t="shared" si="323"/>
        <v>1.5578937976024418</v>
      </c>
      <c r="T392" s="4" t="str">
        <f t="shared" si="311"/>
        <v>1+1.29827804626314i</v>
      </c>
      <c r="U392" s="4">
        <f t="shared" si="324"/>
        <v>1.6387574211605682</v>
      </c>
      <c r="V392" s="4">
        <f t="shared" si="325"/>
        <v>0.91446003599781744</v>
      </c>
      <c r="W392" t="str">
        <f t="shared" si="312"/>
        <v>1-0.719347321732679i</v>
      </c>
      <c r="X392" s="4">
        <f t="shared" si="326"/>
        <v>1.2318524949375953</v>
      </c>
      <c r="Y392" s="4">
        <f t="shared" si="327"/>
        <v>-0.62359307386290364</v>
      </c>
      <c r="Z392" t="str">
        <f t="shared" si="313"/>
        <v>0.996980048279598+0.535194407369113i</v>
      </c>
      <c r="AA392" s="4">
        <f t="shared" si="328"/>
        <v>1.1315486159890635</v>
      </c>
      <c r="AB392" s="4">
        <f t="shared" si="329"/>
        <v>0.4926644849196114</v>
      </c>
      <c r="AC392" s="47" t="str">
        <f t="shared" si="330"/>
        <v>-0.0825621405956685-0.431868626330104i</v>
      </c>
      <c r="AD392" s="20">
        <f t="shared" si="331"/>
        <v>-7.1370744903744088</v>
      </c>
      <c r="AE392" s="43">
        <f t="shared" si="332"/>
        <v>-100.82288590398629</v>
      </c>
      <c r="AF392" t="str">
        <f t="shared" si="314"/>
        <v>69.5520360182888</v>
      </c>
      <c r="AG392" t="str">
        <f t="shared" si="315"/>
        <v>1+61.8227641077686i</v>
      </c>
      <c r="AH392">
        <f t="shared" si="333"/>
        <v>61.830851214622626</v>
      </c>
      <c r="AI392">
        <f t="shared" si="334"/>
        <v>1.5546224656778425</v>
      </c>
      <c r="AJ392" t="str">
        <f t="shared" si="316"/>
        <v>1+1.29827804626314i</v>
      </c>
      <c r="AK392">
        <f t="shared" si="335"/>
        <v>1.6387574211605682</v>
      </c>
      <c r="AL392">
        <f t="shared" si="336"/>
        <v>0.91446003599781744</v>
      </c>
      <c r="AM392" t="str">
        <f t="shared" si="317"/>
        <v>1-0.157601101917566i</v>
      </c>
      <c r="AN392">
        <f t="shared" si="337"/>
        <v>1.0123428803155732</v>
      </c>
      <c r="AO392">
        <f t="shared" si="338"/>
        <v>-0.15631537157619405</v>
      </c>
      <c r="AP392" s="41" t="str">
        <f t="shared" si="339"/>
        <v>1.30486743188719-1.33410751511652i</v>
      </c>
      <c r="AQ392">
        <f t="shared" si="340"/>
        <v>5.4189385327863269</v>
      </c>
      <c r="AR392" s="43">
        <f t="shared" si="341"/>
        <v>-45.634816487840936</v>
      </c>
      <c r="AS392" t="str">
        <f t="shared" si="318"/>
        <v>-0.0000166666666666667</v>
      </c>
      <c r="AT392" t="str">
        <f t="shared" si="319"/>
        <v>0.00117397482906773i</v>
      </c>
      <c r="AU392">
        <f t="shared" si="342"/>
        <v>1.17397482906773E-3</v>
      </c>
      <c r="AV392">
        <f t="shared" si="343"/>
        <v>1.5707963267948966</v>
      </c>
      <c r="AW392" t="str">
        <f t="shared" si="320"/>
        <v>1+1.19306715327748i</v>
      </c>
      <c r="AX392">
        <f t="shared" si="344"/>
        <v>1.5567303016995686</v>
      </c>
      <c r="AY392">
        <f t="shared" si="345"/>
        <v>0.87320700676296159</v>
      </c>
      <c r="AZ392" t="str">
        <f t="shared" si="321"/>
        <v>1+40.5642832114345i</v>
      </c>
      <c r="BA392">
        <f t="shared" si="346"/>
        <v>40.576607453771523</v>
      </c>
      <c r="BB392">
        <f t="shared" si="347"/>
        <v>1.5461490899348469</v>
      </c>
      <c r="BC392" s="41" t="str">
        <f t="shared" si="348"/>
        <v>-0.230643933036417+0.289370484265162i</v>
      </c>
      <c r="BD392">
        <f t="shared" si="349"/>
        <v>-8.6349536253942887</v>
      </c>
      <c r="BE392" s="43">
        <f t="shared" si="350"/>
        <v>128.55674122249079</v>
      </c>
      <c r="BF392" s="41" t="str">
        <f t="shared" si="351"/>
        <v>0.144012490366963+0.0757168319256729i</v>
      </c>
      <c r="BG392" s="20">
        <f t="shared" si="352"/>
        <v>-15.772028115768702</v>
      </c>
      <c r="BH392" s="43">
        <f t="shared" si="353"/>
        <v>27.733855318504492</v>
      </c>
      <c r="BI392" s="41" t="str">
        <f t="shared" si="357"/>
        <v>0.0850915811294689+0.68529392504695i</v>
      </c>
      <c r="BJ392" s="20">
        <f t="shared" si="354"/>
        <v>-3.2160150926079596</v>
      </c>
      <c r="BK392" s="43">
        <f t="shared" si="358"/>
        <v>82.921924734649863</v>
      </c>
      <c r="BL392">
        <f t="shared" si="355"/>
        <v>-15.772028115768702</v>
      </c>
      <c r="BM392" s="43">
        <f t="shared" si="356"/>
        <v>27.733855318504492</v>
      </c>
    </row>
    <row r="393" spans="14:65" x14ac:dyDescent="0.25">
      <c r="N393" s="9">
        <v>75</v>
      </c>
      <c r="O393" s="34">
        <f t="shared" si="359"/>
        <v>56234.132519034953</v>
      </c>
      <c r="P393" s="33" t="str">
        <f t="shared" si="309"/>
        <v>19.1021967526266</v>
      </c>
      <c r="Q393" s="4" t="str">
        <f t="shared" si="310"/>
        <v>1+79.3050875580837i</v>
      </c>
      <c r="R393" s="4">
        <f t="shared" si="322"/>
        <v>79.311392073240796</v>
      </c>
      <c r="S393" s="4">
        <f t="shared" si="323"/>
        <v>1.5581874635334021</v>
      </c>
      <c r="T393" s="4" t="str">
        <f t="shared" si="311"/>
        <v>1+1.32851882677302i</v>
      </c>
      <c r="U393" s="4">
        <f t="shared" si="324"/>
        <v>1.6628175705982786</v>
      </c>
      <c r="V393" s="4">
        <f t="shared" si="325"/>
        <v>0.92555798269674305</v>
      </c>
      <c r="W393" t="str">
        <f t="shared" si="312"/>
        <v>1-0.736103073344979i</v>
      </c>
      <c r="X393" s="4">
        <f t="shared" si="326"/>
        <v>1.2417116149041707</v>
      </c>
      <c r="Y393" s="4">
        <f t="shared" si="327"/>
        <v>-0.63454758872264594</v>
      </c>
      <c r="Z393" t="str">
        <f t="shared" si="313"/>
        <v>0.996837722339832+0.547660686568664i</v>
      </c>
      <c r="AA393" s="4">
        <f t="shared" si="328"/>
        <v>1.137373145582629</v>
      </c>
      <c r="AB393" s="4">
        <f t="shared" si="329"/>
        <v>0.50238093276676143</v>
      </c>
      <c r="AC393" s="47" t="str">
        <f t="shared" si="330"/>
        <v>-0.0863335182188074-0.428621912049317i</v>
      </c>
      <c r="AD393" s="20">
        <f t="shared" si="331"/>
        <v>-7.1857976038185924</v>
      </c>
      <c r="AE393" s="43">
        <f t="shared" si="332"/>
        <v>-101.38820513688466</v>
      </c>
      <c r="AF393" t="str">
        <f t="shared" si="314"/>
        <v>69.5520360182888</v>
      </c>
      <c r="AG393" t="str">
        <f t="shared" si="315"/>
        <v>1+63.2628012749057i</v>
      </c>
      <c r="AH393">
        <f t="shared" si="333"/>
        <v>63.270704319994806</v>
      </c>
      <c r="AI393">
        <f t="shared" si="334"/>
        <v>1.5549905656772409</v>
      </c>
      <c r="AJ393" t="str">
        <f t="shared" si="316"/>
        <v>1+1.32851882677302i</v>
      </c>
      <c r="AK393">
        <f t="shared" si="335"/>
        <v>1.6628175705982786</v>
      </c>
      <c r="AL393">
        <f t="shared" si="336"/>
        <v>0.92555798269674305</v>
      </c>
      <c r="AM393" t="str">
        <f t="shared" si="317"/>
        <v>1-0.16127210316797i</v>
      </c>
      <c r="AN393">
        <f t="shared" si="337"/>
        <v>1.0129208711741606</v>
      </c>
      <c r="AO393">
        <f t="shared" si="338"/>
        <v>-0.15989536564734061</v>
      </c>
      <c r="AP393" s="41" t="str">
        <f t="shared" si="339"/>
        <v>1.30406397355233-1.31435384619699i</v>
      </c>
      <c r="AQ393">
        <f t="shared" si="340"/>
        <v>5.3505460709266481</v>
      </c>
      <c r="AR393" s="43">
        <f t="shared" si="341"/>
        <v>-45.225160108094265</v>
      </c>
      <c r="AS393" t="str">
        <f t="shared" si="318"/>
        <v>-0.0000166666666666667</v>
      </c>
      <c r="AT393" t="str">
        <f t="shared" si="319"/>
        <v>0.00120132021569901i</v>
      </c>
      <c r="AU393">
        <f t="shared" si="342"/>
        <v>1.2013202156990099E-3</v>
      </c>
      <c r="AV393">
        <f t="shared" si="343"/>
        <v>1.5707963267948966</v>
      </c>
      <c r="AW393" t="str">
        <f t="shared" si="320"/>
        <v>1+1.2208572572692i</v>
      </c>
      <c r="AX393">
        <f t="shared" si="344"/>
        <v>1.5781294125092764</v>
      </c>
      <c r="AY393">
        <f t="shared" si="345"/>
        <v>0.88451911211540046</v>
      </c>
      <c r="AZ393" t="str">
        <f t="shared" si="321"/>
        <v>1+41.5091467471527i</v>
      </c>
      <c r="BA393">
        <f t="shared" si="346"/>
        <v>41.521190537804394</v>
      </c>
      <c r="BB393">
        <f t="shared" si="347"/>
        <v>1.5467099100479331</v>
      </c>
      <c r="BC393" s="41" t="str">
        <f t="shared" si="348"/>
        <v>-0.224431372330785+0.287872295076094i</v>
      </c>
      <c r="BD393">
        <f t="shared" si="349"/>
        <v>-8.7536570467235961</v>
      </c>
      <c r="BE393" s="43">
        <f t="shared" si="350"/>
        <v>127.94073795393435</v>
      </c>
      <c r="BF393" s="41" t="str">
        <f t="shared" si="351"/>
        <v>0.142764323513532+0.0713431759006314i</v>
      </c>
      <c r="BG393" s="20">
        <f t="shared" si="352"/>
        <v>-15.939454650542206</v>
      </c>
      <c r="BH393" s="43">
        <f t="shared" si="353"/>
        <v>26.552532817049737</v>
      </c>
      <c r="BI393" s="41" t="str">
        <f t="shared" si="357"/>
        <v>0.085693191055333+0.670386126422796i</v>
      </c>
      <c r="BJ393" s="20">
        <f t="shared" si="354"/>
        <v>-3.4031109757969489</v>
      </c>
      <c r="BK393" s="43">
        <f t="shared" si="358"/>
        <v>82.715577845840102</v>
      </c>
      <c r="BL393">
        <f t="shared" si="355"/>
        <v>-15.939454650542206</v>
      </c>
      <c r="BM393" s="43">
        <f t="shared" si="356"/>
        <v>26.552532817049737</v>
      </c>
    </row>
    <row r="394" spans="14:65" x14ac:dyDescent="0.25">
      <c r="N394" s="9">
        <v>76</v>
      </c>
      <c r="O394" s="34">
        <f t="shared" si="359"/>
        <v>57543.993733715732</v>
      </c>
      <c r="P394" s="33" t="str">
        <f t="shared" si="309"/>
        <v>19.1021967526266</v>
      </c>
      <c r="Q394" s="4" t="str">
        <f t="shared" si="310"/>
        <v>1+81.1523403503988i</v>
      </c>
      <c r="R394" s="4">
        <f t="shared" si="322"/>
        <v>81.158501368291454</v>
      </c>
      <c r="S394" s="4">
        <f t="shared" si="323"/>
        <v>1.5584744469132377</v>
      </c>
      <c r="T394" s="4" t="str">
        <f t="shared" si="311"/>
        <v>1+1.35946400554988i</v>
      </c>
      <c r="U394" s="4">
        <f t="shared" si="324"/>
        <v>1.6876440330785765</v>
      </c>
      <c r="V394" s="4">
        <f t="shared" si="325"/>
        <v>0.93658546437778367</v>
      </c>
      <c r="W394" t="str">
        <f t="shared" si="312"/>
        <v>1-0.753249116550244i</v>
      </c>
      <c r="X394" s="4">
        <f t="shared" si="326"/>
        <v>1.2519521682491399</v>
      </c>
      <c r="Y394" s="4">
        <f t="shared" si="327"/>
        <v>-0.64557730241595401</v>
      </c>
      <c r="Z394" t="str">
        <f t="shared" si="313"/>
        <v>0.996688688785174+0.560417342713381i</v>
      </c>
      <c r="AA394" s="4">
        <f t="shared" si="328"/>
        <v>1.1434403965079407</v>
      </c>
      <c r="AB394" s="4">
        <f t="shared" si="329"/>
        <v>0.51222173350685141</v>
      </c>
      <c r="AC394" s="47" t="str">
        <f t="shared" si="330"/>
        <v>-0.090190843495042-0.425460498676843i</v>
      </c>
      <c r="AD394" s="20">
        <f t="shared" si="331"/>
        <v>-7.2319130281661215</v>
      </c>
      <c r="AE394" s="43">
        <f t="shared" si="332"/>
        <v>-101.96861230765889</v>
      </c>
      <c r="AF394" t="str">
        <f t="shared" si="314"/>
        <v>69.5520360182888</v>
      </c>
      <c r="AG394" t="str">
        <f t="shared" si="315"/>
        <v>1+64.736381216661i</v>
      </c>
      <c r="AH394">
        <f t="shared" si="333"/>
        <v>64.744104388190124</v>
      </c>
      <c r="AI394">
        <f t="shared" si="334"/>
        <v>1.5553502908369565</v>
      </c>
      <c r="AJ394" t="str">
        <f t="shared" si="316"/>
        <v>1+1.35946400554988i</v>
      </c>
      <c r="AK394">
        <f t="shared" si="335"/>
        <v>1.6876440330785765</v>
      </c>
      <c r="AL394">
        <f t="shared" si="336"/>
        <v>0.93658546437778367</v>
      </c>
      <c r="AM394" t="str">
        <f t="shared" si="317"/>
        <v>1-0.165028613022163i</v>
      </c>
      <c r="AN394">
        <f t="shared" si="337"/>
        <v>1.0135257486201417</v>
      </c>
      <c r="AO394">
        <f t="shared" si="338"/>
        <v>-0.16355447337150561</v>
      </c>
      <c r="AP394" s="41" t="str">
        <f t="shared" si="339"/>
        <v>1.30329665913931-1.29529592183611i</v>
      </c>
      <c r="AQ394">
        <f t="shared" si="340"/>
        <v>5.2845050958873667</v>
      </c>
      <c r="AR394" s="43">
        <f t="shared" si="341"/>
        <v>-44.823594111927314</v>
      </c>
      <c r="AS394" t="str">
        <f t="shared" si="318"/>
        <v>-0.0000166666666666667</v>
      </c>
      <c r="AT394" t="str">
        <f t="shared" si="319"/>
        <v>0.00122930255821i</v>
      </c>
      <c r="AU394">
        <f t="shared" si="342"/>
        <v>1.22930255821E-3</v>
      </c>
      <c r="AV394">
        <f t="shared" si="343"/>
        <v>1.5707963267948966</v>
      </c>
      <c r="AW394" t="str">
        <f t="shared" si="320"/>
        <v>1+1.24929467593867i</v>
      </c>
      <c r="AX394">
        <f t="shared" si="344"/>
        <v>1.6002303544579783</v>
      </c>
      <c r="AY394">
        <f t="shared" si="345"/>
        <v>0.89578004142941836</v>
      </c>
      <c r="AZ394" t="str">
        <f t="shared" si="321"/>
        <v>1+42.4760189819148i</v>
      </c>
      <c r="BA394">
        <f t="shared" si="346"/>
        <v>42.487788699248469</v>
      </c>
      <c r="BB394">
        <f t="shared" si="347"/>
        <v>1.5472579789803873</v>
      </c>
      <c r="BC394" s="41" t="str">
        <f t="shared" si="348"/>
        <v>-0.218274893434604+0.286247485396414i</v>
      </c>
      <c r="BD394">
        <f t="shared" si="349"/>
        <v>-8.8745682280980809</v>
      </c>
      <c r="BE394" s="43">
        <f t="shared" si="350"/>
        <v>127.32693626755797</v>
      </c>
      <c r="BF394" s="41" t="str">
        <f t="shared" si="351"/>
        <v>0.141473394634408+0.0670504428530841i</v>
      </c>
      <c r="BG394" s="20">
        <f t="shared" si="352"/>
        <v>-16.106481256264203</v>
      </c>
      <c r="BH394" s="43">
        <f t="shared" si="353"/>
        <v>25.358323959899092</v>
      </c>
      <c r="BI394" s="41" t="str">
        <f t="shared" si="357"/>
        <v>0.0862982610825082+0.655795970709229i</v>
      </c>
      <c r="BJ394" s="20">
        <f t="shared" si="354"/>
        <v>-3.5900631322107124</v>
      </c>
      <c r="BK394" s="43">
        <f t="shared" si="358"/>
        <v>82.503342155630662</v>
      </c>
      <c r="BL394">
        <f t="shared" si="355"/>
        <v>-16.106481256264203</v>
      </c>
      <c r="BM394" s="43">
        <f t="shared" si="356"/>
        <v>25.358323959899092</v>
      </c>
    </row>
    <row r="395" spans="14:65" x14ac:dyDescent="0.25">
      <c r="N395" s="9">
        <v>77</v>
      </c>
      <c r="O395" s="34">
        <f t="shared" si="359"/>
        <v>58884.365535558936</v>
      </c>
      <c r="P395" s="33" t="str">
        <f t="shared" si="309"/>
        <v>19.1021967526266</v>
      </c>
      <c r="Q395" s="4" t="str">
        <f t="shared" si="310"/>
        <v>1+83.0426211877457i</v>
      </c>
      <c r="R395" s="4">
        <f t="shared" si="322"/>
        <v>83.048641974034894</v>
      </c>
      <c r="S395" s="4">
        <f t="shared" si="323"/>
        <v>1.5587548997151399</v>
      </c>
      <c r="T395" s="4" t="str">
        <f t="shared" si="311"/>
        <v>1+1.39112999013711i</v>
      </c>
      <c r="U395" s="4">
        <f t="shared" si="324"/>
        <v>1.7132549867018849</v>
      </c>
      <c r="V395" s="4">
        <f t="shared" si="325"/>
        <v>0.94753760031250056</v>
      </c>
      <c r="W395" t="str">
        <f t="shared" si="312"/>
        <v>1-0.770794542407533i</v>
      </c>
      <c r="X395" s="4">
        <f t="shared" si="326"/>
        <v>1.2625863244171616</v>
      </c>
      <c r="Y395" s="4">
        <f t="shared" si="327"/>
        <v>-0.65667732888518204</v>
      </c>
      <c r="Z395" t="str">
        <f t="shared" si="313"/>
        <v>0.996532631495475+0.573471139551205i</v>
      </c>
      <c r="AA395" s="4">
        <f t="shared" si="328"/>
        <v>1.1497592937364993</v>
      </c>
      <c r="AB395" s="4">
        <f t="shared" si="329"/>
        <v>0.52218479172378085</v>
      </c>
      <c r="AC395" s="47" t="str">
        <f t="shared" si="330"/>
        <v>-0.0941338832600107-0.422377353759205i</v>
      </c>
      <c r="AD395" s="20">
        <f t="shared" si="331"/>
        <v>-7.2754612875731048</v>
      </c>
      <c r="AE395" s="43">
        <f t="shared" si="332"/>
        <v>-102.56399575989103</v>
      </c>
      <c r="AF395" t="str">
        <f t="shared" si="314"/>
        <v>69.5520360182888</v>
      </c>
      <c r="AG395" t="str">
        <f t="shared" si="315"/>
        <v>1+66.2442852446246i</v>
      </c>
      <c r="AH395">
        <f t="shared" si="333"/>
        <v>66.251832635567069</v>
      </c>
      <c r="AI395">
        <f t="shared" si="334"/>
        <v>1.5557018315154227</v>
      </c>
      <c r="AJ395" t="str">
        <f t="shared" si="316"/>
        <v>1+1.39112999013711i</v>
      </c>
      <c r="AK395">
        <f t="shared" si="335"/>
        <v>1.7132549867018849</v>
      </c>
      <c r="AL395">
        <f t="shared" si="336"/>
        <v>0.94753760031250056</v>
      </c>
      <c r="AM395" t="str">
        <f t="shared" si="317"/>
        <v>1-0.168872623231392i</v>
      </c>
      <c r="AN395">
        <f t="shared" si="337"/>
        <v>1.0141587463888737</v>
      </c>
      <c r="AO395">
        <f t="shared" si="338"/>
        <v>-0.16729424272075386</v>
      </c>
      <c r="AP395" s="41" t="str">
        <f t="shared" si="339"/>
        <v>1.30256386345701-1.27692371354102i</v>
      </c>
      <c r="AQ395">
        <f t="shared" si="340"/>
        <v>5.2207979346022482</v>
      </c>
      <c r="AR395" s="43">
        <f t="shared" si="341"/>
        <v>-44.430497743482178</v>
      </c>
      <c r="AS395" t="str">
        <f t="shared" si="318"/>
        <v>-0.0000166666666666667</v>
      </c>
      <c r="AT395" t="str">
        <f t="shared" si="319"/>
        <v>0.00125793669320909i</v>
      </c>
      <c r="AU395">
        <f t="shared" si="342"/>
        <v>1.25793669320909E-3</v>
      </c>
      <c r="AV395">
        <f t="shared" si="343"/>
        <v>1.5707963267948966</v>
      </c>
      <c r="AW395" t="str">
        <f t="shared" si="320"/>
        <v>1+1.2783944871817i</v>
      </c>
      <c r="AX395">
        <f t="shared" si="344"/>
        <v>1.6230503580778268</v>
      </c>
      <c r="AY395">
        <f t="shared" si="345"/>
        <v>0.90698434222538171</v>
      </c>
      <c r="AZ395" t="str">
        <f t="shared" si="321"/>
        <v>1+43.4654125641778i</v>
      </c>
      <c r="BA395">
        <f t="shared" si="346"/>
        <v>43.476914441737755</v>
      </c>
      <c r="BB395">
        <f t="shared" si="347"/>
        <v>1.5477935860078276</v>
      </c>
      <c r="BC395" s="41" t="str">
        <f t="shared" si="348"/>
        <v>-0.212180175183639+0.284499175649096i</v>
      </c>
      <c r="BD395">
        <f t="shared" si="349"/>
        <v>-8.9976663196056101</v>
      </c>
      <c r="BE395" s="43">
        <f t="shared" si="350"/>
        <v>126.71566514170404</v>
      </c>
      <c r="BF395" s="41" t="str">
        <f t="shared" si="351"/>
        <v>0.140139352798166+0.0628390887261087i</v>
      </c>
      <c r="BG395" s="20">
        <f t="shared" si="352"/>
        <v>-16.273127607178701</v>
      </c>
      <c r="BH395" s="43">
        <f t="shared" si="353"/>
        <v>24.151669381812962</v>
      </c>
      <c r="BI395" s="41" t="str">
        <f t="shared" si="357"/>
        <v>0.0869055151330166+0.641516242619097i</v>
      </c>
      <c r="BJ395" s="20">
        <f t="shared" si="354"/>
        <v>-3.7768683850033695</v>
      </c>
      <c r="BK395" s="43">
        <f t="shared" si="358"/>
        <v>82.285167398221859</v>
      </c>
      <c r="BL395">
        <f t="shared" si="355"/>
        <v>-16.273127607178701</v>
      </c>
      <c r="BM395" s="43">
        <f t="shared" si="356"/>
        <v>24.151669381812962</v>
      </c>
    </row>
    <row r="396" spans="14:65" x14ac:dyDescent="0.25">
      <c r="N396" s="9">
        <v>78</v>
      </c>
      <c r="O396" s="34">
        <f t="shared" si="359"/>
        <v>60255.95860743591</v>
      </c>
      <c r="P396" s="33" t="str">
        <f t="shared" si="309"/>
        <v>19.1021967526266</v>
      </c>
      <c r="Q396" s="4" t="str">
        <f t="shared" si="310"/>
        <v>1+84.9769323220457i</v>
      </c>
      <c r="R396" s="4">
        <f t="shared" si="322"/>
        <v>84.982816068106004</v>
      </c>
      <c r="S396" s="4">
        <f t="shared" si="323"/>
        <v>1.5590289704623264</v>
      </c>
      <c r="T396" s="4" t="str">
        <f t="shared" si="311"/>
        <v>1+1.42353357025891i</v>
      </c>
      <c r="U396" s="4">
        <f t="shared" si="324"/>
        <v>1.7396688839127057</v>
      </c>
      <c r="V396" s="4">
        <f t="shared" si="325"/>
        <v>0.9584096881284776</v>
      </c>
      <c r="W396" t="str">
        <f t="shared" si="312"/>
        <v>1-0.788748653733881i</v>
      </c>
      <c r="X396" s="4">
        <f t="shared" si="326"/>
        <v>1.2736264910746045</v>
      </c>
      <c r="Y396" s="4">
        <f t="shared" si="327"/>
        <v>-0.66784261284112989</v>
      </c>
      <c r="Z396" t="str">
        <f t="shared" si="313"/>
        <v>0.996369219452299+0.586828998378007i</v>
      </c>
      <c r="AA396" s="4">
        <f t="shared" si="328"/>
        <v>1.1563390051404987</v>
      </c>
      <c r="AB396" s="4">
        <f t="shared" si="329"/>
        <v>0.53226780436909871</v>
      </c>
      <c r="AC396" s="47" t="str">
        <f t="shared" si="330"/>
        <v>-0.0981621656558553-0.419365457125525i</v>
      </c>
      <c r="AD396" s="20">
        <f t="shared" si="331"/>
        <v>-7.3164860033668164</v>
      </c>
      <c r="AE396" s="43">
        <f t="shared" si="332"/>
        <v>-103.17421182773639</v>
      </c>
      <c r="AF396" t="str">
        <f t="shared" si="314"/>
        <v>69.5520360182888</v>
      </c>
      <c r="AG396" t="str">
        <f t="shared" si="315"/>
        <v>1+67.7873128694719i</v>
      </c>
      <c r="AH396">
        <f t="shared" si="333"/>
        <v>67.794688479730269</v>
      </c>
      <c r="AI396">
        <f t="shared" si="334"/>
        <v>1.5560453737564115</v>
      </c>
      <c r="AJ396" t="str">
        <f t="shared" si="316"/>
        <v>1+1.42353357025891i</v>
      </c>
      <c r="AK396">
        <f t="shared" si="335"/>
        <v>1.7396688839127057</v>
      </c>
      <c r="AL396">
        <f t="shared" si="336"/>
        <v>0.9584096881284776</v>
      </c>
      <c r="AM396" t="str">
        <f t="shared" si="317"/>
        <v>1-0.172806171940752i</v>
      </c>
      <c r="AN396">
        <f t="shared" si="337"/>
        <v>1.0148211532387452</v>
      </c>
      <c r="AO396">
        <f t="shared" si="338"/>
        <v>-0.17111623792762587</v>
      </c>
      <c r="AP396" s="41" t="str">
        <f t="shared" si="339"/>
        <v>1.3018640343234-1.25922755130773i</v>
      </c>
      <c r="AQ396">
        <f t="shared" si="340"/>
        <v>5.1594057029427915</v>
      </c>
      <c r="AR396" s="43">
        <f t="shared" si="341"/>
        <v>-44.046240712297148</v>
      </c>
      <c r="AS396" t="str">
        <f t="shared" si="318"/>
        <v>-0.0000166666666666667</v>
      </c>
      <c r="AT396" t="str">
        <f t="shared" si="319"/>
        <v>0.00128723780289369i</v>
      </c>
      <c r="AU396">
        <f t="shared" si="342"/>
        <v>1.28723780289369E-3</v>
      </c>
      <c r="AV396">
        <f t="shared" si="343"/>
        <v>1.5707963267948966</v>
      </c>
      <c r="AW396" t="str">
        <f t="shared" si="320"/>
        <v>1+1.30817212010338i</v>
      </c>
      <c r="AX396">
        <f t="shared" si="344"/>
        <v>1.6466069038528206</v>
      </c>
      <c r="AY396">
        <f t="shared" si="345"/>
        <v>0.91812670339496438</v>
      </c>
      <c r="AZ396" t="str">
        <f t="shared" si="321"/>
        <v>1+44.477852083515i</v>
      </c>
      <c r="BA396">
        <f t="shared" si="346"/>
        <v>44.489092213294711</v>
      </c>
      <c r="BB396">
        <f t="shared" si="347"/>
        <v>1.5483170138862676</v>
      </c>
      <c r="BC396" s="41" t="str">
        <f t="shared" si="348"/>
        <v>-0.206152653545474+0.282630774432407i</v>
      </c>
      <c r="BD396">
        <f t="shared" si="349"/>
        <v>-9.1229284714782803</v>
      </c>
      <c r="BE396" s="43">
        <f t="shared" si="350"/>
        <v>126.10724508119054</v>
      </c>
      <c r="BF396" s="41" t="str">
        <f t="shared" si="351"/>
        <v>0.138761974845312+0.0587096528924611i</v>
      </c>
      <c r="BG396" s="20">
        <f t="shared" si="352"/>
        <v>-16.439414474845119</v>
      </c>
      <c r="BH396" s="43">
        <f t="shared" si="353"/>
        <v>22.933033253454244</v>
      </c>
      <c r="BI396" s="41" t="str">
        <f t="shared" si="357"/>
        <v>0.0875137327815423+0.627539941346178i</v>
      </c>
      <c r="BJ396" s="20">
        <f t="shared" si="354"/>
        <v>-3.9635227685354915</v>
      </c>
      <c r="BK396" s="43">
        <f t="shared" si="358"/>
        <v>82.061004368893407</v>
      </c>
      <c r="BL396">
        <f t="shared" si="355"/>
        <v>-16.439414474845119</v>
      </c>
      <c r="BM396" s="43">
        <f t="shared" si="356"/>
        <v>22.933033253454244</v>
      </c>
    </row>
    <row r="397" spans="14:65" x14ac:dyDescent="0.25">
      <c r="N397" s="9">
        <v>79</v>
      </c>
      <c r="O397" s="34">
        <f t="shared" si="359"/>
        <v>61659.500186148245</v>
      </c>
      <c r="P397" s="33" t="str">
        <f t="shared" si="309"/>
        <v>19.1021967526266</v>
      </c>
      <c r="Q397" s="4" t="str">
        <f t="shared" si="310"/>
        <v>1+86.9562993506651i</v>
      </c>
      <c r="R397" s="4">
        <f t="shared" si="322"/>
        <v>86.962049175272313</v>
      </c>
      <c r="S397" s="4">
        <f t="shared" si="323"/>
        <v>1.5592968043059459</v>
      </c>
      <c r="T397" s="4" t="str">
        <f t="shared" si="311"/>
        <v>1+1.45669192672234i</v>
      </c>
      <c r="U397" s="4">
        <f t="shared" si="324"/>
        <v>1.7669044596066998</v>
      </c>
      <c r="V397" s="4">
        <f t="shared" si="325"/>
        <v>0.96919721167611306</v>
      </c>
      <c r="W397" t="str">
        <f t="shared" si="312"/>
        <v>1-0.807120970036758i</v>
      </c>
      <c r="X397" s="4">
        <f t="shared" si="326"/>
        <v>1.2850853124493631</v>
      </c>
      <c r="Y397" s="4">
        <f t="shared" si="327"/>
        <v>-0.67906793957730094</v>
      </c>
      <c r="Z397" t="str">
        <f t="shared" si="313"/>
        <v>0.996198106036794+0.600498001707348i</v>
      </c>
      <c r="AA397" s="4">
        <f t="shared" si="328"/>
        <v>1.1631889427456803</v>
      </c>
      <c r="AB397" s="4">
        <f t="shared" si="329"/>
        <v>0.54246825849657765</v>
      </c>
      <c r="AC397" s="47" t="str">
        <f t="shared" si="330"/>
        <v>-0.102274972424548-0.416417813122549i</v>
      </c>
      <c r="AD397" s="20">
        <f t="shared" si="331"/>
        <v>-7.3550337845436022</v>
      </c>
      <c r="AE397" s="43">
        <f t="shared" si="332"/>
        <v>-103.79908482216837</v>
      </c>
      <c r="AF397" t="str">
        <f t="shared" si="314"/>
        <v>69.5520360182888</v>
      </c>
      <c r="AG397" t="str">
        <f t="shared" si="315"/>
        <v>1+69.3662822248734i</v>
      </c>
      <c r="AH397">
        <f t="shared" si="333"/>
        <v>69.373489963391535</v>
      </c>
      <c r="AI397">
        <f t="shared" si="334"/>
        <v>1.5563810993860181</v>
      </c>
      <c r="AJ397" t="str">
        <f t="shared" si="316"/>
        <v>1+1.45669192672234i</v>
      </c>
      <c r="AK397">
        <f t="shared" si="335"/>
        <v>1.7669044596066998</v>
      </c>
      <c r="AL397">
        <f t="shared" si="336"/>
        <v>0.96919721167611306</v>
      </c>
      <c r="AM397" t="str">
        <f t="shared" si="317"/>
        <v>1-0.176831344769834i</v>
      </c>
      <c r="AN397">
        <f t="shared" si="337"/>
        <v>1.0155143152575978</v>
      </c>
      <c r="AO397">
        <f t="shared" si="338"/>
        <v>-0.17502203859775609</v>
      </c>
      <c r="AP397" s="41" t="str">
        <f t="shared" si="339"/>
        <v>1.30119568929148-1.2421981188331i</v>
      </c>
      <c r="AQ397">
        <f t="shared" si="340"/>
        <v>5.1003084286819149</v>
      </c>
      <c r="AR397" s="43">
        <f t="shared" si="341"/>
        <v>-43.671182697288572</v>
      </c>
      <c r="AS397" t="str">
        <f t="shared" si="318"/>
        <v>-0.0000166666666666667</v>
      </c>
      <c r="AT397" t="str">
        <f t="shared" si="319"/>
        <v>0.00131722142309999i</v>
      </c>
      <c r="AU397">
        <f t="shared" si="342"/>
        <v>1.3172214230999901E-3</v>
      </c>
      <c r="AV397">
        <f t="shared" si="343"/>
        <v>1.5707963267948966</v>
      </c>
      <c r="AW397" t="str">
        <f t="shared" si="320"/>
        <v>1+1.33864336319885i</v>
      </c>
      <c r="AX397">
        <f t="shared" si="344"/>
        <v>1.6709177280274239</v>
      </c>
      <c r="AY397">
        <f t="shared" si="345"/>
        <v>0.92920196648864528</v>
      </c>
      <c r="AZ397" t="str">
        <f t="shared" si="321"/>
        <v>1+45.5138743487608i</v>
      </c>
      <c r="BA397">
        <f t="shared" si="346"/>
        <v>45.524858684402155</v>
      </c>
      <c r="BB397">
        <f t="shared" si="347"/>
        <v>1.5488285389961827</v>
      </c>
      <c r="BC397" s="41" t="str">
        <f t="shared" si="348"/>
        <v>-0.200197504518429+0.280645957505069i</v>
      </c>
      <c r="BD397">
        <f t="shared" si="349"/>
        <v>-9.2503299245973576</v>
      </c>
      <c r="BE397" s="43">
        <f t="shared" si="350"/>
        <v>125.50198747883866</v>
      </c>
      <c r="BF397" s="41" t="str">
        <f t="shared" si="351"/>
        <v>0.13734117014003+0.054662749459264i</v>
      </c>
      <c r="BG397" s="20">
        <f t="shared" si="352"/>
        <v>-16.605363709140978</v>
      </c>
      <c r="BH397" s="43">
        <f t="shared" si="353"/>
        <v>21.702902656670329</v>
      </c>
      <c r="BI397" s="41" t="str">
        <f t="shared" si="357"/>
        <v>0.0881217505846194+0.613860273630549i</v>
      </c>
      <c r="BJ397" s="20">
        <f t="shared" si="354"/>
        <v>-4.1500214959154462</v>
      </c>
      <c r="BK397" s="43">
        <f t="shared" si="358"/>
        <v>81.830804781550086</v>
      </c>
      <c r="BL397">
        <f t="shared" si="355"/>
        <v>-16.605363709140978</v>
      </c>
      <c r="BM397" s="43">
        <f t="shared" si="356"/>
        <v>21.702902656670329</v>
      </c>
    </row>
    <row r="398" spans="14:65" x14ac:dyDescent="0.25">
      <c r="N398" s="9">
        <v>80</v>
      </c>
      <c r="O398" s="34">
        <f t="shared" si="359"/>
        <v>63095.734448019342</v>
      </c>
      <c r="P398" s="33" t="str">
        <f t="shared" si="309"/>
        <v>19.1021967526266</v>
      </c>
      <c r="Q398" s="4" t="str">
        <f t="shared" si="310"/>
        <v>1+88.981771760203i</v>
      </c>
      <c r="R398" s="4">
        <f t="shared" si="322"/>
        <v>88.987390711183679</v>
      </c>
      <c r="S398" s="4">
        <f t="shared" si="323"/>
        <v>1.5595585431012551</v>
      </c>
      <c r="T398" s="4" t="str">
        <f t="shared" si="311"/>
        <v>1+1.49062264052692i</v>
      </c>
      <c r="U398" s="4">
        <f t="shared" si="324"/>
        <v>1.7949807398552908</v>
      </c>
      <c r="V398" s="4">
        <f t="shared" si="325"/>
        <v>0.97989584790829853</v>
      </c>
      <c r="W398" t="str">
        <f t="shared" si="312"/>
        <v>1-0.825921232561458i</v>
      </c>
      <c r="X398" s="4">
        <f t="shared" si="326"/>
        <v>1.2969756676190336</v>
      </c>
      <c r="Y398" s="4">
        <f t="shared" si="327"/>
        <v>-0.69034794569622826</v>
      </c>
      <c r="Z398" t="str">
        <f t="shared" si="313"/>
        <v>0.996018928294465+0.614485397025725i</v>
      </c>
      <c r="AA398" s="4">
        <f t="shared" si="328"/>
        <v>1.1703187637044523</v>
      </c>
      <c r="AB398" s="4">
        <f t="shared" si="329"/>
        <v>0.55278342971713701</v>
      </c>
      <c r="AC398" s="47" t="str">
        <f t="shared" si="330"/>
        <v>-0.106471332061953-0.413527463892438i</v>
      </c>
      <c r="AD398" s="20">
        <f t="shared" si="331"/>
        <v>-7.3911541066036239</v>
      </c>
      <c r="AE398" s="43">
        <f t="shared" si="332"/>
        <v>-104.43840716721358</v>
      </c>
      <c r="AF398" t="str">
        <f t="shared" si="314"/>
        <v>69.5520360182888</v>
      </c>
      <c r="AG398" t="str">
        <f t="shared" si="315"/>
        <v>1+70.982030501282i</v>
      </c>
      <c r="AH398">
        <f t="shared" si="333"/>
        <v>70.989074188109598</v>
      </c>
      <c r="AI398">
        <f t="shared" si="334"/>
        <v>1.5567091861075195</v>
      </c>
      <c r="AJ398" t="str">
        <f t="shared" si="316"/>
        <v>1+1.49062264052692i</v>
      </c>
      <c r="AK398">
        <f t="shared" si="335"/>
        <v>1.7949807398552908</v>
      </c>
      <c r="AL398">
        <f t="shared" si="336"/>
        <v>0.97989584790829853</v>
      </c>
      <c r="AM398" t="str">
        <f t="shared" si="317"/>
        <v>1-0.180950275918553i</v>
      </c>
      <c r="AN398">
        <f t="shared" si="337"/>
        <v>1.0162396382522187</v>
      </c>
      <c r="AO398">
        <f t="shared" si="338"/>
        <v>-0.17901323872827357</v>
      </c>
      <c r="AP398" s="41" t="str">
        <f t="shared" si="339"/>
        <v>1.30055741252179-1.22582644889169i</v>
      </c>
      <c r="AQ398">
        <f t="shared" si="340"/>
        <v>5.0434851777000329</v>
      </c>
      <c r="AR398" s="43">
        <f t="shared" si="341"/>
        <v>-43.305672901765583</v>
      </c>
      <c r="AS398" t="str">
        <f t="shared" si="318"/>
        <v>-0.0000166666666666667</v>
      </c>
      <c r="AT398" t="str">
        <f t="shared" si="319"/>
        <v>0.0013479034515403i</v>
      </c>
      <c r="AU398">
        <f t="shared" si="342"/>
        <v>1.3479034515403001E-3</v>
      </c>
      <c r="AV398">
        <f t="shared" si="343"/>
        <v>1.5707963267948966</v>
      </c>
      <c r="AW398" t="str">
        <f t="shared" si="320"/>
        <v>1+1.36982437272452i</v>
      </c>
      <c r="AX398">
        <f t="shared" si="344"/>
        <v>1.6960008290416975</v>
      </c>
      <c r="AY398">
        <f t="shared" si="345"/>
        <v>0.9402051361178756</v>
      </c>
      <c r="AZ398" t="str">
        <f t="shared" si="321"/>
        <v>1+46.5740286726336i</v>
      </c>
      <c r="BA398">
        <f t="shared" si="346"/>
        <v>46.584763032554932</v>
      </c>
      <c r="BB398">
        <f t="shared" si="347"/>
        <v>1.5493284314835865</v>
      </c>
      <c r="BC398" s="41" t="str">
        <f t="shared" si="348"/>
        <v>-0.194319629090509+0.278548645686422i</v>
      </c>
      <c r="BD398">
        <f t="shared" si="349"/>
        <v>-9.3798441067304807</v>
      </c>
      <c r="BE398" s="43">
        <f t="shared" si="350"/>
        <v>124.90019402755597</v>
      </c>
      <c r="BF398" s="41" t="str">
        <f t="shared" si="351"/>
        <v>0.135876984776431+0.0506990580520311i</v>
      </c>
      <c r="BG398" s="20">
        <f t="shared" si="352"/>
        <v>-16.770998213334074</v>
      </c>
      <c r="BH398" s="43">
        <f t="shared" si="353"/>
        <v>20.461786860342318</v>
      </c>
      <c r="BI398" s="41" t="str">
        <f t="shared" si="357"/>
        <v>0.0887284631732299+0.600470646773351i</v>
      </c>
      <c r="BJ398" s="20">
        <f t="shared" si="354"/>
        <v>-4.3363589290304452</v>
      </c>
      <c r="BK398" s="43">
        <f t="shared" si="358"/>
        <v>81.594521125790394</v>
      </c>
      <c r="BL398">
        <f t="shared" si="355"/>
        <v>-16.770998213334074</v>
      </c>
      <c r="BM398" s="43">
        <f t="shared" si="356"/>
        <v>20.461786860342318</v>
      </c>
    </row>
    <row r="399" spans="14:65" x14ac:dyDescent="0.25">
      <c r="N399" s="9">
        <v>81</v>
      </c>
      <c r="O399" s="34">
        <f t="shared" si="359"/>
        <v>64565.422903465682</v>
      </c>
      <c r="P399" s="33" t="str">
        <f t="shared" si="309"/>
        <v>19.1021967526266</v>
      </c>
      <c r="Q399" s="4" t="str">
        <f t="shared" si="310"/>
        <v>1+91.0544234829414i</v>
      </c>
      <c r="R399" s="4">
        <f t="shared" si="322"/>
        <v>91.059914538785009</v>
      </c>
      <c r="S399" s="4">
        <f t="shared" si="323"/>
        <v>1.5598143254820975</v>
      </c>
      <c r="T399" s="4" t="str">
        <f t="shared" si="311"/>
        <v>1+1.52534370218623i</v>
      </c>
      <c r="U399" s="4">
        <f t="shared" si="324"/>
        <v>1.8239170512386782</v>
      </c>
      <c r="V399" s="4">
        <f t="shared" si="325"/>
        <v>0.99050147276640599</v>
      </c>
      <c r="W399" t="str">
        <f t="shared" si="312"/>
        <v>1-0.845159409456025i</v>
      </c>
      <c r="X399" s="4">
        <f t="shared" si="326"/>
        <v>1.3093106687841725</v>
      </c>
      <c r="Y399" s="4">
        <f t="shared" si="327"/>
        <v>-0.70167713070434201</v>
      </c>
      <c r="Z399" t="str">
        <f t="shared" si="313"/>
        <v>0.995831306165297+0.628798600635282i</v>
      </c>
      <c r="AA399" s="4">
        <f t="shared" si="328"/>
        <v>1.1777383709889775</v>
      </c>
      <c r="AB399" s="4">
        <f t="shared" si="329"/>
        <v>0.56321038142405278</v>
      </c>
      <c r="AC399" s="47" t="str">
        <f t="shared" si="330"/>
        <v>-0.110750013954099-0.410687503638141i</v>
      </c>
      <c r="AD399" s="20">
        <f t="shared" si="331"/>
        <v>-7.4248991791690111</v>
      </c>
      <c r="AE399" s="43">
        <f t="shared" si="332"/>
        <v>-105.09193968692196</v>
      </c>
      <c r="AF399" t="str">
        <f t="shared" si="314"/>
        <v>69.5520360182888</v>
      </c>
      <c r="AG399" t="str">
        <f t="shared" si="315"/>
        <v>1+72.6354143898207i</v>
      </c>
      <c r="AH399">
        <f t="shared" si="333"/>
        <v>72.642297758131051</v>
      </c>
      <c r="AI399">
        <f t="shared" si="334"/>
        <v>1.5570298075941515</v>
      </c>
      <c r="AJ399" t="str">
        <f t="shared" si="316"/>
        <v>1+1.52534370218623i</v>
      </c>
      <c r="AK399">
        <f t="shared" si="335"/>
        <v>1.8239170512386782</v>
      </c>
      <c r="AL399">
        <f t="shared" si="336"/>
        <v>0.99050147276640599</v>
      </c>
      <c r="AM399" t="str">
        <f t="shared" si="317"/>
        <v>1-0.185165149298724i</v>
      </c>
      <c r="AN399">
        <f t="shared" si="337"/>
        <v>1.0169985902226308</v>
      </c>
      <c r="AO399">
        <f t="shared" si="338"/>
        <v>-0.18309144562637583</v>
      </c>
      <c r="AP399" s="41" t="str">
        <f t="shared" si="339"/>
        <v>1.29994785179444-1.21010391887667i</v>
      </c>
      <c r="AQ399">
        <f t="shared" si="340"/>
        <v>4.9889141826441739</v>
      </c>
      <c r="AR399" s="43">
        <f t="shared" si="341"/>
        <v>-42.950049659544632</v>
      </c>
      <c r="AS399" t="str">
        <f t="shared" si="318"/>
        <v>-0.0000166666666666667</v>
      </c>
      <c r="AT399" t="str">
        <f t="shared" si="319"/>
        <v>0.00137930015623223i</v>
      </c>
      <c r="AU399">
        <f t="shared" si="342"/>
        <v>1.37930015623223E-3</v>
      </c>
      <c r="AV399">
        <f t="shared" si="343"/>
        <v>1.5707963267948966</v>
      </c>
      <c r="AW399" t="str">
        <f t="shared" si="320"/>
        <v>1+1.40173168126438i</v>
      </c>
      <c r="AX399">
        <f t="shared" si="344"/>
        <v>1.7218744745945522</v>
      </c>
      <c r="AY399">
        <f t="shared" si="345"/>
        <v>0.95113138943183628</v>
      </c>
      <c r="AZ399" t="str">
        <f t="shared" si="321"/>
        <v>1+47.658877162989i</v>
      </c>
      <c r="BA399">
        <f t="shared" si="346"/>
        <v>47.669367233443268</v>
      </c>
      <c r="BB399">
        <f t="shared" si="347"/>
        <v>1.5498169553981647</v>
      </c>
      <c r="BC399" s="41" t="str">
        <f t="shared" si="348"/>
        <v>-0.188523640321704+0.276342981896557i</v>
      </c>
      <c r="BD399">
        <f t="shared" si="349"/>
        <v>-9.5114427337510286</v>
      </c>
      <c r="BE399" s="43">
        <f t="shared" si="350"/>
        <v>124.30215618527161</v>
      </c>
      <c r="BF399" s="41" t="str">
        <f t="shared" si="351"/>
        <v>0.134369605179323+0.0468193141193344i</v>
      </c>
      <c r="BG399" s="20">
        <f t="shared" si="352"/>
        <v>-16.936341912920053</v>
      </c>
      <c r="BH399" s="43">
        <f t="shared" si="353"/>
        <v>19.210216498349691</v>
      </c>
      <c r="BI399" s="41" t="str">
        <f t="shared" si="357"/>
        <v>0.0893328240984215+0.587364661629089i</v>
      </c>
      <c r="BJ399" s="20">
        <f t="shared" si="354"/>
        <v>-4.5225285511068529</v>
      </c>
      <c r="BK399" s="43">
        <f t="shared" si="358"/>
        <v>81.352106525726981</v>
      </c>
      <c r="BL399">
        <f t="shared" si="355"/>
        <v>-16.936341912920053</v>
      </c>
      <c r="BM399" s="43">
        <f t="shared" si="356"/>
        <v>19.210216498349691</v>
      </c>
    </row>
    <row r="400" spans="14:65" x14ac:dyDescent="0.25">
      <c r="N400" s="9">
        <v>82</v>
      </c>
      <c r="O400" s="34">
        <f t="shared" si="359"/>
        <v>66069.344800759733</v>
      </c>
      <c r="P400" s="33" t="str">
        <f t="shared" si="309"/>
        <v>19.1021967526266</v>
      </c>
      <c r="Q400" s="4" t="str">
        <f t="shared" si="310"/>
        <v>1+93.1753534662581i</v>
      </c>
      <c r="R400" s="4">
        <f t="shared" si="322"/>
        <v>93.180719537692653</v>
      </c>
      <c r="S400" s="4">
        <f t="shared" si="323"/>
        <v>1.5600642869337247</v>
      </c>
      <c r="T400" s="4" t="str">
        <f t="shared" si="311"/>
        <v>1+1.56087352126675i</v>
      </c>
      <c r="U400" s="4">
        <f t="shared" si="324"/>
        <v>1.8537330307764555</v>
      </c>
      <c r="V400" s="4">
        <f t="shared" si="325"/>
        <v>1.0010101660748534</v>
      </c>
      <c r="W400" t="str">
        <f t="shared" si="312"/>
        <v>1-0.864845701056492i</v>
      </c>
      <c r="X400" s="4">
        <f t="shared" si="326"/>
        <v>1.322103659565276</v>
      </c>
      <c r="Y400" s="4">
        <f t="shared" si="327"/>
        <v>-0.71304986942282278</v>
      </c>
      <c r="Z400" t="str">
        <f t="shared" si="313"/>
        <v>0.995634841677598+0.643445201586029i</v>
      </c>
      <c r="AA400" s="4">
        <f t="shared" si="328"/>
        <v>1.1854579138065009</v>
      </c>
      <c r="AB400" s="4">
        <f t="shared" si="329"/>
        <v>0.57374596483527329</v>
      </c>
      <c r="AC400" s="47" t="str">
        <f t="shared" si="330"/>
        <v>-0.115109523614892-0.407891093806573i</v>
      </c>
      <c r="AD400" s="20">
        <f t="shared" si="331"/>
        <v>-7.456323802898118</v>
      </c>
      <c r="AE400" s="43">
        <f t="shared" si="332"/>
        <v>-105.75941204261464</v>
      </c>
      <c r="AF400" t="str">
        <f t="shared" si="314"/>
        <v>69.5520360182888</v>
      </c>
      <c r="AG400" t="str">
        <f t="shared" si="315"/>
        <v>1+74.3273105365122i</v>
      </c>
      <c r="AH400">
        <f t="shared" si="333"/>
        <v>74.334037234574566</v>
      </c>
      <c r="AI400">
        <f t="shared" si="334"/>
        <v>1.5573431335798451</v>
      </c>
      <c r="AJ400" t="str">
        <f t="shared" si="316"/>
        <v>1+1.56087352126675i</v>
      </c>
      <c r="AK400">
        <f t="shared" si="335"/>
        <v>1.8537330307764555</v>
      </c>
      <c r="AL400">
        <f t="shared" si="336"/>
        <v>1.0010101660748534</v>
      </c>
      <c r="AM400" t="str">
        <f t="shared" si="317"/>
        <v>1-0.189478199692004i</v>
      </c>
      <c r="AN400">
        <f t="shared" si="337"/>
        <v>1.017792703922819</v>
      </c>
      <c r="AO400">
        <f t="shared" si="338"/>
        <v>-0.18725827872232426</v>
      </c>
      <c r="AP400" s="41" t="str">
        <f t="shared" si="339"/>
        <v>1.29936571565495-1.19502224650374i</v>
      </c>
      <c r="AQ400">
        <f t="shared" si="340"/>
        <v>4.9365729732650596</v>
      </c>
      <c r="AR400" s="43">
        <f t="shared" si="341"/>
        <v>-42.604640091698471</v>
      </c>
      <c r="AS400" t="str">
        <f t="shared" si="318"/>
        <v>-0.0000166666666666667</v>
      </c>
      <c r="AT400" t="str">
        <f t="shared" si="319"/>
        <v>0.00141142818412419i</v>
      </c>
      <c r="AU400">
        <f t="shared" si="342"/>
        <v>1.41142818412419E-3</v>
      </c>
      <c r="AV400">
        <f t="shared" si="343"/>
        <v>1.5707963267948966</v>
      </c>
      <c r="AW400" t="str">
        <f t="shared" si="320"/>
        <v>1+1.43438220649576i</v>
      </c>
      <c r="AX400">
        <f t="shared" si="344"/>
        <v>1.7485572093333537</v>
      </c>
      <c r="AY400">
        <f t="shared" si="345"/>
        <v>0.96197608463786988</v>
      </c>
      <c r="AZ400" t="str">
        <f t="shared" si="321"/>
        <v>1+48.768995020856i</v>
      </c>
      <c r="BA400">
        <f t="shared" si="346"/>
        <v>48.779246358920695</v>
      </c>
      <c r="BB400">
        <f t="shared" si="347"/>
        <v>1.5502943688285165</v>
      </c>
      <c r="BC400" s="41" t="str">
        <f t="shared" si="348"/>
        <v>-0.182813852586297+0.274033307562536i</v>
      </c>
      <c r="BD400">
        <f t="shared" si="349"/>
        <v>-9.6450959150742719</v>
      </c>
      <c r="BE400" s="43">
        <f t="shared" si="350"/>
        <v>123.70815469450213</v>
      </c>
      <c r="BF400" s="41" t="str">
        <f t="shared" si="351"/>
        <v>0.132819361042528+0.0430242988062816i</v>
      </c>
      <c r="BG400" s="20">
        <f t="shared" si="352"/>
        <v>-17.101419717972366</v>
      </c>
      <c r="BH400" s="43">
        <f t="shared" si="353"/>
        <v>17.948742651887432</v>
      </c>
      <c r="BI400" s="41" t="str">
        <f t="shared" si="357"/>
        <v>0.0899338464227997+0.574536105603968i</v>
      </c>
      <c r="BJ400" s="20">
        <f t="shared" si="354"/>
        <v>-4.7085229418092114</v>
      </c>
      <c r="BK400" s="43">
        <f t="shared" si="358"/>
        <v>81.103514602803656</v>
      </c>
      <c r="BL400">
        <f t="shared" si="355"/>
        <v>-17.101419717972366</v>
      </c>
      <c r="BM400" s="43">
        <f t="shared" si="356"/>
        <v>17.948742651887432</v>
      </c>
    </row>
    <row r="401" spans="14:65" x14ac:dyDescent="0.25">
      <c r="N401" s="9">
        <v>83</v>
      </c>
      <c r="O401" s="34">
        <f t="shared" si="359"/>
        <v>67608.297539198305</v>
      </c>
      <c r="P401" s="33" t="str">
        <f t="shared" si="309"/>
        <v>19.1021967526266</v>
      </c>
      <c r="Q401" s="4" t="str">
        <f t="shared" si="310"/>
        <v>1+95.3456862553042i</v>
      </c>
      <c r="R401" s="4">
        <f t="shared" si="322"/>
        <v>95.350930186836166</v>
      </c>
      <c r="S401" s="4">
        <f t="shared" si="323"/>
        <v>1.5603085598639925</v>
      </c>
      <c r="T401" s="4" t="str">
        <f t="shared" si="311"/>
        <v>1+1.59723093614885i</v>
      </c>
      <c r="U401" s="4">
        <f t="shared" si="324"/>
        <v>1.884448636442748</v>
      </c>
      <c r="V401" s="4">
        <f t="shared" si="325"/>
        <v>1.0114182154545186</v>
      </c>
      <c r="W401" t="str">
        <f t="shared" si="312"/>
        <v>1-0.884990545295244i</v>
      </c>
      <c r="X401" s="4">
        <f t="shared" si="326"/>
        <v>1.33536821336363</v>
      </c>
      <c r="Y401" s="4">
        <f t="shared" si="327"/>
        <v>-0.72446042515308495</v>
      </c>
      <c r="Z401" t="str">
        <f t="shared" si="313"/>
        <v>0.995429118103851+0.658432965699661i</v>
      </c>
      <c r="AA401" s="4">
        <f t="shared" si="328"/>
        <v>1.193487787741903</v>
      </c>
      <c r="AB401" s="4">
        <f t="shared" si="329"/>
        <v>0.58438681989577679</v>
      </c>
      <c r="AC401" s="47" t="str">
        <f t="shared" si="330"/>
        <v>-0.119548099140444-0.405131479104724i</v>
      </c>
      <c r="AD401" s="20">
        <f t="shared" si="331"/>
        <v>-7.4854852162799173</v>
      </c>
      <c r="AE401" s="43">
        <f t="shared" si="332"/>
        <v>-106.44052331876978</v>
      </c>
      <c r="AF401" t="str">
        <f t="shared" si="314"/>
        <v>69.5520360182888</v>
      </c>
      <c r="AG401" t="str">
        <f t="shared" si="315"/>
        <v>1+76.0586160070884i</v>
      </c>
      <c r="AH401">
        <f t="shared" si="333"/>
        <v>76.065189600195723</v>
      </c>
      <c r="AI401">
        <f t="shared" si="334"/>
        <v>1.5576493299479619</v>
      </c>
      <c r="AJ401" t="str">
        <f t="shared" si="316"/>
        <v>1+1.59723093614885i</v>
      </c>
      <c r="AK401">
        <f t="shared" si="335"/>
        <v>1.884448636442748</v>
      </c>
      <c r="AL401">
        <f t="shared" si="336"/>
        <v>1.0114182154545186</v>
      </c>
      <c r="AM401" t="str">
        <f t="shared" si="317"/>
        <v>1-0.193891713934801i</v>
      </c>
      <c r="AN401">
        <f t="shared" si="337"/>
        <v>1.0186235795094156</v>
      </c>
      <c r="AO401">
        <f t="shared" si="338"/>
        <v>-0.19151536827090898</v>
      </c>
      <c r="AP401" s="41" t="str">
        <f t="shared" si="339"/>
        <v>1.29880977068764-1.18057348567712i</v>
      </c>
      <c r="AQ401">
        <f t="shared" si="340"/>
        <v>4.8864385076736774</v>
      </c>
      <c r="AR401" s="43">
        <f t="shared" si="341"/>
        <v>-42.269759813018332</v>
      </c>
      <c r="AS401" t="str">
        <f t="shared" si="318"/>
        <v>-0.0000166666666666667</v>
      </c>
      <c r="AT401" t="str">
        <f t="shared" si="319"/>
        <v>0.00144430456992184i</v>
      </c>
      <c r="AU401">
        <f t="shared" si="342"/>
        <v>1.44430456992184E-3</v>
      </c>
      <c r="AV401">
        <f t="shared" si="343"/>
        <v>1.5707963267948966</v>
      </c>
      <c r="AW401" t="str">
        <f t="shared" si="320"/>
        <v>1+1.46779326015932i</v>
      </c>
      <c r="AX401">
        <f t="shared" si="344"/>
        <v>1.7760678631654605</v>
      </c>
      <c r="AY401">
        <f t="shared" si="345"/>
        <v>0.97273476854407326</v>
      </c>
      <c r="AZ401" t="str">
        <f t="shared" si="321"/>
        <v>1+49.9049708454169i</v>
      </c>
      <c r="BA401">
        <f t="shared" si="346"/>
        <v>49.914988881917125</v>
      </c>
      <c r="BB401">
        <f t="shared" si="347"/>
        <v>1.5507609240345528</v>
      </c>
      <c r="BC401" s="41" t="str">
        <f t="shared" si="348"/>
        <v>-0.177194272985742+0.271624138614834i</v>
      </c>
      <c r="BD401">
        <f t="shared" si="349"/>
        <v>-9.7807722625359368</v>
      </c>
      <c r="BE401" s="43">
        <f t="shared" si="350"/>
        <v>123.11845915777725</v>
      </c>
      <c r="BF401" s="41" t="str">
        <f t="shared" si="351"/>
        <v>0.131226727551593+0.039314828451536i</v>
      </c>
      <c r="BG401" s="20">
        <f t="shared" si="352"/>
        <v>-17.266257478815831</v>
      </c>
      <c r="BH401" s="43">
        <f t="shared" si="353"/>
        <v>16.677935839007421</v>
      </c>
      <c r="BI401" s="41" t="str">
        <f t="shared" si="357"/>
        <v>0.0905306030547851+0.561978945688361i</v>
      </c>
      <c r="BJ401" s="20">
        <f t="shared" si="354"/>
        <v>-4.8943337548622559</v>
      </c>
      <c r="BK401" s="43">
        <f t="shared" si="358"/>
        <v>80.848699344758927</v>
      </c>
      <c r="BL401">
        <f t="shared" si="355"/>
        <v>-17.266257478815831</v>
      </c>
      <c r="BM401" s="43">
        <f t="shared" si="356"/>
        <v>16.677935839007421</v>
      </c>
    </row>
    <row r="402" spans="14:65" x14ac:dyDescent="0.25">
      <c r="N402" s="9">
        <v>84</v>
      </c>
      <c r="O402" s="34">
        <f t="shared" si="359"/>
        <v>69183.097091893651</v>
      </c>
      <c r="P402" s="33" t="str">
        <f t="shared" si="309"/>
        <v>19.1021967526266</v>
      </c>
      <c r="Q402" s="4" t="str">
        <f t="shared" si="310"/>
        <v>1+97.5665725892519i</v>
      </c>
      <c r="R402" s="4">
        <f t="shared" si="322"/>
        <v>97.571697160671334</v>
      </c>
      <c r="S402" s="4">
        <f t="shared" si="323"/>
        <v>1.5605472736729706</v>
      </c>
      <c r="T402" s="4" t="str">
        <f t="shared" si="311"/>
        <v>1+1.63443522401515i</v>
      </c>
      <c r="U402" s="4">
        <f t="shared" si="324"/>
        <v>1.916084158251264</v>
      </c>
      <c r="V402" s="4">
        <f t="shared" si="325"/>
        <v>1.0217221192729535</v>
      </c>
      <c r="W402" t="str">
        <f t="shared" si="312"/>
        <v>1-0.905604623235344i</v>
      </c>
      <c r="X402" s="4">
        <f t="shared" si="326"/>
        <v>1.3491181318273169</v>
      </c>
      <c r="Y402" s="4">
        <f t="shared" si="327"/>
        <v>-0.73590296352721574</v>
      </c>
      <c r="Z402" t="str">
        <f t="shared" si="313"/>
        <v>0.995213699076774+0.673769839687095i</v>
      </c>
      <c r="AA402" s="4">
        <f t="shared" si="328"/>
        <v>1.2018386346353032</v>
      </c>
      <c r="AB402" s="4">
        <f t="shared" si="329"/>
        <v>0.5951293770782542</v>
      </c>
      <c r="AC402" s="47" t="str">
        <f t="shared" si="330"/>
        <v>-0.124063708989077-0.402402004249011i</v>
      </c>
      <c r="AD402" s="20">
        <f t="shared" si="331"/>
        <v>-7.5124429329598215</v>
      </c>
      <c r="AE402" s="43">
        <f t="shared" si="332"/>
        <v>-107.13494275471881</v>
      </c>
      <c r="AF402" t="str">
        <f t="shared" si="314"/>
        <v>69.5520360182888</v>
      </c>
      <c r="AG402" t="str">
        <f t="shared" si="315"/>
        <v>1+77.8302487626262i</v>
      </c>
      <c r="AH402">
        <f t="shared" si="333"/>
        <v>77.836672734979345</v>
      </c>
      <c r="AI402">
        <f t="shared" si="334"/>
        <v>1.5579485588180753</v>
      </c>
      <c r="AJ402" t="str">
        <f t="shared" si="316"/>
        <v>1+1.63443522401515i</v>
      </c>
      <c r="AK402">
        <f t="shared" si="335"/>
        <v>1.916084158251264</v>
      </c>
      <c r="AL402">
        <f t="shared" si="336"/>
        <v>1.0217221192729535</v>
      </c>
      <c r="AM402" t="str">
        <f t="shared" si="317"/>
        <v>1-0.198408032130786i</v>
      </c>
      <c r="AN402">
        <f t="shared" si="337"/>
        <v>1.0194928872797548</v>
      </c>
      <c r="AO402">
        <f t="shared" si="338"/>
        <v>-0.1958643539352983</v>
      </c>
      <c r="AP402" s="41" t="str">
        <f t="shared" si="339"/>
        <v>1.29827883891104-1.16675002251666i</v>
      </c>
      <c r="AQ402">
        <f t="shared" si="340"/>
        <v>4.8384873037858149</v>
      </c>
      <c r="AR402" s="43">
        <f t="shared" si="341"/>
        <v>-41.945712686811746</v>
      </c>
      <c r="AS402" t="str">
        <f t="shared" si="318"/>
        <v>-0.0000166666666666667</v>
      </c>
      <c r="AT402" t="str">
        <f t="shared" si="319"/>
        <v>0.00147794674512008i</v>
      </c>
      <c r="AU402">
        <f t="shared" si="342"/>
        <v>1.47794674512008E-3</v>
      </c>
      <c r="AV402">
        <f t="shared" si="343"/>
        <v>1.5707963267948966</v>
      </c>
      <c r="AW402" t="str">
        <f t="shared" si="320"/>
        <v>1+1.50198255723795i</v>
      </c>
      <c r="AX402">
        <f t="shared" si="344"/>
        <v>1.8044255601844736</v>
      </c>
      <c r="AY402">
        <f t="shared" si="345"/>
        <v>0.98340318311160113</v>
      </c>
      <c r="AZ402" t="str">
        <f t="shared" si="321"/>
        <v>1+51.0674069460903i</v>
      </c>
      <c r="BA402">
        <f t="shared" si="346"/>
        <v>51.077196988456521</v>
      </c>
      <c r="BB402">
        <f t="shared" si="347"/>
        <v>1.551216867577099</v>
      </c>
      <c r="BC402" s="41" t="str">
        <f t="shared" si="348"/>
        <v>-0.171668594917829+0.269120141292901i</v>
      </c>
      <c r="BD402">
        <f t="shared" si="349"/>
        <v>-9.9184390019382036</v>
      </c>
      <c r="BE402" s="43">
        <f t="shared" si="350"/>
        <v>122.53332766964621</v>
      </c>
      <c r="BF402" s="41" t="str">
        <f t="shared" si="351"/>
        <v>0.12959232684249+0.0356917437690842i</v>
      </c>
      <c r="BG402" s="20">
        <f t="shared" si="352"/>
        <v>-17.430881934898004</v>
      </c>
      <c r="BH402" s="43">
        <f t="shared" si="353"/>
        <v>15.398384914927348</v>
      </c>
      <c r="BI402" s="41" t="str">
        <f t="shared" si="357"/>
        <v>0.0911222268257703+0.549687321551103i</v>
      </c>
      <c r="BJ402" s="20">
        <f t="shared" si="354"/>
        <v>-5.0799516981523896</v>
      </c>
      <c r="BK402" s="43">
        <f t="shared" si="358"/>
        <v>80.587614982834467</v>
      </c>
      <c r="BL402">
        <f t="shared" si="355"/>
        <v>-17.430881934898004</v>
      </c>
      <c r="BM402" s="43">
        <f t="shared" si="356"/>
        <v>15.398384914927348</v>
      </c>
    </row>
    <row r="403" spans="14:65" x14ac:dyDescent="0.25">
      <c r="N403" s="9">
        <v>85</v>
      </c>
      <c r="O403" s="34">
        <f t="shared" si="359"/>
        <v>70794.578438413781</v>
      </c>
      <c r="P403" s="33" t="str">
        <f t="shared" ref="P403:P466" si="360">COMPLEX(Adc,0)</f>
        <v>19.1021967526266</v>
      </c>
      <c r="Q403" s="4" t="str">
        <f t="shared" ref="Q403:Q466" si="361">IMSUM(COMPLEX(1,0),IMDIV(COMPLEX(0,2*PI()*O403),COMPLEX(wp_lf,0)))</f>
        <v>1+99.8391900114329i</v>
      </c>
      <c r="R403" s="4">
        <f t="shared" si="322"/>
        <v>99.844197939284399</v>
      </c>
      <c r="S403" s="4">
        <f t="shared" si="323"/>
        <v>1.5607805548209943</v>
      </c>
      <c r="T403" s="4" t="str">
        <f t="shared" ref="T403:T466" si="362">IMSUM(COMPLEX(1,0),IMDIV(COMPLEX(0,2*PI()*O403),COMPLEX(wz_esr,0)))</f>
        <v>1+1.67250611107152i</v>
      </c>
      <c r="U403" s="4">
        <f t="shared" si="324"/>
        <v>1.9486602298942675</v>
      </c>
      <c r="V403" s="4">
        <f t="shared" si="325"/>
        <v>1.0319185886563194</v>
      </c>
      <c r="W403" t="str">
        <f t="shared" ref="W403:W466" si="363">IMSUB(COMPLEX(1,0),IMDIV(COMPLEX(0,2*PI()*O403),COMPLEX(wz_rhp,0)))</f>
        <v>1-0.926698864733779i</v>
      </c>
      <c r="X403" s="4">
        <f t="shared" si="326"/>
        <v>1.3633674434644811</v>
      </c>
      <c r="Y403" s="4">
        <f t="shared" si="327"/>
        <v>-0.74737156696603069</v>
      </c>
      <c r="Z403" t="str">
        <f t="shared" ref="Z403:Z466" si="364">IMSUM(COMPLEX(1,0),IMDIV(COMPLEX(0,2*PI()*O403),COMPLEX(Q*(wsl/2),0)),IMDIV(IMPOWER(COMPLEX(0,2*PI()*O403),2),IMPOWER(COMPLEX(wsl/2,0),2)))</f>
        <v>0.994988127663727+0.689463955361931i</v>
      </c>
      <c r="AA403" s="4">
        <f t="shared" si="328"/>
        <v>1.2105213422055341</v>
      </c>
      <c r="AB403" s="4">
        <f t="shared" si="329"/>
        <v>0.60596986011501885</v>
      </c>
      <c r="AC403" s="47" t="str">
        <f t="shared" si="330"/>
        <v>-0.128654051187972-0.399696131333459i</v>
      </c>
      <c r="AD403" s="20">
        <f t="shared" si="331"/>
        <v>-7.5372585703184765</v>
      </c>
      <c r="AE403" s="43">
        <f t="shared" si="332"/>
        <v>-107.84231061818225</v>
      </c>
      <c r="AF403" t="str">
        <f t="shared" ref="AF403:AF466" si="365">COMPLEX($B$72,0)</f>
        <v>69.5520360182888</v>
      </c>
      <c r="AG403" t="str">
        <f t="shared" ref="AG403:AG466" si="366">IMSUM(COMPLEX(1,0),IMDIV(COMPLEX(0,2*PI()*O403),COMPLEX(wp_lf_DCM,0)))</f>
        <v>1+79.6431481462631i</v>
      </c>
      <c r="AH403">
        <f t="shared" si="333"/>
        <v>79.649425902812453</v>
      </c>
      <c r="AI403">
        <f t="shared" si="334"/>
        <v>1.5582409786308307</v>
      </c>
      <c r="AJ403" t="str">
        <f t="shared" ref="AJ403:AJ466" si="367">IMSUM(COMPLEX(1,0),IMDIV(COMPLEX(0,2*PI()*O403),COMPLEX(wz1_dcm,0)))</f>
        <v>1+1.67250611107152i</v>
      </c>
      <c r="AK403">
        <f t="shared" si="335"/>
        <v>1.9486602298942675</v>
      </c>
      <c r="AL403">
        <f t="shared" si="336"/>
        <v>1.0319185886563194</v>
      </c>
      <c r="AM403" t="str">
        <f t="shared" ref="AM403:AM466" si="368">IMSUB(COMPLEX(1,0),IMDIV(COMPLEX(0,2*PI()*O403),COMPLEX(wz2_dcm,0)))</f>
        <v>1-0.203029548891648i</v>
      </c>
      <c r="AN403">
        <f t="shared" si="337"/>
        <v>1.0204023705005523</v>
      </c>
      <c r="AO403">
        <f t="shared" si="338"/>
        <v>-0.20030688324703605</v>
      </c>
      <c r="AP403" s="41" t="str">
        <f t="shared" si="339"/>
        <v>1.29777179528985-1.15354457154504i</v>
      </c>
      <c r="AQ403">
        <f t="shared" si="340"/>
        <v>4.7926955702533638</v>
      </c>
      <c r="AR403" s="43">
        <f t="shared" si="341"/>
        <v>-41.632790626252742</v>
      </c>
      <c r="AS403" t="str">
        <f t="shared" ref="AS403:AS466" si="369">COMPLEX(Adc_ea,0)</f>
        <v>-0.0000166666666666667</v>
      </c>
      <c r="AT403" t="str">
        <f t="shared" ref="AT403:AT466" si="370">COMPLEX(0,2*PI()*O403*wp0_ea)</f>
        <v>0.00151237254724553i</v>
      </c>
      <c r="AU403">
        <f t="shared" si="342"/>
        <v>1.51237254724553E-3</v>
      </c>
      <c r="AV403">
        <f t="shared" si="343"/>
        <v>1.5707963267948966</v>
      </c>
      <c r="AW403" t="str">
        <f t="shared" ref="AW403:AW466" si="371">IMSUM(COMPLEX(1,0),IMDIV(COMPLEX(0,2*PI()*O403),COMPLEX(wp1_ea,0)))</f>
        <v>1+1.53696822534952i</v>
      </c>
      <c r="AX403">
        <f t="shared" si="344"/>
        <v>1.8336497282016686</v>
      </c>
      <c r="AY403">
        <f t="shared" si="345"/>
        <v>0.9939772710131396</v>
      </c>
      <c r="AZ403" t="str">
        <f t="shared" ref="AZ403:AZ466" si="372">IMSUM(COMPLEX(1,0),IMDIV(COMPLEX(0,2*PI()*O403),COMPLEX(wz_ea,0)))</f>
        <v>1+52.2569196618837i</v>
      </c>
      <c r="BA403">
        <f t="shared" si="346"/>
        <v>52.266486896945423</v>
      </c>
      <c r="BB403">
        <f t="shared" si="347"/>
        <v>1.5516624404447525</v>
      </c>
      <c r="BC403" s="41" t="str">
        <f t="shared" si="348"/>
        <v>-0.166240193764306+0.266526107970589i</v>
      </c>
      <c r="BD403">
        <f t="shared" si="349"/>
        <v>-10.058062086500176</v>
      </c>
      <c r="BE403" s="43">
        <f t="shared" si="350"/>
        <v>121.9530065054695</v>
      </c>
      <c r="BF403" s="41" t="str">
        <f t="shared" si="351"/>
        <v>0.12791692865326+0.0321558987819386i</v>
      </c>
      <c r="BG403" s="20">
        <f t="shared" si="352"/>
        <v>-17.595320656818632</v>
      </c>
      <c r="BH403" s="43">
        <f t="shared" si="353"/>
        <v>14.110695887287228</v>
      </c>
      <c r="BI403" s="41" t="str">
        <f t="shared" si="357"/>
        <v>0.0917079103136643+0.537655538722019i</v>
      </c>
      <c r="BJ403" s="20">
        <f t="shared" si="354"/>
        <v>-5.2653665162468046</v>
      </c>
      <c r="BK403" s="43">
        <f t="shared" si="358"/>
        <v>80.320215879216789</v>
      </c>
      <c r="BL403">
        <f t="shared" si="355"/>
        <v>-17.595320656818632</v>
      </c>
      <c r="BM403" s="43">
        <f t="shared" si="356"/>
        <v>14.110695887287228</v>
      </c>
    </row>
    <row r="404" spans="14:65" x14ac:dyDescent="0.25">
      <c r="N404" s="9">
        <v>86</v>
      </c>
      <c r="O404" s="34">
        <f t="shared" si="359"/>
        <v>72443.596007499116</v>
      </c>
      <c r="P404" s="33" t="str">
        <f t="shared" si="360"/>
        <v>19.1021967526266</v>
      </c>
      <c r="Q404" s="4" t="str">
        <f t="shared" si="361"/>
        <v>1+102.164743493686i</v>
      </c>
      <c r="R404" s="4">
        <f t="shared" ref="R404:R467" si="373">IMABS(Q404)</f>
        <v>102.1696374327063</v>
      </c>
      <c r="S404" s="4">
        <f t="shared" ref="S404:S467" si="374">IMARGUMENT(Q404)</f>
        <v>1.5610085268951961</v>
      </c>
      <c r="T404" s="4" t="str">
        <f t="shared" si="362"/>
        <v>1+1.71146378300623i</v>
      </c>
      <c r="U404" s="4">
        <f t="shared" ref="U404:U467" si="375">IMABS(T404)</f>
        <v>1.9821978409185081</v>
      </c>
      <c r="V404" s="4">
        <f t="shared" ref="V404:V467" si="376">IMARGUMENT(T404)</f>
        <v>1.0420045485943126</v>
      </c>
      <c r="W404" t="str">
        <f t="shared" si="363"/>
        <v>1-0.948284454236608i</v>
      </c>
      <c r="X404" s="4">
        <f t="shared" ref="X404:X467" si="377">IMABS(W404)</f>
        <v>1.3781304024463075</v>
      </c>
      <c r="Y404" s="4">
        <f t="shared" ref="Y404:Y467" si="378">IMARGUMENT(W404)</f>
        <v>-0.75886024966044308</v>
      </c>
      <c r="Z404" t="str">
        <f t="shared" si="364"/>
        <v>0.994751925397502+0.705523633952036i</v>
      </c>
      <c r="AA404" s="4">
        <f t="shared" ref="AA404:AA467" si="379">IMABS(Z404)</f>
        <v>1.2195470434333084</v>
      </c>
      <c r="AB404" s="4">
        <f t="shared" ref="AB404:AB467" si="380">IMARGUMENT(Z404)</f>
        <v>0.61690428968789446</v>
      </c>
      <c r="AC404" s="47" t="str">
        <f t="shared" ref="AC404:AC467" si="381">(IMDIV(IMPRODUCT(P404,T404,W404),IMPRODUCT(Q404,Z404)))</f>
        <v>-0.133316554057236-0.397007457688302i</v>
      </c>
      <c r="AD404" s="20">
        <f t="shared" ref="AD404:AD467" si="382">20*LOG(IMABS(AC404))</f>
        <v>-7.559995670092051</v>
      </c>
      <c r="AE404" s="43">
        <f t="shared" ref="AE404:AE467" si="383">(180/PI())*IMARGUMENT(AC404)</f>
        <v>-108.5622392155596</v>
      </c>
      <c r="AF404" t="str">
        <f t="shared" si="365"/>
        <v>69.5520360182888</v>
      </c>
      <c r="AG404" t="str">
        <f t="shared" si="366"/>
        <v>1+81.4982753812491i</v>
      </c>
      <c r="AH404">
        <f t="shared" ref="AH404:AH467" si="384">IMABS(AG404)</f>
        <v>81.504410249494555</v>
      </c>
      <c r="AI404">
        <f t="shared" ref="AI404:AI467" si="385">IMARGUMENT(AG404)</f>
        <v>1.5585267442309323</v>
      </c>
      <c r="AJ404" t="str">
        <f t="shared" si="367"/>
        <v>1+1.71146378300623i</v>
      </c>
      <c r="AK404">
        <f t="shared" ref="AK404:AK467" si="386">IMABS(AJ404)</f>
        <v>1.9821978409185081</v>
      </c>
      <c r="AL404">
        <f t="shared" ref="AL404:AL467" si="387">IMARGUMENT(AJ404)</f>
        <v>1.0420045485943126</v>
      </c>
      <c r="AM404" t="str">
        <f t="shared" si="368"/>
        <v>1-0.207758714606747i</v>
      </c>
      <c r="AN404">
        <f t="shared" ref="AN404:AN467" si="388">IMABS(AM404)</f>
        <v>1.0213538483283096</v>
      </c>
      <c r="AO404">
        <f t="shared" ref="AO404:AO467" si="389">IMARGUMENT(AM404)</f>
        <v>-0.20484460993583384</v>
      </c>
      <c r="AP404" s="41" t="str">
        <f t="shared" ref="AP404:AP467" si="390">(IMDIV(IMPRODUCT(AF404,AJ404,AM404),IMPRODUCT(AG404)))</f>
        <v>1.29728756535827-1.14095017203426i</v>
      </c>
      <c r="AQ404">
        <f t="shared" ref="AQ404:AQ467" si="391">20*LOG(IMABS(AP404))</f>
        <v>4.7490393362181198</v>
      </c>
      <c r="AR404" s="43">
        <f t="shared" ref="AR404:AR467" si="392">(180/PI())*IMARGUMENT(AP404)</f>
        <v>-41.331273440135853</v>
      </c>
      <c r="AS404" t="str">
        <f t="shared" si="369"/>
        <v>-0.0000166666666666667</v>
      </c>
      <c r="AT404" t="str">
        <f t="shared" si="370"/>
        <v>0.00154760022931415i</v>
      </c>
      <c r="AU404">
        <f t="shared" ref="AU404:AU467" si="393">IMABS(AT404)</f>
        <v>1.54760022931415E-3</v>
      </c>
      <c r="AV404">
        <f t="shared" ref="AV404:AV467" si="394">IMARGUMENT(AT404)</f>
        <v>1.5707963267948966</v>
      </c>
      <c r="AW404" t="str">
        <f t="shared" si="371"/>
        <v>1+1.57276881435835i</v>
      </c>
      <c r="AX404">
        <f t="shared" ref="AX404:AX467" si="395">IMABS(AW404)</f>
        <v>1.8637601088708198</v>
      </c>
      <c r="AY404">
        <f t="shared" ref="AY404:AY467" si="396">IMARGUMENT(AW404)</f>
        <v>1.0044531802024255</v>
      </c>
      <c r="AZ404" t="str">
        <f t="shared" si="372"/>
        <v>1+53.474139688184i</v>
      </c>
      <c r="BA404">
        <f t="shared" ref="BA404:BA467" si="397">IMABS(AZ404)</f>
        <v>53.48348918490094</v>
      </c>
      <c r="BB404">
        <f t="shared" ref="BB404:BB467" si="398">IMARGUMENT(AZ404)</f>
        <v>1.552097878178045</v>
      </c>
      <c r="BC404" s="41" t="str">
        <f t="shared" ref="BC404:BC467" si="399">IMPRODUCT(AS404,IMDIV(AZ404,IMPRODUCT(AT404,AW404)))</f>
        <v>-0.160912124637574+0.263846933201622i</v>
      </c>
      <c r="BD404">
        <f t="shared" ref="BD404:BD467" si="400">20*LOG(IMABS(BC404))</f>
        <v>-10.199606311463167</v>
      </c>
      <c r="BE404" s="43">
        <f t="shared" ref="BE404:BE467" si="401">(180/PI())*IMARGUMENT(BC404)</f>
        <v>121.37772986671958</v>
      </c>
      <c r="BF404" s="41" t="str">
        <f t="shared" ref="BF404:BF467" si="402">IMPRODUCT(AC404,BC404)</f>
        <v>0.126201450131941+0.0287081495805765i</v>
      </c>
      <c r="BG404" s="20">
        <f t="shared" ref="BG404:BG467" si="403">20*LOG(IMABS(BF404))</f>
        <v>-17.759601981555221</v>
      </c>
      <c r="BH404" s="43">
        <f t="shared" ref="BH404:BH467" si="404">(180/PI())*IMARGUMENT(BF404)</f>
        <v>12.815490651160006</v>
      </c>
      <c r="BI404" s="41" t="str">
        <f t="shared" si="357"/>
        <v>0.0922869054193977+0.525878061888017i</v>
      </c>
      <c r="BJ404" s="20">
        <f t="shared" ref="BJ404:BJ467" si="405">20*LOG(IMABS(BI404))</f>
        <v>-5.4505669752450405</v>
      </c>
      <c r="BK404" s="43">
        <f t="shared" si="358"/>
        <v>80.046456426583745</v>
      </c>
      <c r="BL404">
        <f t="shared" ref="BL404:BL467" si="406">IF($B$31=0,BJ404,BG404)</f>
        <v>-17.759601981555221</v>
      </c>
      <c r="BM404" s="43">
        <f t="shared" ref="BM404:BM467" si="407">IF($B$31=0,BK404,BH404)</f>
        <v>12.815490651160006</v>
      </c>
    </row>
    <row r="405" spans="14:65" x14ac:dyDescent="0.25">
      <c r="N405" s="9">
        <v>87</v>
      </c>
      <c r="O405" s="34">
        <f t="shared" si="359"/>
        <v>74131.024130091857</v>
      </c>
      <c r="P405" s="33" t="str">
        <f t="shared" si="360"/>
        <v>19.1021967526266</v>
      </c>
      <c r="Q405" s="4" t="str">
        <f t="shared" si="361"/>
        <v>1+104.54446607525i</v>
      </c>
      <c r="R405" s="4">
        <f t="shared" si="373"/>
        <v>104.54924861977295</v>
      </c>
      <c r="S405" s="4">
        <f t="shared" si="374"/>
        <v>1.5612313106745495</v>
      </c>
      <c r="T405" s="4" t="str">
        <f t="shared" si="362"/>
        <v>1+1.75132889569259i</v>
      </c>
      <c r="U405" s="4">
        <f t="shared" si="375"/>
        <v>2.0167183494201235</v>
      </c>
      <c r="V405" s="4">
        <f t="shared" si="376"/>
        <v>1.0519771381748713</v>
      </c>
      <c r="W405" t="str">
        <f t="shared" si="363"/>
        <v>1-0.970372836709102i</v>
      </c>
      <c r="X405" s="4">
        <f t="shared" si="377"/>
        <v>1.3934214876421525</v>
      </c>
      <c r="Y405" s="4">
        <f t="shared" si="378"/>
        <v>-0.77036297298580281</v>
      </c>
      <c r="Z405" t="str">
        <f t="shared" si="364"/>
        <v>0.994504591261424+0.721957390511572i</v>
      </c>
      <c r="AA405" s="4">
        <f t="shared" si="379"/>
        <v>1.2289271157209978</v>
      </c>
      <c r="AB405" s="4">
        <f t="shared" si="380"/>
        <v>0.62792848809607427</v>
      </c>
      <c r="AC405" s="47" t="str">
        <f t="shared" si="381"/>
        <v>-0.13804837852993-0.394329734087394i</v>
      </c>
      <c r="AD405" s="20">
        <f t="shared" si="382"/>
        <v>-7.5807195118894679</v>
      </c>
      <c r="AE405" s="43">
        <f t="shared" si="383"/>
        <v>-109.29431403283168</v>
      </c>
      <c r="AF405" t="str">
        <f t="shared" si="365"/>
        <v>69.5520360182888</v>
      </c>
      <c r="AG405" t="str">
        <f t="shared" si="366"/>
        <v>1+83.3966140805994i</v>
      </c>
      <c r="AH405">
        <f t="shared" si="384"/>
        <v>83.402609312349654</v>
      </c>
      <c r="AI405">
        <f t="shared" si="385"/>
        <v>1.5588060069482867</v>
      </c>
      <c r="AJ405" t="str">
        <f t="shared" si="367"/>
        <v>1+1.75132889569259i</v>
      </c>
      <c r="AK405">
        <f t="shared" si="386"/>
        <v>2.0167183494201235</v>
      </c>
      <c r="AL405">
        <f t="shared" si="387"/>
        <v>1.0519771381748713</v>
      </c>
      <c r="AM405" t="str">
        <f t="shared" si="368"/>
        <v>1-0.212598036742341i</v>
      </c>
      <c r="AN405">
        <f t="shared" si="388"/>
        <v>1.022349218822364</v>
      </c>
      <c r="AO405">
        <f t="shared" si="389"/>
        <v>-0.2094791921227139</v>
      </c>
      <c r="AP405" s="41" t="str">
        <f t="shared" si="390"/>
        <v>1.2968251229498-1.12896018451021i</v>
      </c>
      <c r="AQ405">
        <f t="shared" si="391"/>
        <v>4.7074945792625664</v>
      </c>
      <c r="AR405" s="43">
        <f t="shared" si="392"/>
        <v>-41.041428720548211</v>
      </c>
      <c r="AS405" t="str">
        <f t="shared" si="369"/>
        <v>-0.0000166666666666667</v>
      </c>
      <c r="AT405" t="str">
        <f t="shared" si="370"/>
        <v>0.00158364846950925i</v>
      </c>
      <c r="AU405">
        <f t="shared" si="393"/>
        <v>1.5836484695092501E-3</v>
      </c>
      <c r="AV405">
        <f t="shared" si="394"/>
        <v>1.5707963267948966</v>
      </c>
      <c r="AW405" t="str">
        <f t="shared" si="371"/>
        <v>1+1.60940330621062i</v>
      </c>
      <c r="AX405">
        <f t="shared" si="395"/>
        <v>1.8947767683929617</v>
      </c>
      <c r="AY405">
        <f t="shared" si="396"/>
        <v>1.0148272675077485</v>
      </c>
      <c r="AZ405" t="str">
        <f t="shared" si="372"/>
        <v>1+54.7197124111609i</v>
      </c>
      <c r="BA405">
        <f t="shared" si="397"/>
        <v>54.728849123292889</v>
      </c>
      <c r="BB405">
        <f t="shared" si="398"/>
        <v>1.5525234109909545</v>
      </c>
      <c r="BC405" s="41" t="str">
        <f t="shared" si="399"/>
        <v>-0.155687122107376+0.261087590172262i</v>
      </c>
      <c r="BD405">
        <f t="shared" si="400"/>
        <v>-10.34303542913079</v>
      </c>
      <c r="BE405" s="43">
        <f t="shared" si="401"/>
        <v>120.8077196820483</v>
      </c>
      <c r="BF405" s="41" t="str">
        <f t="shared" si="402"/>
        <v>0.124446954771061+0.0253493429838656i</v>
      </c>
      <c r="BG405" s="20">
        <f t="shared" si="403"/>
        <v>-17.92375494102026</v>
      </c>
      <c r="BH405" s="43">
        <f t="shared" si="404"/>
        <v>11.513405649216645</v>
      </c>
      <c r="BI405" s="41" t="str">
        <f t="shared" si="357"/>
        <v>0.0928585227056046+0.514349508326017i</v>
      </c>
      <c r="BJ405" s="20">
        <f t="shared" si="405"/>
        <v>-5.6355408498682316</v>
      </c>
      <c r="BK405" s="43">
        <f t="shared" si="358"/>
        <v>79.76629096150009</v>
      </c>
      <c r="BL405">
        <f t="shared" si="406"/>
        <v>-17.92375494102026</v>
      </c>
      <c r="BM405" s="43">
        <f t="shared" si="407"/>
        <v>11.513405649216645</v>
      </c>
    </row>
    <row r="406" spans="14:65" x14ac:dyDescent="0.25">
      <c r="N406" s="9">
        <v>88</v>
      </c>
      <c r="O406" s="34">
        <f t="shared" si="359"/>
        <v>75857.757502918481</v>
      </c>
      <c r="P406" s="33" t="str">
        <f t="shared" si="360"/>
        <v>19.1021967526266</v>
      </c>
      <c r="Q406" s="4" t="str">
        <f t="shared" si="361"/>
        <v>1+106.979619516536i</v>
      </c>
      <c r="R406" s="4">
        <f t="shared" si="373"/>
        <v>106.9842932018659</v>
      </c>
      <c r="S406" s="4">
        <f t="shared" si="374"/>
        <v>1.5614490241934529</v>
      </c>
      <c r="T406" s="4" t="str">
        <f t="shared" si="362"/>
        <v>1+1.79212258614101i</v>
      </c>
      <c r="U406" s="4">
        <f t="shared" si="375"/>
        <v>2.0522434952404507</v>
      </c>
      <c r="V406" s="4">
        <f t="shared" si="376"/>
        <v>1.0618337099904251</v>
      </c>
      <c r="W406" t="str">
        <f t="shared" si="363"/>
        <v>1-0.992975723704019i</v>
      </c>
      <c r="X406" s="4">
        <f t="shared" si="377"/>
        <v>1.4092554019288059</v>
      </c>
      <c r="Y406" s="4">
        <f t="shared" si="378"/>
        <v>-0.78187366125376678</v>
      </c>
      <c r="Z406" t="str">
        <f t="shared" si="364"/>
        <v>0.994245600626628+0.73877393843579i</v>
      </c>
      <c r="AA406" s="4">
        <f t="shared" si="379"/>
        <v>1.23867317984904</v>
      </c>
      <c r="AB406" s="4">
        <f t="shared" si="380"/>
        <v>0.63903808491445069</v>
      </c>
      <c r="AC406" s="47" t="str">
        <f t="shared" si="381"/>
        <v>-0.142846422132445-0.391656883150986i</v>
      </c>
      <c r="AD406" s="20">
        <f t="shared" si="382"/>
        <v>-7.5994969205228795</v>
      </c>
      <c r="AE406" s="43">
        <f t="shared" si="383"/>
        <v>-110.03809499993908</v>
      </c>
      <c r="AF406" t="str">
        <f t="shared" si="365"/>
        <v>69.5520360182888</v>
      </c>
      <c r="AG406" t="str">
        <f t="shared" si="366"/>
        <v>1+85.3391707686197i</v>
      </c>
      <c r="AH406">
        <f t="shared" si="384"/>
        <v>85.345029541711654</v>
      </c>
      <c r="AI406">
        <f t="shared" si="385"/>
        <v>1.5590789146773512</v>
      </c>
      <c r="AJ406" t="str">
        <f t="shared" si="367"/>
        <v>1+1.79212258614101i</v>
      </c>
      <c r="AK406">
        <f t="shared" si="386"/>
        <v>2.0522434952404507</v>
      </c>
      <c r="AL406">
        <f t="shared" si="387"/>
        <v>1.0618337099904251</v>
      </c>
      <c r="AM406" t="str">
        <f t="shared" si="368"/>
        <v>1-0.217550081171084i</v>
      </c>
      <c r="AN406">
        <f t="shared" si="388"/>
        <v>1.0233904620512861</v>
      </c>
      <c r="AO406">
        <f t="shared" si="389"/>
        <v>-0.2142122903699957</v>
      </c>
      <c r="AP406" s="41" t="str">
        <f t="shared" si="390"/>
        <v>1.29638348802859-1.11756828741471i</v>
      </c>
      <c r="AQ406">
        <f t="shared" si="391"/>
        <v>4.6680373509761806</v>
      </c>
      <c r="AR406" s="43">
        <f t="shared" si="392"/>
        <v>-40.763511769711123</v>
      </c>
      <c r="AS406" t="str">
        <f t="shared" si="369"/>
        <v>-0.0000166666666666667</v>
      </c>
      <c r="AT406" t="str">
        <f t="shared" si="370"/>
        <v>0.00162053638108496i</v>
      </c>
      <c r="AU406">
        <f t="shared" si="393"/>
        <v>1.6205363810849599E-3</v>
      </c>
      <c r="AV406">
        <f t="shared" si="394"/>
        <v>1.5707963267948966</v>
      </c>
      <c r="AW406" t="str">
        <f t="shared" si="371"/>
        <v>1+1.6468911249988i</v>
      </c>
      <c r="AX406">
        <f t="shared" si="395"/>
        <v>1.9267201087858643</v>
      </c>
      <c r="AY406">
        <f t="shared" si="396"/>
        <v>1.0250961012697071</v>
      </c>
      <c r="AZ406" t="str">
        <f t="shared" si="372"/>
        <v>1+55.9942982499591i</v>
      </c>
      <c r="BA406">
        <f t="shared" si="397"/>
        <v>56.0032270186761</v>
      </c>
      <c r="BB406">
        <f t="shared" si="398"/>
        <v>1.5529392638898198</v>
      </c>
      <c r="BC406" s="41" t="str">
        <f t="shared" si="399"/>
        <v>-0.150567601811275+0.258253107733647i</v>
      </c>
      <c r="BD406">
        <f t="shared" si="400"/>
        <v>-10.488312263651141</v>
      </c>
      <c r="BE406" s="43">
        <f t="shared" si="401"/>
        <v>120.24318546297019</v>
      </c>
      <c r="BF406" s="41" t="str">
        <f t="shared" si="402"/>
        <v>0.122654650446819+0.0220803051845864i</v>
      </c>
      <c r="BG406" s="20">
        <f t="shared" si="403"/>
        <v>-18.087809184174038</v>
      </c>
      <c r="BH406" s="43">
        <f t="shared" si="404"/>
        <v>10.205090463031134</v>
      </c>
      <c r="BI406" s="41" t="str">
        <f t="shared" si="357"/>
        <v>0.093422130509218+0.503064641494335i</v>
      </c>
      <c r="BJ406" s="20">
        <f t="shared" si="405"/>
        <v>-5.8202749126749609</v>
      </c>
      <c r="BK406" s="43">
        <f t="shared" si="358"/>
        <v>79.479673693259059</v>
      </c>
      <c r="BL406">
        <f t="shared" si="406"/>
        <v>-18.087809184174038</v>
      </c>
      <c r="BM406" s="43">
        <f t="shared" si="407"/>
        <v>10.205090463031134</v>
      </c>
    </row>
    <row r="407" spans="14:65" x14ac:dyDescent="0.25">
      <c r="N407" s="9">
        <v>89</v>
      </c>
      <c r="O407" s="34">
        <f t="shared" si="359"/>
        <v>77624.711662869129</v>
      </c>
      <c r="P407" s="33" t="str">
        <f t="shared" si="360"/>
        <v>19.1021967526266</v>
      </c>
      <c r="Q407" s="4" t="str">
        <f t="shared" si="361"/>
        <v>1+109.471494968133i</v>
      </c>
      <c r="R407" s="4">
        <f t="shared" si="373"/>
        <v>109.47606227188649</v>
      </c>
      <c r="S407" s="4">
        <f t="shared" si="374"/>
        <v>1.5616617828038932</v>
      </c>
      <c r="T407" s="4" t="str">
        <f t="shared" si="362"/>
        <v>1+1.83386648370616i</v>
      </c>
      <c r="U407" s="4">
        <f t="shared" si="375"/>
        <v>2.0887954136441405</v>
      </c>
      <c r="V407" s="4">
        <f t="shared" si="376"/>
        <v>1.0715718287614526</v>
      </c>
      <c r="W407" t="str">
        <f t="shared" si="363"/>
        <v>1-1.01610509957123i</v>
      </c>
      <c r="X407" s="4">
        <f t="shared" si="377"/>
        <v>1.4256470718149914</v>
      </c>
      <c r="Y407" s="4">
        <f t="shared" si="378"/>
        <v>-0.79338621770227402</v>
      </c>
      <c r="Z407" t="str">
        <f t="shared" si="364"/>
        <v>0.993974404139256+0.755982194080996i</v>
      </c>
      <c r="AA407" s="4">
        <f t="shared" si="379"/>
        <v>1.2487970987520374</v>
      </c>
      <c r="AB407" s="4">
        <f t="shared" si="380"/>
        <v>0.65022852364692385</v>
      </c>
      <c r="AC407" s="47" t="str">
        <f t="shared" si="381"/>
        <v>-0.147707324673457-0.388983017779873i</v>
      </c>
      <c r="AD407" s="20">
        <f t="shared" si="382"/>
        <v>-7.6163960681301681</v>
      </c>
      <c r="AE407" s="43">
        <f t="shared" si="383"/>
        <v>-110.79311787057117</v>
      </c>
      <c r="AF407" t="str">
        <f t="shared" si="365"/>
        <v>69.5520360182888</v>
      </c>
      <c r="AG407" t="str">
        <f t="shared" si="366"/>
        <v>1+87.326975414579i</v>
      </c>
      <c r="AH407">
        <f t="shared" si="384"/>
        <v>87.332700834558452</v>
      </c>
      <c r="AI407">
        <f t="shared" si="385"/>
        <v>1.5593456119547158</v>
      </c>
      <c r="AJ407" t="str">
        <f t="shared" si="367"/>
        <v>1+1.83386648370616i</v>
      </c>
      <c r="AK407">
        <f t="shared" si="386"/>
        <v>2.0887954136441405</v>
      </c>
      <c r="AL407">
        <f t="shared" si="387"/>
        <v>1.0715718287614526</v>
      </c>
      <c r="AM407" t="str">
        <f t="shared" si="368"/>
        <v>1-0.222617473532479i</v>
      </c>
      <c r="AN407">
        <f t="shared" si="388"/>
        <v>1.0244796432931129</v>
      </c>
      <c r="AO407">
        <f t="shared" si="389"/>
        <v>-0.21904556558155719</v>
      </c>
      <c r="AP407" s="41" t="str">
        <f t="shared" si="390"/>
        <v>1.29596172461805-1.10676847392385i</v>
      </c>
      <c r="AQ407">
        <f t="shared" si="391"/>
        <v>4.630643899600547</v>
      </c>
      <c r="AR407" s="43">
        <f t="shared" si="392"/>
        <v>-40.497765562982416</v>
      </c>
      <c r="AS407" t="str">
        <f t="shared" si="369"/>
        <v>-0.0000166666666666667</v>
      </c>
      <c r="AT407" t="str">
        <f t="shared" si="370"/>
        <v>0.00165828352250025i</v>
      </c>
      <c r="AU407">
        <f t="shared" si="393"/>
        <v>1.6582835225002501E-3</v>
      </c>
      <c r="AV407">
        <f t="shared" si="394"/>
        <v>1.5707963267948966</v>
      </c>
      <c r="AW407" t="str">
        <f t="shared" si="371"/>
        <v>1+1.68525214726063i</v>
      </c>
      <c r="AX407">
        <f t="shared" si="395"/>
        <v>1.9596108797020302</v>
      </c>
      <c r="AY407">
        <f t="shared" si="396"/>
        <v>1.0352564630503636</v>
      </c>
      <c r="AZ407" t="str">
        <f t="shared" si="372"/>
        <v>1+57.2985730068615i</v>
      </c>
      <c r="BA407">
        <f t="shared" si="397"/>
        <v>57.307298563295035</v>
      </c>
      <c r="BB407">
        <f t="shared" si="398"/>
        <v>1.5533456567897026</v>
      </c>
      <c r="BC407" s="41" t="str">
        <f t="shared" si="399"/>
        <v>-0.145555663837729+0.255348548170042i</v>
      </c>
      <c r="BD407">
        <f t="shared" si="400"/>
        <v>-10.635398824887934</v>
      </c>
      <c r="BE407" s="43">
        <f t="shared" si="401"/>
        <v>119.68432421259976</v>
      </c>
      <c r="BF407" s="41" t="str">
        <f t="shared" si="402"/>
        <v>0.120825886549432+0.0189018304651043i</v>
      </c>
      <c r="BG407" s="20">
        <f t="shared" si="403"/>
        <v>-18.251794893018115</v>
      </c>
      <c r="BH407" s="43">
        <f t="shared" si="404"/>
        <v>8.8912063420286138</v>
      </c>
      <c r="BI407" s="41" t="str">
        <f t="shared" si="357"/>
        <v>0.0939771538417597+0.492018364801819i</v>
      </c>
      <c r="BJ407" s="20">
        <f t="shared" si="405"/>
        <v>-6.0047549252873891</v>
      </c>
      <c r="BK407" s="43">
        <f t="shared" si="358"/>
        <v>79.186558649617339</v>
      </c>
      <c r="BL407">
        <f t="shared" si="406"/>
        <v>-18.251794893018115</v>
      </c>
      <c r="BM407" s="43">
        <f t="shared" si="407"/>
        <v>8.8912063420286138</v>
      </c>
    </row>
    <row r="408" spans="14:65" x14ac:dyDescent="0.25">
      <c r="N408" s="9">
        <v>90</v>
      </c>
      <c r="O408" s="34">
        <f t="shared" si="359"/>
        <v>79432.823472428237</v>
      </c>
      <c r="P408" s="33" t="str">
        <f t="shared" si="360"/>
        <v>19.1021967526266</v>
      </c>
      <c r="Q408" s="4" t="str">
        <f t="shared" si="361"/>
        <v>1+112.021413655388i</v>
      </c>
      <c r="R408" s="4">
        <f t="shared" si="373"/>
        <v>112.02587699880571</v>
      </c>
      <c r="S408" s="4">
        <f t="shared" si="374"/>
        <v>1.5618696992362116</v>
      </c>
      <c r="T408" s="4" t="str">
        <f t="shared" si="362"/>
        <v>1+1.87658272155506i</v>
      </c>
      <c r="U408" s="4">
        <f t="shared" si="375"/>
        <v>2.1263966494610065</v>
      </c>
      <c r="V408" s="4">
        <f t="shared" si="376"/>
        <v>1.0811892692264469</v>
      </c>
      <c r="W408" t="str">
        <f t="shared" si="363"/>
        <v>1-1.03977322781198i</v>
      </c>
      <c r="X408" s="4">
        <f t="shared" si="377"/>
        <v>1.4426116474209347</v>
      </c>
      <c r="Y408" s="4">
        <f t="shared" si="378"/>
        <v>-0.80489454062135046</v>
      </c>
      <c r="Z408" t="str">
        <f t="shared" si="364"/>
        <v>0.993690426555198+0.773591281492114i</v>
      </c>
      <c r="AA408" s="4">
        <f t="shared" si="379"/>
        <v>1.259310976140549</v>
      </c>
      <c r="AB408" s="4">
        <f t="shared" si="380"/>
        <v>0.66149506937068869</v>
      </c>
      <c r="AC408" s="47" t="str">
        <f t="shared" si="381"/>
        <v>-0.1526274756721-0.386302459448486i</v>
      </c>
      <c r="AD408" s="20">
        <f t="shared" si="382"/>
        <v>-7.6314862721182539</v>
      </c>
      <c r="AE408" s="43">
        <f t="shared" si="383"/>
        <v>-111.55889570847158</v>
      </c>
      <c r="AF408" t="str">
        <f t="shared" si="365"/>
        <v>69.5520360182888</v>
      </c>
      <c r="AG408" t="str">
        <f t="shared" si="366"/>
        <v>1+89.3610819788126i</v>
      </c>
      <c r="AH408">
        <f t="shared" si="384"/>
        <v>89.36667708057665</v>
      </c>
      <c r="AI408">
        <f t="shared" si="385"/>
        <v>1.5596062400349644</v>
      </c>
      <c r="AJ408" t="str">
        <f t="shared" si="367"/>
        <v>1+1.87658272155506i</v>
      </c>
      <c r="AK408">
        <f t="shared" si="386"/>
        <v>2.1263966494610065</v>
      </c>
      <c r="AL408">
        <f t="shared" si="387"/>
        <v>1.0811892692264469</v>
      </c>
      <c r="AM408" t="str">
        <f t="shared" si="368"/>
        <v>1-0.227802900625033i</v>
      </c>
      <c r="AN408">
        <f t="shared" si="388"/>
        <v>1.025618916329637</v>
      </c>
      <c r="AO408">
        <f t="shared" si="389"/>
        <v>-0.22398067674684588</v>
      </c>
      <c r="AP408" s="41" t="str">
        <f t="shared" si="390"/>
        <v>1.29555893882221-1.09655504892194i</v>
      </c>
      <c r="AQ408">
        <f t="shared" si="391"/>
        <v>4.595290789262827</v>
      </c>
      <c r="AR408" s="43">
        <f t="shared" si="392"/>
        <v>-40.244420744839807</v>
      </c>
      <c r="AS408" t="str">
        <f t="shared" si="369"/>
        <v>-0.0000166666666666667</v>
      </c>
      <c r="AT408" t="str">
        <f t="shared" si="370"/>
        <v>0.00169690990778915i</v>
      </c>
      <c r="AU408">
        <f t="shared" si="393"/>
        <v>1.69690990778915E-3</v>
      </c>
      <c r="AV408">
        <f t="shared" si="394"/>
        <v>1.5707963267948966</v>
      </c>
      <c r="AW408" t="str">
        <f t="shared" si="371"/>
        <v>1+1.7245067125179i</v>
      </c>
      <c r="AX408">
        <f t="shared" si="395"/>
        <v>1.9934701907777039</v>
      </c>
      <c r="AY408">
        <f t="shared" si="396"/>
        <v>1.0453053484469073</v>
      </c>
      <c r="AZ408" t="str">
        <f t="shared" si="372"/>
        <v>1+58.6332282256087i</v>
      </c>
      <c r="BA408">
        <f t="shared" si="397"/>
        <v>58.641755193345944</v>
      </c>
      <c r="BB408">
        <f t="shared" si="398"/>
        <v>1.5537428046282464</v>
      </c>
      <c r="BC408" s="41" t="str">
        <f t="shared" si="399"/>
        <v>-0.140653097758379+0.252378985841891i</v>
      </c>
      <c r="BD408">
        <f t="shared" si="400"/>
        <v>-10.784256420768513</v>
      </c>
      <c r="BE408" s="43">
        <f t="shared" si="401"/>
        <v>119.13132038555841</v>
      </c>
      <c r="BF408" s="41" t="str">
        <f t="shared" si="402"/>
        <v>0.11896215020016+0.0158146700713777i</v>
      </c>
      <c r="BG408" s="20">
        <f t="shared" si="403"/>
        <v>-18.415742692886742</v>
      </c>
      <c r="BH408" s="43">
        <f t="shared" si="404"/>
        <v>7.5724246770868264</v>
      </c>
      <c r="BI408" s="41" t="str">
        <f t="shared" si="357"/>
        <v>0.0945230730928223+0.481205715571808i</v>
      </c>
      <c r="BJ408" s="20">
        <f t="shared" si="405"/>
        <v>-6.1889656315056785</v>
      </c>
      <c r="BK408" s="43">
        <f t="shared" si="358"/>
        <v>78.886899640718624</v>
      </c>
      <c r="BL408">
        <f t="shared" si="406"/>
        <v>-18.415742692886742</v>
      </c>
      <c r="BM408" s="43">
        <f t="shared" si="407"/>
        <v>7.5724246770868264</v>
      </c>
    </row>
    <row r="409" spans="14:65" x14ac:dyDescent="0.25">
      <c r="N409" s="9">
        <v>91</v>
      </c>
      <c r="O409" s="34">
        <f t="shared" si="359"/>
        <v>81283.051616410012</v>
      </c>
      <c r="P409" s="33" t="str">
        <f t="shared" si="360"/>
        <v>19.1021967526266</v>
      </c>
      <c r="Q409" s="4" t="str">
        <f t="shared" si="361"/>
        <v>1+114.630727578942i</v>
      </c>
      <c r="R409" s="4">
        <f t="shared" si="373"/>
        <v>114.63508932817044</v>
      </c>
      <c r="S409" s="4">
        <f t="shared" si="374"/>
        <v>1.5620728836585065</v>
      </c>
      <c r="T409" s="4" t="str">
        <f t="shared" si="362"/>
        <v>1+1.92029394840244i</v>
      </c>
      <c r="U409" s="4">
        <f t="shared" si="375"/>
        <v>2.1650701716736647</v>
      </c>
      <c r="V409" s="4">
        <f t="shared" si="376"/>
        <v>1.090684013350095</v>
      </c>
      <c r="W409" t="str">
        <f t="shared" si="363"/>
        <v>1-1.06399265758114i</v>
      </c>
      <c r="X409" s="4">
        <f t="shared" si="377"/>
        <v>1.4601645028511605</v>
      </c>
      <c r="Y409" s="4">
        <f t="shared" si="378"/>
        <v>-0.81639253951084489</v>
      </c>
      <c r="Z409" t="str">
        <f t="shared" si="364"/>
        <v>0.993393065519924+0.791610537240367i</v>
      </c>
      <c r="AA409" s="4">
        <f t="shared" si="379"/>
        <v>1.2702271549975044</v>
      </c>
      <c r="AB409" s="4">
        <f t="shared" si="380"/>
        <v>0.67283281735863021</v>
      </c>
      <c r="AC409" s="47" t="str">
        <f t="shared" si="381"/>
        <v>-0.157603023536605-0.383609756177897i</v>
      </c>
      <c r="AD409" s="20">
        <f t="shared" si="382"/>
        <v>-7.6448377900076592</v>
      </c>
      <c r="AE409" s="43">
        <f t="shared" si="383"/>
        <v>-112.33492047059642</v>
      </c>
      <c r="AF409" t="str">
        <f t="shared" si="365"/>
        <v>69.5520360182888</v>
      </c>
      <c r="AG409" t="str">
        <f t="shared" si="366"/>
        <v>1+91.4425689715448i</v>
      </c>
      <c r="AH409">
        <f t="shared" si="384"/>
        <v>91.448036720947314</v>
      </c>
      <c r="AI409">
        <f t="shared" si="385"/>
        <v>1.5598609369648442</v>
      </c>
      <c r="AJ409" t="str">
        <f t="shared" si="367"/>
        <v>1+1.92029394840244i</v>
      </c>
      <c r="AK409">
        <f t="shared" si="386"/>
        <v>2.1650701716736647</v>
      </c>
      <c r="AL409">
        <f t="shared" si="387"/>
        <v>1.090684013350095</v>
      </c>
      <c r="AM409" t="str">
        <f t="shared" si="368"/>
        <v>1-0.233109111830825i</v>
      </c>
      <c r="AN409">
        <f t="shared" si="388"/>
        <v>1.026810526834701</v>
      </c>
      <c r="AO409">
        <f t="shared" si="389"/>
        <v>-0.22901927852210915</v>
      </c>
      <c r="AP409" s="41" t="str">
        <f t="shared" si="390"/>
        <v>1.29517427693577-1.08692262613007i</v>
      </c>
      <c r="AQ409">
        <f t="shared" si="391"/>
        <v>4.5619550153538215</v>
      </c>
      <c r="AR409" s="43">
        <f t="shared" si="392"/>
        <v>-40.003695654504959</v>
      </c>
      <c r="AS409" t="str">
        <f t="shared" si="369"/>
        <v>-0.0000166666666666667</v>
      </c>
      <c r="AT409" t="str">
        <f t="shared" si="370"/>
        <v>0.00173643601717242i</v>
      </c>
      <c r="AU409">
        <f t="shared" si="393"/>
        <v>1.73643601717242E-3</v>
      </c>
      <c r="AV409">
        <f t="shared" si="394"/>
        <v>1.5707963267948966</v>
      </c>
      <c r="AW409" t="str">
        <f t="shared" si="371"/>
        <v>1+1.76467563406069i</v>
      </c>
      <c r="AX409">
        <f t="shared" si="395"/>
        <v>2.0283195244949694</v>
      </c>
      <c r="AY409">
        <f t="shared" si="396"/>
        <v>1.0552399670483805</v>
      </c>
      <c r="AZ409" t="str">
        <f t="shared" si="372"/>
        <v>1+59.9989715580635i</v>
      </c>
      <c r="BA409">
        <f t="shared" si="397"/>
        <v>60.007304455585349</v>
      </c>
      <c r="BB409">
        <f t="shared" si="398"/>
        <v>1.5541309174770792</v>
      </c>
      <c r="BC409" s="41" t="str">
        <f t="shared" si="399"/>
        <v>-0.135861389176267+0.249349486824601i</v>
      </c>
      <c r="BD409">
        <f t="shared" si="400"/>
        <v>-10.934845767542852</v>
      </c>
      <c r="BE409" s="43">
        <f t="shared" si="401"/>
        <v>118.5843458968349</v>
      </c>
      <c r="BF409" s="41" t="str">
        <f t="shared" si="402"/>
        <v>0.117065061559932+0.0128195213350402i</v>
      </c>
      <c r="BG409" s="20">
        <f t="shared" si="403"/>
        <v>-18.57968355755051</v>
      </c>
      <c r="BH409" s="43">
        <f t="shared" si="404"/>
        <v>6.2494254262384876</v>
      </c>
      <c r="BI409" s="41" t="str">
        <f t="shared" si="357"/>
        <v>0.0950594225537197+0.470621859215505i</v>
      </c>
      <c r="BJ409" s="20">
        <f t="shared" si="405"/>
        <v>-6.372890752189039</v>
      </c>
      <c r="BK409" s="43">
        <f t="shared" si="358"/>
        <v>78.580650242329938</v>
      </c>
      <c r="BL409">
        <f t="shared" si="406"/>
        <v>-18.57968355755051</v>
      </c>
      <c r="BM409" s="43">
        <f t="shared" si="407"/>
        <v>6.2494254262384876</v>
      </c>
    </row>
    <row r="410" spans="14:65" x14ac:dyDescent="0.25">
      <c r="N410" s="9">
        <v>92</v>
      </c>
      <c r="O410" s="34">
        <f t="shared" si="359"/>
        <v>83176.377110267174</v>
      </c>
      <c r="P410" s="33" t="str">
        <f t="shared" si="360"/>
        <v>19.1021967526266</v>
      </c>
      <c r="Q410" s="4" t="str">
        <f t="shared" si="361"/>
        <v>1+117.300820231576i</v>
      </c>
      <c r="R410" s="4">
        <f t="shared" si="373"/>
        <v>117.3050826989202</v>
      </c>
      <c r="S410" s="4">
        <f t="shared" si="374"/>
        <v>1.5622714437347036</v>
      </c>
      <c r="T410" s="4" t="str">
        <f t="shared" si="362"/>
        <v>1+1.96502334051936i</v>
      </c>
      <c r="U410" s="4">
        <f t="shared" si="375"/>
        <v>2.2048393884330588</v>
      </c>
      <c r="V410" s="4">
        <f t="shared" si="376"/>
        <v>1.1000542469032275</v>
      </c>
      <c r="W410" t="str">
        <f t="shared" si="363"/>
        <v>1-1.08877623034096i</v>
      </c>
      <c r="X410" s="4">
        <f t="shared" si="377"/>
        <v>1.478321236996706</v>
      </c>
      <c r="Y410" s="4">
        <f t="shared" si="378"/>
        <v>-0.82787415116585084</v>
      </c>
      <c r="Z410" t="str">
        <f t="shared" si="364"/>
        <v>0.993081690290811+0.810049515373671i</v>
      </c>
      <c r="AA410" s="4">
        <f t="shared" si="379"/>
        <v>1.2815582159808323</v>
      </c>
      <c r="AB410" s="4">
        <f t="shared" si="380"/>
        <v>0.68423670265783065</v>
      </c>
      <c r="AC410" s="47" t="str">
        <f t="shared" si="381"/>
        <v>-0.162629886484496-0.380899700005698i</v>
      </c>
      <c r="AD410" s="20">
        <f t="shared" si="382"/>
        <v>-7.6565216122949487</v>
      </c>
      <c r="AE410" s="43">
        <f t="shared" si="383"/>
        <v>-113.12066467683141</v>
      </c>
      <c r="AF410" t="str">
        <f t="shared" si="365"/>
        <v>69.5520360182888</v>
      </c>
      <c r="AG410" t="str">
        <f t="shared" si="366"/>
        <v>1+93.5725400247314i</v>
      </c>
      <c r="AH410">
        <f t="shared" si="384"/>
        <v>93.577883320151884</v>
      </c>
      <c r="AI410">
        <f t="shared" si="385"/>
        <v>1.560109837655784</v>
      </c>
      <c r="AJ410" t="str">
        <f t="shared" si="367"/>
        <v>1+1.96502334051936i</v>
      </c>
      <c r="AK410">
        <f t="shared" si="386"/>
        <v>2.2048393884330588</v>
      </c>
      <c r="AL410">
        <f t="shared" si="387"/>
        <v>1.1000542469032275</v>
      </c>
      <c r="AM410" t="str">
        <f t="shared" si="368"/>
        <v>1-0.238538920573273i</v>
      </c>
      <c r="AN410">
        <f t="shared" si="388"/>
        <v>1.0280568158561385</v>
      </c>
      <c r="AO410">
        <f t="shared" si="389"/>
        <v>-0.23416301864245839</v>
      </c>
      <c r="AP410" s="41" t="str">
        <f t="shared" si="390"/>
        <v>1.29480692363883-1.07786612538859i</v>
      </c>
      <c r="AQ410">
        <f t="shared" si="391"/>
        <v>4.5306141156537612</v>
      </c>
      <c r="AR410" s="43">
        <f t="shared" si="392"/>
        <v>-39.775796377775094</v>
      </c>
      <c r="AS410" t="str">
        <f t="shared" si="369"/>
        <v>-0.0000166666666666667</v>
      </c>
      <c r="AT410" t="str">
        <f t="shared" si="370"/>
        <v>0.00177688280791644i</v>
      </c>
      <c r="AU410">
        <f t="shared" si="393"/>
        <v>1.7768828079164399E-3</v>
      </c>
      <c r="AV410">
        <f t="shared" si="394"/>
        <v>1.5707963267948966</v>
      </c>
      <c r="AW410" t="str">
        <f t="shared" si="371"/>
        <v>1+1.8057802099829i</v>
      </c>
      <c r="AX410">
        <f t="shared" si="395"/>
        <v>2.0641807495386364</v>
      </c>
      <c r="AY410">
        <f t="shared" si="396"/>
        <v>1.0650577415786247</v>
      </c>
      <c r="AZ410" t="str">
        <f t="shared" si="372"/>
        <v>1+61.3965271394186i</v>
      </c>
      <c r="BA410">
        <f t="shared" si="397"/>
        <v>61.404670382482827</v>
      </c>
      <c r="BB410">
        <f t="shared" si="398"/>
        <v>1.5545102006508056</v>
      </c>
      <c r="BC410" s="41" t="str">
        <f t="shared" si="399"/>
        <v>-0.131181727649503+0.246265089645592i</v>
      </c>
      <c r="BD410">
        <f t="shared" si="400"/>
        <v>-11.087127097436287</v>
      </c>
      <c r="BE410" s="43">
        <f t="shared" si="401"/>
        <v>118.04356017713556</v>
      </c>
      <c r="BF410" s="41" t="str">
        <f t="shared" si="402"/>
        <v>0.115136368244361+0.00991701713376802i</v>
      </c>
      <c r="BG410" s="20">
        <f t="shared" si="403"/>
        <v>-18.743648709731239</v>
      </c>
      <c r="BH410" s="43">
        <f t="shared" si="404"/>
        <v>4.9228955003041532</v>
      </c>
      <c r="BI410" s="41" t="str">
        <f t="shared" si="357"/>
        <v>0.0955857887792882+0.460262083627001i</v>
      </c>
      <c r="BJ410" s="20">
        <f t="shared" si="405"/>
        <v>-6.5565129817825172</v>
      </c>
      <c r="BK410" s="43">
        <f t="shared" si="358"/>
        <v>78.26776379936048</v>
      </c>
      <c r="BL410">
        <f t="shared" si="406"/>
        <v>-18.743648709731239</v>
      </c>
      <c r="BM410" s="43">
        <f t="shared" si="407"/>
        <v>4.9228955003041532</v>
      </c>
    </row>
    <row r="411" spans="14:65" x14ac:dyDescent="0.25">
      <c r="N411" s="9">
        <v>93</v>
      </c>
      <c r="O411" s="34">
        <f t="shared" si="359"/>
        <v>85113.803820237721</v>
      </c>
      <c r="P411" s="33" t="str">
        <f t="shared" si="360"/>
        <v>19.1021967526266</v>
      </c>
      <c r="Q411" s="4" t="str">
        <f t="shared" si="361"/>
        <v>1+120.033107331756i</v>
      </c>
      <c r="R411" s="4">
        <f t="shared" si="373"/>
        <v>120.037272776904</v>
      </c>
      <c r="S411" s="4">
        <f t="shared" si="374"/>
        <v>1.56246548468132</v>
      </c>
      <c r="T411" s="4" t="str">
        <f t="shared" si="362"/>
        <v>1+2.01079461402157i</v>
      </c>
      <c r="U411" s="4">
        <f t="shared" si="375"/>
        <v>2.2457281624849776</v>
      </c>
      <c r="V411" s="4">
        <f t="shared" si="376"/>
        <v>1.1092983554693878</v>
      </c>
      <c r="W411" t="str">
        <f t="shared" si="363"/>
        <v>1-1.11413708666976i</v>
      </c>
      <c r="X411" s="4">
        <f t="shared" si="377"/>
        <v>1.4970976748004723</v>
      </c>
      <c r="Y411" s="4">
        <f t="shared" si="378"/>
        <v>-0.83933335558635791</v>
      </c>
      <c r="Z411" t="str">
        <f t="shared" si="364"/>
        <v>0.99275564039925+0.828917992482298i</v>
      </c>
      <c r="AA411" s="4">
        <f t="shared" si="379"/>
        <v>1.2933169757663463</v>
      </c>
      <c r="AB411" s="4">
        <f t="shared" si="380"/>
        <v>0.69570151059283569</v>
      </c>
      <c r="AC411" s="47" t="str">
        <f t="shared" si="381"/>
        <v>-0.167703765173977-0.378167343768111i</v>
      </c>
      <c r="AD411" s="20">
        <f t="shared" si="382"/>
        <v>-7.6666092544840092</v>
      </c>
      <c r="AE411" s="43">
        <f t="shared" si="383"/>
        <v>-113.91558315540016</v>
      </c>
      <c r="AF411" t="str">
        <f t="shared" si="365"/>
        <v>69.5520360182888</v>
      </c>
      <c r="AG411" t="str">
        <f t="shared" si="366"/>
        <v>1+95.752124477218i</v>
      </c>
      <c r="AH411">
        <f t="shared" si="384"/>
        <v>95.75734615109512</v>
      </c>
      <c r="AI411">
        <f t="shared" si="385"/>
        <v>1.5603530739547959</v>
      </c>
      <c r="AJ411" t="str">
        <f t="shared" si="367"/>
        <v>1+2.01079461402157i</v>
      </c>
      <c r="AK411">
        <f t="shared" si="386"/>
        <v>2.2457281624849776</v>
      </c>
      <c r="AL411">
        <f t="shared" si="387"/>
        <v>1.1092983554693878</v>
      </c>
      <c r="AM411" t="str">
        <f t="shared" si="368"/>
        <v>1-0.244095205808846i</v>
      </c>
      <c r="AN411">
        <f t="shared" si="388"/>
        <v>1.0293602233906569</v>
      </c>
      <c r="AO411">
        <f t="shared" si="389"/>
        <v>-0.23941353515847202</v>
      </c>
      <c r="AP411" s="41" t="str">
        <f t="shared" si="390"/>
        <v>1.29445610027257-1.06938077009272i</v>
      </c>
      <c r="AQ411">
        <f t="shared" si="391"/>
        <v>4.5012462768543422</v>
      </c>
      <c r="AR411" s="43">
        <f t="shared" si="392"/>
        <v>-39.560916821562699</v>
      </c>
      <c r="AS411" t="str">
        <f t="shared" si="369"/>
        <v>-0.0000166666666666667</v>
      </c>
      <c r="AT411" t="str">
        <f t="shared" si="370"/>
        <v>0.00181827172544504i</v>
      </c>
      <c r="AU411">
        <f t="shared" si="393"/>
        <v>1.81827172544504E-3</v>
      </c>
      <c r="AV411">
        <f t="shared" si="394"/>
        <v>1.5707963267948966</v>
      </c>
      <c r="AW411" t="str">
        <f t="shared" si="371"/>
        <v>1+1.84784223447477i</v>
      </c>
      <c r="AX411">
        <f t="shared" si="395"/>
        <v>2.1010761346292783</v>
      </c>
      <c r="AY411">
        <f t="shared" si="396"/>
        <v>1.0747563062723828</v>
      </c>
      <c r="AZ411" t="str">
        <f t="shared" si="372"/>
        <v>1+62.8266359721422i</v>
      </c>
      <c r="BA411">
        <f t="shared" si="397"/>
        <v>62.834593876113125</v>
      </c>
      <c r="BB411">
        <f t="shared" si="398"/>
        <v>1.5548808548136384</v>
      </c>
      <c r="BC411" s="41" t="str">
        <f t="shared" si="399"/>
        <v>-0.126615015845014+0.243130787203737i</v>
      </c>
      <c r="BD411">
        <f t="shared" si="400"/>
        <v>-11.241060263231359</v>
      </c>
      <c r="BE411" s="43">
        <f t="shared" si="401"/>
        <v>117.50911027203794</v>
      </c>
      <c r="BF411" s="41" t="str">
        <f t="shared" si="402"/>
        <v>0.113177938869859+0.00710771577948655i</v>
      </c>
      <c r="BG411" s="20">
        <f t="shared" si="403"/>
        <v>-18.907669517715341</v>
      </c>
      <c r="BH411" s="43">
        <f t="shared" si="404"/>
        <v>3.5935271166377798</v>
      </c>
      <c r="BI411" s="41" t="str">
        <f t="shared" si="357"/>
        <v>0.096101808806495+0.450121793809592i</v>
      </c>
      <c r="BJ411" s="20">
        <f t="shared" si="405"/>
        <v>-6.739813986377027</v>
      </c>
      <c r="BK411" s="43">
        <f t="shared" si="358"/>
        <v>77.948193450475245</v>
      </c>
      <c r="BL411">
        <f t="shared" si="406"/>
        <v>-18.907669517715341</v>
      </c>
      <c r="BM411" s="43">
        <f t="shared" si="407"/>
        <v>3.5935271166377798</v>
      </c>
    </row>
    <row r="412" spans="14:65" x14ac:dyDescent="0.25">
      <c r="N412" s="9">
        <v>94</v>
      </c>
      <c r="O412" s="34">
        <f t="shared" si="359"/>
        <v>87096.358995608127</v>
      </c>
      <c r="P412" s="33" t="str">
        <f t="shared" si="360"/>
        <v>19.1021967526266</v>
      </c>
      <c r="Q412" s="4" t="str">
        <f t="shared" si="361"/>
        <v>1+122.82903757427i</v>
      </c>
      <c r="R412" s="4">
        <f t="shared" si="373"/>
        <v>122.83310820548925</v>
      </c>
      <c r="S412" s="4">
        <f t="shared" si="374"/>
        <v>1.5626551093229524</v>
      </c>
      <c r="T412" s="4" t="str">
        <f t="shared" si="362"/>
        <v>1+2.05763203744416i</v>
      </c>
      <c r="U412" s="4">
        <f t="shared" si="375"/>
        <v>2.2877608269914509</v>
      </c>
      <c r="V412" s="4">
        <f t="shared" si="376"/>
        <v>1.1184149199334092</v>
      </c>
      <c r="W412" t="str">
        <f t="shared" si="363"/>
        <v>1-1.14008867322926i</v>
      </c>
      <c r="X412" s="4">
        <f t="shared" si="377"/>
        <v>1.5165098690168999</v>
      </c>
      <c r="Y412" s="4">
        <f t="shared" si="378"/>
        <v>-0.85076419160986994</v>
      </c>
      <c r="Z412" t="str">
        <f t="shared" si="364"/>
        <v>0.992414224249708+0.848225972882568i</v>
      </c>
      <c r="AA412" s="4">
        <f t="shared" si="379"/>
        <v>1.3055164853672774</v>
      </c>
      <c r="AB412" s="4">
        <f t="shared" si="380"/>
        <v>0.70722188815311093</v>
      </c>
      <c r="AC412" s="47" t="str">
        <f t="shared" si="381"/>
        <v>-0.172820156994505-0.375408017010908i</v>
      </c>
      <c r="AD412" s="20">
        <f t="shared" si="382"/>
        <v>-7.6751725494571286</v>
      </c>
      <c r="AE412" s="43">
        <f t="shared" si="383"/>
        <v>-114.71911485266448</v>
      </c>
      <c r="AF412" t="str">
        <f t="shared" si="365"/>
        <v>69.5520360182888</v>
      </c>
      <c r="AG412" t="str">
        <f t="shared" si="366"/>
        <v>1+97.9824779735317i</v>
      </c>
      <c r="AH412">
        <f t="shared" si="384"/>
        <v>97.987580793861952</v>
      </c>
      <c r="AI412">
        <f t="shared" si="385"/>
        <v>1.5605907747137926</v>
      </c>
      <c r="AJ412" t="str">
        <f t="shared" si="367"/>
        <v>1+2.05763203744416i</v>
      </c>
      <c r="AK412">
        <f t="shared" si="386"/>
        <v>2.2877608269914509</v>
      </c>
      <c r="AL412">
        <f t="shared" si="387"/>
        <v>1.1184149199334092</v>
      </c>
      <c r="AM412" t="str">
        <f t="shared" si="368"/>
        <v>1-0.249780913553521i</v>
      </c>
      <c r="AN412">
        <f t="shared" si="388"/>
        <v>1.0307232920506024</v>
      </c>
      <c r="AO412">
        <f t="shared" si="389"/>
        <v>-0.24477245349128043</v>
      </c>
      <c r="AP412" s="41" t="str">
        <f t="shared" si="390"/>
        <v>1.29412106319233-1.06146208478035i</v>
      </c>
      <c r="AQ412">
        <f t="shared" si="391"/>
        <v>4.4738304361689583</v>
      </c>
      <c r="AR412" s="43">
        <f t="shared" si="392"/>
        <v>-39.359238807618063</v>
      </c>
      <c r="AS412" t="str">
        <f t="shared" si="369"/>
        <v>-0.0000166666666666667</v>
      </c>
      <c r="AT412" t="str">
        <f t="shared" si="370"/>
        <v>0.00186062471471015i</v>
      </c>
      <c r="AU412">
        <f t="shared" si="393"/>
        <v>1.86062471471015E-3</v>
      </c>
      <c r="AV412">
        <f t="shared" si="394"/>
        <v>1.5707963267948966</v>
      </c>
      <c r="AW412" t="str">
        <f t="shared" si="371"/>
        <v>1+1.89088400937845i</v>
      </c>
      <c r="AX412">
        <f t="shared" si="395"/>
        <v>2.1390283628140891</v>
      </c>
      <c r="AY412">
        <f t="shared" si="396"/>
        <v>1.0843335045346563</v>
      </c>
      <c r="AZ412" t="str">
        <f t="shared" si="372"/>
        <v>1+64.2900563188671i</v>
      </c>
      <c r="BA412">
        <f t="shared" si="397"/>
        <v>64.297833100992634</v>
      </c>
      <c r="BB412">
        <f t="shared" si="398"/>
        <v>1.5552430760837093</v>
      </c>
      <c r="BC412" s="41" t="str">
        <f t="shared" si="399"/>
        <v>-0.122161879774466+0.23995150993733i</v>
      </c>
      <c r="BD412">
        <f t="shared" si="400"/>
        <v>-11.396604839364137</v>
      </c>
      <c r="BE412" s="43">
        <f t="shared" si="401"/>
        <v>116.98113098207475</v>
      </c>
      <c r="BF412" s="41" t="str">
        <f t="shared" si="402"/>
        <v>0.111191755765713+0.00439209142201933i</v>
      </c>
      <c r="BG412" s="20">
        <f t="shared" si="403"/>
        <v>-19.071777388821289</v>
      </c>
      <c r="BH412" s="43">
        <f t="shared" si="404"/>
        <v>2.2620161294102825</v>
      </c>
      <c r="BI412" s="41" t="str">
        <f t="shared" si="357"/>
        <v>0.0966071682489656+0.440196506740794i</v>
      </c>
      <c r="BJ412" s="20">
        <f t="shared" si="405"/>
        <v>-6.9227744031951719</v>
      </c>
      <c r="BK412" s="43">
        <f t="shared" si="358"/>
        <v>77.621892174456704</v>
      </c>
      <c r="BL412">
        <f t="shared" si="406"/>
        <v>-19.071777388821289</v>
      </c>
      <c r="BM412" s="43">
        <f t="shared" si="407"/>
        <v>2.2620161294102825</v>
      </c>
    </row>
    <row r="413" spans="14:65" x14ac:dyDescent="0.25">
      <c r="N413" s="9">
        <v>95</v>
      </c>
      <c r="O413" s="34">
        <f t="shared" si="359"/>
        <v>89125.093813374609</v>
      </c>
      <c r="P413" s="33" t="str">
        <f t="shared" si="360"/>
        <v>19.1021967526266</v>
      </c>
      <c r="Q413" s="4" t="str">
        <f t="shared" si="361"/>
        <v>1+125.69009339834i</v>
      </c>
      <c r="R413" s="4">
        <f t="shared" si="373"/>
        <v>125.69407137364688</v>
      </c>
      <c r="S413" s="4">
        <f t="shared" si="374"/>
        <v>1.562840418146517</v>
      </c>
      <c r="T413" s="4" t="str">
        <f t="shared" si="362"/>
        <v>1+2.10556044460898i</v>
      </c>
      <c r="U413" s="4">
        <f t="shared" si="375"/>
        <v>2.3309622017317153</v>
      </c>
      <c r="V413" s="4">
        <f t="shared" si="376"/>
        <v>1.127402711507314</v>
      </c>
      <c r="W413" t="str">
        <f t="shared" si="363"/>
        <v>1-1.16664474989416i</v>
      </c>
      <c r="X413" s="4">
        <f t="shared" si="377"/>
        <v>1.5365741024941189</v>
      </c>
      <c r="Y413" s="4">
        <f t="shared" si="378"/>
        <v>-0.86216077216893461</v>
      </c>
      <c r="Z413" t="str">
        <f t="shared" si="364"/>
        <v>0.992056717652757+0.867983693921256i</v>
      </c>
      <c r="AA413" s="4">
        <f t="shared" si="379"/>
        <v>1.3181700284686912</v>
      </c>
      <c r="AB413" s="4">
        <f t="shared" si="380"/>
        <v>0.71879235621487658</v>
      </c>
      <c r="AC413" s="47" t="str">
        <f t="shared" si="381"/>
        <v>-0.177974371942632-0.372617340849797i</v>
      </c>
      <c r="AD413" s="20">
        <f t="shared" si="382"/>
        <v>-7.6822834413675132</v>
      </c>
      <c r="AE413" s="43">
        <f t="shared" si="383"/>
        <v>-115.5306846956785</v>
      </c>
      <c r="AF413" t="str">
        <f t="shared" si="365"/>
        <v>69.5520360182888</v>
      </c>
      <c r="AG413" t="str">
        <f t="shared" si="366"/>
        <v>1+100.264783076618i</v>
      </c>
      <c r="AH413">
        <f t="shared" si="384"/>
        <v>100.2697697484205</v>
      </c>
      <c r="AI413">
        <f t="shared" si="385"/>
        <v>1.5608230658573572</v>
      </c>
      <c r="AJ413" t="str">
        <f t="shared" si="367"/>
        <v>1+2.10556044460898i</v>
      </c>
      <c r="AK413">
        <f t="shared" si="386"/>
        <v>2.3309622017317153</v>
      </c>
      <c r="AL413">
        <f t="shared" si="387"/>
        <v>1.127402711507314</v>
      </c>
      <c r="AM413" t="str">
        <f t="shared" si="368"/>
        <v>1-0.255599058444803i</v>
      </c>
      <c r="AN413">
        <f t="shared" si="388"/>
        <v>1.0321486708211516</v>
      </c>
      <c r="AO413">
        <f t="shared" si="389"/>
        <v>-0.25024138330034668</v>
      </c>
      <c r="AP413" s="41" t="str">
        <f t="shared" si="390"/>
        <v>1.29380110219435-1.05410589287163i</v>
      </c>
      <c r="AQ413">
        <f t="shared" si="391"/>
        <v>4.4483463777649996</v>
      </c>
      <c r="AR413" s="43">
        <f t="shared" si="392"/>
        <v>-39.170932181947428</v>
      </c>
      <c r="AS413" t="str">
        <f t="shared" si="369"/>
        <v>-0.0000166666666666667</v>
      </c>
      <c r="AT413" t="str">
        <f t="shared" si="370"/>
        <v>0.00190396423182727i</v>
      </c>
      <c r="AU413">
        <f t="shared" si="393"/>
        <v>1.90396423182727E-3</v>
      </c>
      <c r="AV413">
        <f t="shared" si="394"/>
        <v>1.5707963267948966</v>
      </c>
      <c r="AW413" t="str">
        <f t="shared" si="371"/>
        <v>1+1.9349283560127i</v>
      </c>
      <c r="AX413">
        <f t="shared" si="395"/>
        <v>2.1780605461974676</v>
      </c>
      <c r="AY413">
        <f t="shared" si="396"/>
        <v>1.093787385935731</v>
      </c>
      <c r="AZ413" t="str">
        <f t="shared" si="372"/>
        <v>1+65.7875641044318i</v>
      </c>
      <c r="BA413">
        <f t="shared" si="397"/>
        <v>65.795163886069346</v>
      </c>
      <c r="BB413">
        <f t="shared" si="398"/>
        <v>1.5555970561351129</v>
      </c>
      <c r="BC413" s="41" t="str">
        <f t="shared" si="399"/>
        <v>-0.117822679964067+0.236732110289104i</v>
      </c>
      <c r="BD413">
        <f t="shared" si="400"/>
        <v>-11.553720219175807</v>
      </c>
      <c r="BE413" s="43">
        <f t="shared" si="401"/>
        <v>116.45974504075289</v>
      </c>
      <c r="BF413" s="41" t="str">
        <f t="shared" si="402"/>
        <v>0.109179906896889+0.00177052505265013i</v>
      </c>
      <c r="BG413" s="20">
        <f t="shared" si="403"/>
        <v>-19.23600366054335</v>
      </c>
      <c r="BH413" s="43">
        <f t="shared" si="404"/>
        <v>0.92906034507443258</v>
      </c>
      <c r="BI413" s="41" t="str">
        <f t="shared" si="357"/>
        <v>0.0971015992866791+0.430481846480888i</v>
      </c>
      <c r="BJ413" s="20">
        <f t="shared" si="405"/>
        <v>-7.1053738414108158</v>
      </c>
      <c r="BK413" s="43">
        <f t="shared" si="358"/>
        <v>77.288812858805485</v>
      </c>
      <c r="BL413">
        <f t="shared" si="406"/>
        <v>-19.23600366054335</v>
      </c>
      <c r="BM413" s="43">
        <f t="shared" si="407"/>
        <v>0.92906034507443258</v>
      </c>
    </row>
    <row r="414" spans="14:65" x14ac:dyDescent="0.25">
      <c r="N414" s="9">
        <v>96</v>
      </c>
      <c r="O414" s="34">
        <f t="shared" si="359"/>
        <v>91201.083935591028</v>
      </c>
      <c r="P414" s="33" t="str">
        <f t="shared" si="360"/>
        <v>19.1021967526266</v>
      </c>
      <c r="Q414" s="4" t="str">
        <f t="shared" si="361"/>
        <v>1+128.617791773634i</v>
      </c>
      <c r="R414" s="4">
        <f t="shared" si="373"/>
        <v>128.62167920193653</v>
      </c>
      <c r="S414" s="4">
        <f t="shared" si="374"/>
        <v>1.5630215093542685</v>
      </c>
      <c r="T414" s="4" t="str">
        <f t="shared" si="362"/>
        <v>1+2.15460524779192i</v>
      </c>
      <c r="U414" s="4">
        <f t="shared" si="375"/>
        <v>2.3753576096690114</v>
      </c>
      <c r="V414" s="4">
        <f t="shared" si="376"/>
        <v>1.1362606863483775</v>
      </c>
      <c r="W414" t="str">
        <f t="shared" si="363"/>
        <v>1-1.19381939704783i</v>
      </c>
      <c r="X414" s="4">
        <f t="shared" si="377"/>
        <v>1.5573068910037109</v>
      </c>
      <c r="Y414" s="4">
        <f t="shared" si="378"/>
        <v>-0.87351729908003528</v>
      </c>
      <c r="Z414" t="str">
        <f t="shared" si="364"/>
        <v>0.991682362288973+0.888201631403585i</v>
      </c>
      <c r="AA414" s="4">
        <f t="shared" si="379"/>
        <v>1.3312911198167843</v>
      </c>
      <c r="AB414" s="4">
        <f t="shared" si="380"/>
        <v>0.73040732253868135</v>
      </c>
      <c r="AC414" s="47" t="str">
        <f t="shared" si="381"/>
        <v>-0.183161549987637-0.369791241607884i</v>
      </c>
      <c r="AD414" s="20">
        <f t="shared" si="382"/>
        <v>-7.6880137822337868</v>
      </c>
      <c r="AE414" s="43">
        <f t="shared" si="383"/>
        <v>-116.34970549563705</v>
      </c>
      <c r="AF414" t="str">
        <f t="shared" si="365"/>
        <v>69.5520360182888</v>
      </c>
      <c r="AG414" t="str">
        <f t="shared" si="366"/>
        <v>1+102.600249894854i</v>
      </c>
      <c r="AH414">
        <f t="shared" si="384"/>
        <v>102.60512306160199</v>
      </c>
      <c r="AI414">
        <f t="shared" si="385"/>
        <v>1.5610500704489974</v>
      </c>
      <c r="AJ414" t="str">
        <f t="shared" si="367"/>
        <v>1+2.15460524779192i</v>
      </c>
      <c r="AK414">
        <f t="shared" si="386"/>
        <v>2.3753576096690114</v>
      </c>
      <c r="AL414">
        <f t="shared" si="387"/>
        <v>1.1362606863483775</v>
      </c>
      <c r="AM414" t="str">
        <f t="shared" si="368"/>
        <v>1-0.261552725340125i</v>
      </c>
      <c r="AN414">
        <f t="shared" si="388"/>
        <v>1.0336391189060363</v>
      </c>
      <c r="AO414">
        <f t="shared" si="389"/>
        <v>-0.25582191515848229</v>
      </c>
      <c r="AP414" s="41" t="str">
        <f t="shared" si="390"/>
        <v>1.29349553901326-1.04730831455943i</v>
      </c>
      <c r="AQ414">
        <f t="shared" si="391"/>
        <v>4.4247748237921938</v>
      </c>
      <c r="AR414" s="43">
        <f t="shared" si="392"/>
        <v>-38.996154936461899</v>
      </c>
      <c r="AS414" t="str">
        <f t="shared" si="369"/>
        <v>-0.0000166666666666667</v>
      </c>
      <c r="AT414" t="str">
        <f t="shared" si="370"/>
        <v>0.00194831325598206i</v>
      </c>
      <c r="AU414">
        <f t="shared" si="393"/>
        <v>1.9483132559820599E-3</v>
      </c>
      <c r="AV414">
        <f t="shared" si="394"/>
        <v>1.5707963267948966</v>
      </c>
      <c r="AW414" t="str">
        <f t="shared" si="371"/>
        <v>1+1.97999862727311i</v>
      </c>
      <c r="AX414">
        <f t="shared" si="395"/>
        <v>2.218196241093966</v>
      </c>
      <c r="AY414">
        <f t="shared" si="396"/>
        <v>1.1031162025959944</v>
      </c>
      <c r="AZ414" t="str">
        <f t="shared" si="372"/>
        <v>1+67.3199533272859i</v>
      </c>
      <c r="BA414">
        <f t="shared" si="397"/>
        <v>67.327380136078006</v>
      </c>
      <c r="BB414">
        <f t="shared" si="398"/>
        <v>1.5559429822977191</v>
      </c>
      <c r="BC414" s="41" t="str">
        <f t="shared" si="399"/>
        <v>-0.113597523411502+0.233477348500157i</v>
      </c>
      <c r="BD414">
        <f t="shared" si="400"/>
        <v>-11.712365708012271</v>
      </c>
      <c r="BE414" s="43">
        <f t="shared" si="401"/>
        <v>115.94506332740916</v>
      </c>
      <c r="BF414" s="41" t="str">
        <f t="shared" si="402"/>
        <v>0.107144577051997-0.000756703812372451i</v>
      </c>
      <c r="BG414" s="20">
        <f t="shared" si="403"/>
        <v>-19.400379490246081</v>
      </c>
      <c r="BH414" s="43">
        <f t="shared" si="404"/>
        <v>-0.40464216822787114</v>
      </c>
      <c r="BI414" s="41" t="str">
        <f t="shared" si="357"/>
        <v>0.0975848785697719+0.420973539527823i</v>
      </c>
      <c r="BJ414" s="20">
        <f t="shared" si="405"/>
        <v>-7.2875908842200721</v>
      </c>
      <c r="BK414" s="43">
        <f t="shared" si="358"/>
        <v>76.948908390947267</v>
      </c>
      <c r="BL414">
        <f t="shared" si="406"/>
        <v>-19.400379490246081</v>
      </c>
      <c r="BM414" s="43">
        <f t="shared" si="407"/>
        <v>-0.40464216822787114</v>
      </c>
    </row>
    <row r="415" spans="14:65" x14ac:dyDescent="0.25">
      <c r="N415" s="9">
        <v>97</v>
      </c>
      <c r="O415" s="34">
        <f t="shared" si="359"/>
        <v>93325.430079699145</v>
      </c>
      <c r="P415" s="33" t="str">
        <f t="shared" si="360"/>
        <v>19.1021967526266</v>
      </c>
      <c r="Q415" s="4" t="str">
        <f t="shared" si="361"/>
        <v>1+131.613685004585i</v>
      </c>
      <c r="R415" s="4">
        <f t="shared" si="373"/>
        <v>131.61748394679987</v>
      </c>
      <c r="S415" s="4">
        <f t="shared" si="374"/>
        <v>1.5631984789156255</v>
      </c>
      <c r="T415" s="4" t="str">
        <f t="shared" si="362"/>
        <v>1+2.20479245119681i</v>
      </c>
      <c r="U415" s="4">
        <f t="shared" si="375"/>
        <v>2.4209728938702391</v>
      </c>
      <c r="V415" s="4">
        <f t="shared" si="376"/>
        <v>1.1449879798230482</v>
      </c>
      <c r="W415" t="str">
        <f t="shared" si="363"/>
        <v>1-1.22162702304788i</v>
      </c>
      <c r="X415" s="4">
        <f t="shared" si="377"/>
        <v>1.5787249866397965</v>
      </c>
      <c r="Y415" s="4">
        <f t="shared" si="378"/>
        <v>-0.88482807727568324</v>
      </c>
      <c r="Z415" t="str">
        <f t="shared" si="364"/>
        <v>0.991290364100439+0.908890505147622i</v>
      </c>
      <c r="AA415" s="4">
        <f t="shared" si="379"/>
        <v>1.3448935037042451</v>
      </c>
      <c r="AB415" s="4">
        <f t="shared" si="380"/>
        <v>0.7420610954755481</v>
      </c>
      <c r="AC415" s="47" t="str">
        <f t="shared" si="381"/>
        <v>-0.188376679810542-0.366925963067661i</v>
      </c>
      <c r="AD415" s="20">
        <f t="shared" si="382"/>
        <v>-7.692435132404718</v>
      </c>
      <c r="AE415" s="43">
        <f t="shared" si="383"/>
        <v>-117.17557988024002</v>
      </c>
      <c r="AF415" t="str">
        <f t="shared" si="365"/>
        <v>69.5520360182888</v>
      </c>
      <c r="AG415" t="str">
        <f t="shared" si="366"/>
        <v>1+104.990116723658i</v>
      </c>
      <c r="AH415">
        <f t="shared" si="384"/>
        <v>104.99487896867797</v>
      </c>
      <c r="AI415">
        <f t="shared" si="385"/>
        <v>1.5612719087559161</v>
      </c>
      <c r="AJ415" t="str">
        <f t="shared" si="367"/>
        <v>1+2.20479245119681i</v>
      </c>
      <c r="AK415">
        <f t="shared" si="386"/>
        <v>2.4209728938702391</v>
      </c>
      <c r="AL415">
        <f t="shared" si="387"/>
        <v>1.1449879798230482</v>
      </c>
      <c r="AM415" t="str">
        <f t="shared" si="368"/>
        <v>1-0.267645070952483i</v>
      </c>
      <c r="AN415">
        <f t="shared" si="388"/>
        <v>1.0351975096594657</v>
      </c>
      <c r="AO415">
        <f t="shared" si="389"/>
        <v>-0.26151561702908022</v>
      </c>
      <c r="AP415" s="41" t="str">
        <f t="shared" si="390"/>
        <v>1.29320372588692-1.04106576485026i</v>
      </c>
      <c r="AQ415">
        <f t="shared" si="391"/>
        <v>4.4030975198163098</v>
      </c>
      <c r="AR415" s="43">
        <f t="shared" si="392"/>
        <v>-38.83505333950324</v>
      </c>
      <c r="AS415" t="str">
        <f t="shared" si="369"/>
        <v>-0.0000166666666666667</v>
      </c>
      <c r="AT415" t="str">
        <f t="shared" si="370"/>
        <v>0.00199369530161414i</v>
      </c>
      <c r="AU415">
        <f t="shared" si="393"/>
        <v>1.9936953016141401E-3</v>
      </c>
      <c r="AV415">
        <f t="shared" si="394"/>
        <v>1.5707963267948966</v>
      </c>
      <c r="AW415" t="str">
        <f t="shared" si="371"/>
        <v>1+2.02611872001409i</v>
      </c>
      <c r="AX415">
        <f t="shared" si="395"/>
        <v>2.2594594635867082</v>
      </c>
      <c r="AY415">
        <f t="shared" si="396"/>
        <v>1.1123184050155739</v>
      </c>
      <c r="AZ415" t="str">
        <f t="shared" si="372"/>
        <v>1+68.8880364804791i</v>
      </c>
      <c r="BA415">
        <f t="shared" si="397"/>
        <v>68.895294252480113</v>
      </c>
      <c r="BB415">
        <f t="shared" si="398"/>
        <v>1.5562810376548066</v>
      </c>
      <c r="BC415" s="41" t="str">
        <f t="shared" si="399"/>
        <v>-0.109486276186581+0.230191879748959i</v>
      </c>
      <c r="BD415">
        <f t="shared" si="400"/>
        <v>-11.872500611915296</v>
      </c>
      <c r="BE415" s="43">
        <f t="shared" si="401"/>
        <v>115.43718511174504</v>
      </c>
      <c r="BF415" s="41" t="str">
        <f t="shared" si="402"/>
        <v>0.10508803836009-0.00318942469400329i</v>
      </c>
      <c r="BG415" s="20">
        <f t="shared" si="403"/>
        <v>-19.564935744320024</v>
      </c>
      <c r="BH415" s="43">
        <f t="shared" si="404"/>
        <v>-1.7383947684950221</v>
      </c>
      <c r="BI415" s="41" t="str">
        <f t="shared" si="357"/>
        <v>0.0980568250551981+0.411667410419057i</v>
      </c>
      <c r="BJ415" s="20">
        <f t="shared" si="405"/>
        <v>-7.4694030920989931</v>
      </c>
      <c r="BK415" s="43">
        <f t="shared" si="358"/>
        <v>76.602131772241776</v>
      </c>
      <c r="BL415">
        <f t="shared" si="406"/>
        <v>-19.564935744320024</v>
      </c>
      <c r="BM415" s="43">
        <f t="shared" si="407"/>
        <v>-1.7383947684950221</v>
      </c>
    </row>
    <row r="416" spans="14:65" x14ac:dyDescent="0.25">
      <c r="N416" s="9">
        <v>98</v>
      </c>
      <c r="O416" s="34">
        <f t="shared" si="359"/>
        <v>95499.258602143804</v>
      </c>
      <c r="P416" s="33" t="str">
        <f t="shared" si="360"/>
        <v>19.1021967526266</v>
      </c>
      <c r="Q416" s="4" t="str">
        <f t="shared" si="361"/>
        <v>1+134.679361553439i</v>
      </c>
      <c r="R416" s="4">
        <f t="shared" si="373"/>
        <v>134.68307402358303</v>
      </c>
      <c r="S416" s="4">
        <f t="shared" si="374"/>
        <v>1.5633714206178273</v>
      </c>
      <c r="T416" s="4" t="str">
        <f t="shared" si="362"/>
        <v>1+2.2561486647432i</v>
      </c>
      <c r="U416" s="4">
        <f t="shared" si="375"/>
        <v>2.4678344347671555</v>
      </c>
      <c r="V416" s="4">
        <f t="shared" si="376"/>
        <v>1.1535839004690089</v>
      </c>
      <c r="W416" t="str">
        <f t="shared" si="363"/>
        <v>1-1.2500823718657i</v>
      </c>
      <c r="X416" s="4">
        <f t="shared" si="377"/>
        <v>1.6008453818059303</v>
      </c>
      <c r="Y416" s="4">
        <f t="shared" si="378"/>
        <v>-0.89608752839807093</v>
      </c>
      <c r="Z416" t="str">
        <f t="shared" si="364"/>
        <v>0.990879891606441+0.930061284668077i</v>
      </c>
      <c r="AA416" s="4">
        <f t="shared" si="379"/>
        <v>1.3589911525938738</v>
      </c>
      <c r="AB416" s="4">
        <f t="shared" si="380"/>
        <v>0.75374789830669964</v>
      </c>
      <c r="AC416" s="47" t="str">
        <f t="shared" si="381"/>
        <v>-0.193614618780553-0.36401807718772i</v>
      </c>
      <c r="AD416" s="20">
        <f t="shared" si="382"/>
        <v>-7.695618566033434</v>
      </c>
      <c r="AE416" s="43">
        <f t="shared" si="383"/>
        <v>-118.00770224300808</v>
      </c>
      <c r="AF416" t="str">
        <f t="shared" si="365"/>
        <v>69.5520360182888</v>
      </c>
      <c r="AG416" t="str">
        <f t="shared" si="366"/>
        <v>1+107.435650702058i</v>
      </c>
      <c r="AH416">
        <f t="shared" si="384"/>
        <v>107.44030454989698</v>
      </c>
      <c r="AI416">
        <f t="shared" si="385"/>
        <v>1.5614886983123331</v>
      </c>
      <c r="AJ416" t="str">
        <f t="shared" si="367"/>
        <v>1+2.2561486647432i</v>
      </c>
      <c r="AK416">
        <f t="shared" si="386"/>
        <v>2.4678344347671555</v>
      </c>
      <c r="AL416">
        <f t="shared" si="387"/>
        <v>1.1535839004690089</v>
      </c>
      <c r="AM416" t="str">
        <f t="shared" si="368"/>
        <v>1-0.273879325524162i</v>
      </c>
      <c r="AN416">
        <f t="shared" si="388"/>
        <v>1.0368268346014053</v>
      </c>
      <c r="AO416">
        <f t="shared" si="389"/>
        <v>-0.26732403054104137</v>
      </c>
      <c r="AP416" s="41" t="str">
        <f t="shared" si="390"/>
        <v>1.2929250441856-1.03537495175479i</v>
      </c>
      <c r="AQ416">
        <f t="shared" si="391"/>
        <v>4.3832973144999885</v>
      </c>
      <c r="AR416" s="43">
        <f t="shared" si="392"/>
        <v>-38.687762071987464</v>
      </c>
      <c r="AS416" t="str">
        <f t="shared" si="369"/>
        <v>-0.0000166666666666667</v>
      </c>
      <c r="AT416" t="str">
        <f t="shared" si="370"/>
        <v>0.00204013443088481i</v>
      </c>
      <c r="AU416">
        <f t="shared" si="393"/>
        <v>2.0401344308848099E-3</v>
      </c>
      <c r="AV416">
        <f t="shared" si="394"/>
        <v>1.5707963267948966</v>
      </c>
      <c r="AW416" t="str">
        <f t="shared" si="371"/>
        <v>1+2.07331308771927i</v>
      </c>
      <c r="AX416">
        <f t="shared" si="395"/>
        <v>2.30187470547552</v>
      </c>
      <c r="AY416">
        <f t="shared" si="396"/>
        <v>1.1213926374042544</v>
      </c>
      <c r="AZ416" t="str">
        <f t="shared" si="372"/>
        <v>1+70.4926449824553i</v>
      </c>
      <c r="BA416">
        <f t="shared" si="397"/>
        <v>70.49973756420998</v>
      </c>
      <c r="BB416">
        <f t="shared" si="398"/>
        <v>1.5566114011385552</v>
      </c>
      <c r="BC416" s="41" t="str">
        <f t="shared" si="399"/>
        <v>-0.10548857653706+0.226880242636954i</v>
      </c>
      <c r="BD416">
        <f t="shared" si="400"/>
        <v>-12.034084321701673</v>
      </c>
      <c r="BE416" s="43">
        <f t="shared" si="401"/>
        <v>114.93619832687673</v>
      </c>
      <c r="BF416" s="41" t="str">
        <f t="shared" si="402"/>
        <v>0.103012640208513-0.005527582890703i</v>
      </c>
      <c r="BG416" s="20">
        <f t="shared" si="403"/>
        <v>-19.729702887735144</v>
      </c>
      <c r="BH416" s="43">
        <f t="shared" si="404"/>
        <v>-3.0715039161313533</v>
      </c>
      <c r="BI416" s="41" t="str">
        <f t="shared" si="357"/>
        <v>0.098517297794097+0.402559377578963i</v>
      </c>
      <c r="BJ416" s="20">
        <f t="shared" si="405"/>
        <v>-7.6507870072016928</v>
      </c>
      <c r="BK416" s="43">
        <f t="shared" si="358"/>
        <v>76.248436254889256</v>
      </c>
      <c r="BL416">
        <f t="shared" si="406"/>
        <v>-19.729702887735144</v>
      </c>
      <c r="BM416" s="43">
        <f t="shared" si="407"/>
        <v>-3.0715039161313533</v>
      </c>
    </row>
    <row r="417" spans="14:65" x14ac:dyDescent="0.25">
      <c r="N417" s="9">
        <v>99</v>
      </c>
      <c r="O417" s="34">
        <f t="shared" si="359"/>
        <v>97723.722095581266</v>
      </c>
      <c r="P417" s="33" t="str">
        <f t="shared" si="360"/>
        <v>19.1021967526266</v>
      </c>
      <c r="Q417" s="4" t="str">
        <f t="shared" si="361"/>
        <v>1+137.81644688248i</v>
      </c>
      <c r="R417" s="4">
        <f t="shared" si="373"/>
        <v>137.82007484873685</v>
      </c>
      <c r="S417" s="4">
        <f t="shared" si="374"/>
        <v>1.56354042611545</v>
      </c>
      <c r="T417" s="4" t="str">
        <f t="shared" si="362"/>
        <v>1+2.3087011181753i</v>
      </c>
      <c r="U417" s="4">
        <f t="shared" si="375"/>
        <v>2.5159691677490565</v>
      </c>
      <c r="V417" s="4">
        <f t="shared" si="376"/>
        <v>1.1620479237057988</v>
      </c>
      <c r="W417" t="str">
        <f t="shared" si="363"/>
        <v>1-1.27920053090387i</v>
      </c>
      <c r="X417" s="4">
        <f t="shared" si="377"/>
        <v>1.6236853138046003</v>
      </c>
      <c r="Y417" s="4">
        <f t="shared" si="378"/>
        <v>-0.90729020367977242</v>
      </c>
      <c r="Z417" t="str">
        <f t="shared" si="364"/>
        <v>0.990450074139786+0.951725194992478i</v>
      </c>
      <c r="AA417" s="4">
        <f t="shared" si="379"/>
        <v>1.3735982659231112</v>
      </c>
      <c r="AB417" s="4">
        <f t="shared" si="380"/>
        <v>0.76546188413462646</v>
      </c>
      <c r="AC417" s="47" t="str">
        <f t="shared" si="381"/>
        <v>-0.198870114014654-0.361064493149558i</v>
      </c>
      <c r="AD417" s="20">
        <f t="shared" si="382"/>
        <v>-7.6976344826663032</v>
      </c>
      <c r="AE417" s="43">
        <f t="shared" si="383"/>
        <v>-118.84546069768092</v>
      </c>
      <c r="AF417" t="str">
        <f t="shared" si="365"/>
        <v>69.5520360182888</v>
      </c>
      <c r="AG417" t="str">
        <f t="shared" si="366"/>
        <v>1+109.938148484538i</v>
      </c>
      <c r="AH417">
        <f t="shared" si="384"/>
        <v>109.94269640230006</v>
      </c>
      <c r="AI417">
        <f t="shared" si="385"/>
        <v>1.5617005539813844</v>
      </c>
      <c r="AJ417" t="str">
        <f t="shared" si="367"/>
        <v>1+2.3087011181753i</v>
      </c>
      <c r="AK417">
        <f t="shared" si="386"/>
        <v>2.5159691677490565</v>
      </c>
      <c r="AL417">
        <f t="shared" si="387"/>
        <v>1.1620479237057988</v>
      </c>
      <c r="AM417" t="str">
        <f t="shared" si="368"/>
        <v>1-0.280258794539454i</v>
      </c>
      <c r="AN417">
        <f t="shared" si="388"/>
        <v>1.0385302075128617</v>
      </c>
      <c r="AO417">
        <f t="shared" si="389"/>
        <v>-0.27324866705750472</v>
      </c>
      <c r="AP417" s="41" t="str">
        <f t="shared" si="390"/>
        <v>1.29265890310275-1.03023287462786i</v>
      </c>
      <c r="AQ417">
        <f t="shared" si="391"/>
        <v>4.3653582334052423</v>
      </c>
      <c r="AR417" s="43">
        <f t="shared" si="392"/>
        <v>-38.554404366063608</v>
      </c>
      <c r="AS417" t="str">
        <f t="shared" si="369"/>
        <v>-0.0000166666666666667</v>
      </c>
      <c r="AT417" t="str">
        <f t="shared" si="370"/>
        <v>0.00208765526643511i</v>
      </c>
      <c r="AU417">
        <f t="shared" si="393"/>
        <v>2.08765526643511E-3</v>
      </c>
      <c r="AV417">
        <f t="shared" si="394"/>
        <v>1.5707963267948966</v>
      </c>
      <c r="AW417" t="str">
        <f t="shared" si="371"/>
        <v>1+2.1216067534671i</v>
      </c>
      <c r="AX417">
        <f t="shared" si="395"/>
        <v>2.3454669506000738</v>
      </c>
      <c r="AY417">
        <f t="shared" si="396"/>
        <v>1.1303377325669108</v>
      </c>
      <c r="AZ417" t="str">
        <f t="shared" si="372"/>
        <v>1+72.1346296178815i</v>
      </c>
      <c r="BA417">
        <f t="shared" si="397"/>
        <v>72.141560768456813</v>
      </c>
      <c r="BB417">
        <f t="shared" si="398"/>
        <v>1.5569342476234445</v>
      </c>
      <c r="BC417" s="41" t="str">
        <f t="shared" si="399"/>
        <v>-0.10160384836722+0.223546849009082i</v>
      </c>
      <c r="BD417">
        <f t="shared" si="400"/>
        <v>-12.197076392273035</v>
      </c>
      <c r="BE417" s="43">
        <f t="shared" si="401"/>
        <v>114.44217986772837</v>
      </c>
      <c r="BF417" s="41" t="str">
        <f t="shared" si="402"/>
        <v>0.100920798641762-0.00777124533729794i</v>
      </c>
      <c r="BG417" s="20">
        <f t="shared" si="403"/>
        <v>-19.894710874939307</v>
      </c>
      <c r="BH417" s="43">
        <f t="shared" si="404"/>
        <v>-4.4032808299525499</v>
      </c>
      <c r="BI417" s="41" t="str">
        <f t="shared" si="357"/>
        <v>0.098966193687238+0.39364544940877i</v>
      </c>
      <c r="BJ417" s="20">
        <f t="shared" si="405"/>
        <v>-7.8317181588677984</v>
      </c>
      <c r="BK417" s="43">
        <f t="shared" si="358"/>
        <v>75.887775501664763</v>
      </c>
      <c r="BL417">
        <f t="shared" si="406"/>
        <v>-19.894710874939307</v>
      </c>
      <c r="BM417" s="43">
        <f t="shared" si="407"/>
        <v>-4.4032808299525499</v>
      </c>
    </row>
    <row r="418" spans="14:65" x14ac:dyDescent="0.25">
      <c r="N418" s="9">
        <v>100</v>
      </c>
      <c r="O418" s="34">
        <f t="shared" si="359"/>
        <v>100000</v>
      </c>
      <c r="P418" s="33" t="str">
        <f t="shared" si="360"/>
        <v>19.1021967526266</v>
      </c>
      <c r="Q418" s="4" t="str">
        <f t="shared" si="361"/>
        <v>1+141.026604315874i</v>
      </c>
      <c r="R418" s="4">
        <f t="shared" si="373"/>
        <v>141.03014970163682</v>
      </c>
      <c r="S418" s="4">
        <f t="shared" si="374"/>
        <v>1.5637055849788049</v>
      </c>
      <c r="T418" s="4" t="str">
        <f t="shared" si="362"/>
        <v>1+2.36247767549952i</v>
      </c>
      <c r="U418" s="4">
        <f t="shared" si="375"/>
        <v>2.5654046010782814</v>
      </c>
      <c r="V418" s="4">
        <f t="shared" si="376"/>
        <v>1.1703796853422608</v>
      </c>
      <c r="W418" t="str">
        <f t="shared" si="363"/>
        <v>1-1.30899693899575i</v>
      </c>
      <c r="X418" s="4">
        <f t="shared" si="377"/>
        <v>1.6472622700408834</v>
      </c>
      <c r="Y418" s="4">
        <f t="shared" si="378"/>
        <v>-0.91843079604505085</v>
      </c>
      <c r="Z418" t="str">
        <f t="shared" si="364"/>
        <v>0.99+0.973893722612836i</v>
      </c>
      <c r="AA418" s="4">
        <f t="shared" si="379"/>
        <v>1.3887292691322839</v>
      </c>
      <c r="AB418" s="4">
        <f t="shared" si="380"/>
        <v>0.77719715123695865</v>
      </c>
      <c r="AC418" s="47" t="str">
        <f t="shared" si="381"/>
        <v>-0.204137824350055-0.358062464617796i</v>
      </c>
      <c r="AD418" s="20">
        <f t="shared" si="382"/>
        <v>-7.6985524259951639</v>
      </c>
      <c r="AE418" s="43">
        <f t="shared" si="383"/>
        <v>-119.6882390260506</v>
      </c>
      <c r="AF418" t="str">
        <f t="shared" si="365"/>
        <v>69.5520360182888</v>
      </c>
      <c r="AG418" t="str">
        <f t="shared" si="366"/>
        <v>1+112.498936928549i</v>
      </c>
      <c r="AH418">
        <f t="shared" si="384"/>
        <v>112.50338132720121</v>
      </c>
      <c r="AI418">
        <f t="shared" si="385"/>
        <v>1.5619075880156372</v>
      </c>
      <c r="AJ418" t="str">
        <f t="shared" si="367"/>
        <v>1+2.36247767549952i</v>
      </c>
      <c r="AK418">
        <f t="shared" si="386"/>
        <v>2.5654046010782814</v>
      </c>
      <c r="AL418">
        <f t="shared" si="387"/>
        <v>1.1703796853422608</v>
      </c>
      <c r="AM418" t="str">
        <f t="shared" si="368"/>
        <v>1-0.286786860477275i</v>
      </c>
      <c r="AN418">
        <f t="shared" si="388"/>
        <v>1.0403108686072697</v>
      </c>
      <c r="AO418">
        <f t="shared" si="389"/>
        <v>-0.27929100353518616</v>
      </c>
      <c r="AP418" s="41" t="str">
        <f t="shared" si="390"/>
        <v>1.29240473840441-1.02563682265705i</v>
      </c>
      <c r="AQ418">
        <f t="shared" si="391"/>
        <v>4.349265546814296</v>
      </c>
      <c r="AR418" s="43">
        <f t="shared" si="392"/>
        <v>-38.435092143332866</v>
      </c>
      <c r="AS418" t="str">
        <f t="shared" si="369"/>
        <v>-0.0000166666666666667</v>
      </c>
      <c r="AT418" t="str">
        <f t="shared" si="370"/>
        <v>0.00213628300444106i</v>
      </c>
      <c r="AU418">
        <f t="shared" si="393"/>
        <v>2.13628300444106E-3</v>
      </c>
      <c r="AV418">
        <f t="shared" si="394"/>
        <v>1.5707963267948966</v>
      </c>
      <c r="AW418" t="str">
        <f t="shared" si="371"/>
        <v>1+2.17102532319841i</v>
      </c>
      <c r="AX418">
        <f t="shared" si="395"/>
        <v>2.3902616915243318</v>
      </c>
      <c r="AY418">
        <f t="shared" si="396"/>
        <v>1.1391527063989209</v>
      </c>
      <c r="AZ418" t="str">
        <f t="shared" si="372"/>
        <v>1+73.8148609887458i</v>
      </c>
      <c r="BA418">
        <f t="shared" si="397"/>
        <v>73.821634381716763</v>
      </c>
      <c r="BB418">
        <f t="shared" si="398"/>
        <v>1.5572497480175973</v>
      </c>
      <c r="BC418" s="41" t="str">
        <f t="shared" si="399"/>
        <v>-0.0978313149641075+0.220195975085539i</v>
      </c>
      <c r="BD418">
        <f t="shared" si="400"/>
        <v>-12.36143661704601</v>
      </c>
      <c r="BE418" s="43">
        <f t="shared" si="401"/>
        <v>113.95519591165562</v>
      </c>
      <c r="BF418" s="41" t="str">
        <f t="shared" si="402"/>
        <v>0.0988149853281248-0.00992060553175265i</v>
      </c>
      <c r="BG418" s="20">
        <f t="shared" si="403"/>
        <v>-20.059989043041178</v>
      </c>
      <c r="BH418" s="43">
        <f t="shared" si="404"/>
        <v>-5.7330431143949721</v>
      </c>
      <c r="BI418" s="41" t="str">
        <f t="shared" si="357"/>
        <v>0.0994034452246564+0.384921720614278i</v>
      </c>
      <c r="BJ418" s="20">
        <f t="shared" si="405"/>
        <v>-8.012171070231723</v>
      </c>
      <c r="BK418" s="43">
        <f t="shared" si="358"/>
        <v>75.520103768322755</v>
      </c>
      <c r="BL418">
        <f t="shared" si="406"/>
        <v>-20.059989043041178</v>
      </c>
      <c r="BM418" s="43">
        <f t="shared" si="407"/>
        <v>-5.7330431143949721</v>
      </c>
    </row>
    <row r="419" spans="14:65" x14ac:dyDescent="0.25">
      <c r="N419" s="9">
        <v>1</v>
      </c>
      <c r="O419" s="34">
        <f>10^(5+(N419/100))</f>
        <v>102329.29922807543</v>
      </c>
      <c r="P419" s="33" t="str">
        <f t="shared" si="360"/>
        <v>19.1021967526266</v>
      </c>
      <c r="Q419" s="4" t="str">
        <f t="shared" si="361"/>
        <v>1+144.311535921585i</v>
      </c>
      <c r="R419" s="4">
        <f t="shared" si="373"/>
        <v>144.31500060647514</v>
      </c>
      <c r="S419" s="4">
        <f t="shared" si="374"/>
        <v>1.5638669847412461</v>
      </c>
      <c r="T419" s="4" t="str">
        <f t="shared" si="362"/>
        <v>1+2.41750684975839i</v>
      </c>
      <c r="U419" s="4">
        <f t="shared" si="375"/>
        <v>2.6161688341215164</v>
      </c>
      <c r="V419" s="4">
        <f t="shared" si="376"/>
        <v>1.1785789749267079</v>
      </c>
      <c r="W419" t="str">
        <f t="shared" si="363"/>
        <v>1-1.33948739459131i</v>
      </c>
      <c r="X419" s="4">
        <f t="shared" si="377"/>
        <v>1.6715939938480922</v>
      </c>
      <c r="Y419" s="4">
        <f t="shared" si="378"/>
        <v>-0.92950415137369979</v>
      </c>
      <c r="Z419" t="str">
        <f t="shared" si="364"/>
        <v>0.989528714519491+0.996578621575931i</v>
      </c>
      <c r="AA419" s="4">
        <f t="shared" si="379"/>
        <v>1.4043988129590466</v>
      </c>
      <c r="AB419" s="4">
        <f t="shared" si="380"/>
        <v>0.78894775878917611</v>
      </c>
      <c r="AC419" s="47" t="str">
        <f t="shared" si="381"/>
        <v>-0.209412343045252-0.355009595116861i</v>
      </c>
      <c r="AD419" s="20">
        <f t="shared" si="382"/>
        <v>-7.6984409107625034</v>
      </c>
      <c r="AE419" s="43">
        <f t="shared" si="383"/>
        <v>-120.53541860789538</v>
      </c>
      <c r="AF419" t="str">
        <f t="shared" si="365"/>
        <v>69.5520360182888</v>
      </c>
      <c r="AG419" t="str">
        <f t="shared" si="366"/>
        <v>1+115.119373798019i</v>
      </c>
      <c r="AH419">
        <f t="shared" si="384"/>
        <v>115.12371703366784</v>
      </c>
      <c r="AI419">
        <f t="shared" si="385"/>
        <v>1.5621099101162432</v>
      </c>
      <c r="AJ419" t="str">
        <f t="shared" si="367"/>
        <v>1+2.41750684975839i</v>
      </c>
      <c r="AK419">
        <f t="shared" si="386"/>
        <v>2.6161688341215164</v>
      </c>
      <c r="AL419">
        <f t="shared" si="387"/>
        <v>1.1785789749267079</v>
      </c>
      <c r="AM419" t="str">
        <f t="shared" si="368"/>
        <v>1-0.293466984604593i</v>
      </c>
      <c r="AN419">
        <f t="shared" si="388"/>
        <v>1.0421721887734832</v>
      </c>
      <c r="AO419">
        <f t="shared" si="389"/>
        <v>-0.28545247817194169</v>
      </c>
      <c r="AP419" s="41" t="str">
        <f t="shared" si="390"/>
        <v>1.29216201123496-1.02158437349977i</v>
      </c>
      <c r="AQ419">
        <f t="shared" si="391"/>
        <v>4.3350058314933886</v>
      </c>
      <c r="AR419" s="43">
        <f t="shared" si="392"/>
        <v>-38.32992614986847</v>
      </c>
      <c r="AS419" t="str">
        <f t="shared" si="369"/>
        <v>-0.0000166666666666667</v>
      </c>
      <c r="AT419" t="str">
        <f t="shared" si="370"/>
        <v>0.00218604342797301i</v>
      </c>
      <c r="AU419">
        <f t="shared" si="393"/>
        <v>2.1860434279730098E-3</v>
      </c>
      <c r="AV419">
        <f t="shared" si="394"/>
        <v>1.5707963267948966</v>
      </c>
      <c r="AW419" t="str">
        <f t="shared" si="371"/>
        <v>1+2.22159499929299i</v>
      </c>
      <c r="AX419">
        <f t="shared" si="395"/>
        <v>2.4362849465700074</v>
      </c>
      <c r="AY419">
        <f t="shared" si="396"/>
        <v>1.1478367520448642</v>
      </c>
      <c r="AZ419" t="str">
        <f t="shared" si="372"/>
        <v>1+75.5342299759616i</v>
      </c>
      <c r="BA419">
        <f t="shared" si="397"/>
        <v>75.540849201352344</v>
      </c>
      <c r="BB419">
        <f t="shared" si="398"/>
        <v>1.5575580693521143</v>
      </c>
      <c r="BC419" s="41" t="str">
        <f t="shared" si="399"/>
        <v>-0.094170012854417+0.216831753870559i</v>
      </c>
      <c r="BD419">
        <f t="shared" si="400"/>
        <v>-12.527125097436226</v>
      </c>
      <c r="BE419" s="43">
        <f t="shared" si="401"/>
        <v>113.47530225824575</v>
      </c>
      <c r="BF419" s="41" t="str">
        <f t="shared" si="402"/>
        <v>0.096697716186511-0.011975987489049i</v>
      </c>
      <c r="BG419" s="20">
        <f t="shared" si="403"/>
        <v>-20.225566008198726</v>
      </c>
      <c r="BH419" s="43">
        <f t="shared" si="404"/>
        <v>-7.0601163496496584</v>
      </c>
      <c r="BI419" s="41" t="str">
        <f t="shared" si="357"/>
        <v>0.0998290182247258+0.37638436876533i</v>
      </c>
      <c r="BJ419" s="20">
        <f t="shared" si="405"/>
        <v>-8.1921192659428446</v>
      </c>
      <c r="BK419" s="43">
        <f t="shared" si="358"/>
        <v>75.145376108377278</v>
      </c>
      <c r="BL419">
        <f t="shared" si="406"/>
        <v>-20.225566008198726</v>
      </c>
      <c r="BM419" s="43">
        <f t="shared" si="407"/>
        <v>-7.0601163496496584</v>
      </c>
    </row>
    <row r="420" spans="14:65" x14ac:dyDescent="0.25">
      <c r="N420" s="9">
        <v>2</v>
      </c>
      <c r="O420" s="34">
        <f t="shared" ref="O420:O483" si="408">10^(5+(N420/100))</f>
        <v>104712.85480508996</v>
      </c>
      <c r="P420" s="33" t="str">
        <f t="shared" si="360"/>
        <v>19.1021967526266</v>
      </c>
      <c r="Q420" s="4" t="str">
        <f t="shared" si="361"/>
        <v>1+147.67298341383i</v>
      </c>
      <c r="R420" s="4">
        <f t="shared" si="373"/>
        <v>147.67636923469274</v>
      </c>
      <c r="S420" s="4">
        <f t="shared" si="374"/>
        <v>1.5640247109454091</v>
      </c>
      <c r="T420" s="4" t="str">
        <f t="shared" si="362"/>
        <v>1+2.47381781814848i</v>
      </c>
      <c r="U420" s="4">
        <f t="shared" si="375"/>
        <v>2.6682905758910342</v>
      </c>
      <c r="V420" s="4">
        <f t="shared" si="376"/>
        <v>1.1866457289830461</v>
      </c>
      <c r="W420" t="str">
        <f t="shared" si="363"/>
        <v>1-1.37068806413369i</v>
      </c>
      <c r="X420" s="4">
        <f t="shared" si="377"/>
        <v>1.6966984909401444</v>
      </c>
      <c r="Y420" s="4">
        <f t="shared" si="378"/>
        <v>-0.94050527887839308</v>
      </c>
      <c r="Z420" t="str">
        <f t="shared" si="364"/>
        <v>0.989035218038568+1.01979191971546i</v>
      </c>
      <c r="AA420" s="4">
        <f t="shared" si="379"/>
        <v>1.420621773040784</v>
      </c>
      <c r="AB420" s="4">
        <f t="shared" si="380"/>
        <v>0.80070774285788082</v>
      </c>
      <c r="AC420" s="47" t="str">
        <f t="shared" si="381"/>
        <v>-0.214688221014351-0.351903841449058i</v>
      </c>
      <c r="AD420" s="20">
        <f t="shared" si="382"/>
        <v>-7.6973672587301998</v>
      </c>
      <c r="AE420" s="43">
        <f t="shared" si="383"/>
        <v>-121.38638032209627</v>
      </c>
      <c r="AF420" t="str">
        <f t="shared" si="365"/>
        <v>69.5520360182888</v>
      </c>
      <c r="AG420" t="str">
        <f t="shared" si="366"/>
        <v>1+117.800848483261i</v>
      </c>
      <c r="AH420">
        <f t="shared" si="384"/>
        <v>117.80509285839987</v>
      </c>
      <c r="AI420">
        <f t="shared" si="385"/>
        <v>1.5623076274907648</v>
      </c>
      <c r="AJ420" t="str">
        <f t="shared" si="367"/>
        <v>1+2.47381781814848i</v>
      </c>
      <c r="AK420">
        <f t="shared" si="386"/>
        <v>2.6682905758910342</v>
      </c>
      <c r="AL420">
        <f t="shared" si="387"/>
        <v>1.1866457289830461</v>
      </c>
      <c r="AM420" t="str">
        <f t="shared" si="368"/>
        <v>1-0.300302708811644i</v>
      </c>
      <c r="AN420">
        <f t="shared" si="388"/>
        <v>1.0441176738852815</v>
      </c>
      <c r="AO420">
        <f t="shared" si="389"/>
        <v>-0.29173448584114814</v>
      </c>
      <c r="AP420" s="41" t="str">
        <f t="shared" si="390"/>
        <v>1.29193020697627-1.01807339206829i</v>
      </c>
      <c r="AQ420">
        <f t="shared" si="391"/>
        <v>4.3225670263386844</v>
      </c>
      <c r="AR420" s="43">
        <f t="shared" si="392"/>
        <v>-38.23899608548107</v>
      </c>
      <c r="AS420" t="str">
        <f t="shared" si="369"/>
        <v>-0.0000166666666666667</v>
      </c>
      <c r="AT420" t="str">
        <f t="shared" si="370"/>
        <v>0.00223696292066618i</v>
      </c>
      <c r="AU420">
        <f t="shared" si="393"/>
        <v>2.2369629206661799E-3</v>
      </c>
      <c r="AV420">
        <f t="shared" si="394"/>
        <v>1.5707963267948966</v>
      </c>
      <c r="AW420" t="str">
        <f t="shared" si="371"/>
        <v>1+2.27334259446248i</v>
      </c>
      <c r="AX420">
        <f t="shared" si="395"/>
        <v>2.4835632771881211</v>
      </c>
      <c r="AY420">
        <f t="shared" si="396"/>
        <v>1.1563892337722124</v>
      </c>
      <c r="AZ420" t="str">
        <f t="shared" si="372"/>
        <v>1+77.2936482117244i</v>
      </c>
      <c r="BA420">
        <f t="shared" si="397"/>
        <v>77.300116777905359</v>
      </c>
      <c r="BB420">
        <f t="shared" si="398"/>
        <v>1.5578593748684364</v>
      </c>
      <c r="BC420" s="41" t="str">
        <f t="shared" si="399"/>
        <v>-0.0906188056838022+0.213458168794885i</v>
      </c>
      <c r="BD420">
        <f t="shared" si="400"/>
        <v>-12.694102307368913</v>
      </c>
      <c r="BE420" s="43">
        <f t="shared" si="401"/>
        <v>113.00254468533538</v>
      </c>
      <c r="BF420" s="41" t="str">
        <f t="shared" si="402"/>
        <v>0.0945715397703021-0.0139378486918992i</v>
      </c>
      <c r="BG420" s="20">
        <f t="shared" si="403"/>
        <v>-20.391469566099115</v>
      </c>
      <c r="BH420" s="43">
        <f t="shared" si="404"/>
        <v>-8.3838356367608959</v>
      </c>
      <c r="BI420" s="41" t="str">
        <f t="shared" si="357"/>
        <v>0.100242909586677+0.368029651079637i</v>
      </c>
      <c r="BJ420" s="20">
        <f t="shared" si="405"/>
        <v>-8.3715352810302335</v>
      </c>
      <c r="BK420" s="43">
        <f t="shared" si="358"/>
        <v>74.763548599854332</v>
      </c>
      <c r="BL420">
        <f t="shared" si="406"/>
        <v>-20.391469566099115</v>
      </c>
      <c r="BM420" s="43">
        <f t="shared" si="407"/>
        <v>-8.3838356367608959</v>
      </c>
    </row>
    <row r="421" spans="14:65" x14ac:dyDescent="0.25">
      <c r="N421" s="9">
        <v>3</v>
      </c>
      <c r="O421" s="34">
        <f t="shared" si="408"/>
        <v>107151.93052376082</v>
      </c>
      <c r="P421" s="33" t="str">
        <f t="shared" si="360"/>
        <v>19.1021967526266</v>
      </c>
      <c r="Q421" s="4" t="str">
        <f t="shared" si="361"/>
        <v>1+151.112729076565i</v>
      </c>
      <c r="R421" s="4">
        <f t="shared" si="373"/>
        <v>151.1160378284427</v>
      </c>
      <c r="S421" s="4">
        <f t="shared" si="374"/>
        <v>1.5641788471884062</v>
      </c>
      <c r="T421" s="4" t="str">
        <f t="shared" si="362"/>
        <v>1+2.53144043749061i</v>
      </c>
      <c r="U421" s="4">
        <f t="shared" si="375"/>
        <v>2.7217991638919008</v>
      </c>
      <c r="V421" s="4">
        <f t="shared" si="376"/>
        <v>1.1945800241734106</v>
      </c>
      <c r="W421" t="str">
        <f t="shared" si="363"/>
        <v>1-1.40261549063088i</v>
      </c>
      <c r="X421" s="4">
        <f t="shared" si="377"/>
        <v>1.7225940364919716</v>
      </c>
      <c r="Y421" s="4">
        <f t="shared" si="378"/>
        <v>-0.95142936055562033</v>
      </c>
      <c r="Z421" t="str">
        <f t="shared" si="364"/>
        <v>0.988518463785031+1.04354592502937i</v>
      </c>
      <c r="AA421" s="4">
        <f t="shared" si="379"/>
        <v>1.4374132498656471</v>
      </c>
      <c r="AB421" s="4">
        <f t="shared" si="380"/>
        <v>0.81247113256314674</v>
      </c>
      <c r="AC421" s="47" t="str">
        <f t="shared" si="381"/>
        <v>-0.21995999039089-0.348743515101955i</v>
      </c>
      <c r="AD421" s="20">
        <f t="shared" si="382"/>
        <v>-7.6953974445406672</v>
      </c>
      <c r="AE421" s="43">
        <f t="shared" si="383"/>
        <v>-122.24050640851215</v>
      </c>
      <c r="AF421" t="str">
        <f t="shared" si="365"/>
        <v>69.5520360182888</v>
      </c>
      <c r="AG421" t="str">
        <f t="shared" si="366"/>
        <v>1+120.544782737648i</v>
      </c>
      <c r="AH421">
        <f t="shared" si="384"/>
        <v>120.54893050237635</v>
      </c>
      <c r="AI421">
        <f t="shared" si="385"/>
        <v>1.5625008449097022</v>
      </c>
      <c r="AJ421" t="str">
        <f t="shared" si="367"/>
        <v>1+2.53144043749061i</v>
      </c>
      <c r="AK421">
        <f t="shared" si="386"/>
        <v>2.7217991638919008</v>
      </c>
      <c r="AL421">
        <f t="shared" si="387"/>
        <v>1.1945800241734106</v>
      </c>
      <c r="AM421" t="str">
        <f t="shared" si="368"/>
        <v>1-0.307297657489884i</v>
      </c>
      <c r="AN421">
        <f t="shared" si="388"/>
        <v>1.046150969171644</v>
      </c>
      <c r="AO421">
        <f t="shared" si="389"/>
        <v>-0.29813837331251458</v>
      </c>
      <c r="AP421" s="41" t="str">
        <f t="shared" si="390"/>
        <v>1.29170883415811-1.01510202946237i</v>
      </c>
      <c r="AQ421">
        <f t="shared" si="391"/>
        <v>4.3119384818632218</v>
      </c>
      <c r="AR421" s="43">
        <f t="shared" si="392"/>
        <v>-38.1623807248818</v>
      </c>
      <c r="AS421" t="str">
        <f t="shared" si="369"/>
        <v>-0.0000166666666666667</v>
      </c>
      <c r="AT421" t="str">
        <f t="shared" si="370"/>
        <v>0.00228906848070959i</v>
      </c>
      <c r="AU421">
        <f t="shared" si="393"/>
        <v>2.2890684807095902E-3</v>
      </c>
      <c r="AV421">
        <f t="shared" si="394"/>
        <v>1.5707963267948966</v>
      </c>
      <c r="AW421" t="str">
        <f t="shared" si="371"/>
        <v>1+2.32629554596681i</v>
      </c>
      <c r="AX421">
        <f t="shared" si="395"/>
        <v>2.5321238056590003</v>
      </c>
      <c r="AY421">
        <f t="shared" si="396"/>
        <v>1.1648096806097379</v>
      </c>
      <c r="AZ421" t="str">
        <f t="shared" si="372"/>
        <v>1+79.0940485628715i</v>
      </c>
      <c r="BA421">
        <f t="shared" si="397"/>
        <v>79.100369898413717</v>
      </c>
      <c r="BB421">
        <f t="shared" si="398"/>
        <v>1.5581538241037787</v>
      </c>
      <c r="BC421" s="41" t="str">
        <f t="shared" si="399"/>
        <v>-0.08717639801962+0.210079048540865i</v>
      </c>
      <c r="BD421">
        <f t="shared" si="400"/>
        <v>-12.86232915282627</v>
      </c>
      <c r="BE421" s="43">
        <f t="shared" si="401"/>
        <v>112.53695931839673</v>
      </c>
      <c r="BF421" s="41" t="str">
        <f t="shared" si="402"/>
        <v>0.0924390255081235-0.0158067820190866i</v>
      </c>
      <c r="BG421" s="20">
        <f t="shared" si="403"/>
        <v>-20.557726597366937</v>
      </c>
      <c r="BH421" s="43">
        <f t="shared" si="404"/>
        <v>-9.703547090115423</v>
      </c>
      <c r="BI421" s="41" t="str">
        <f t="shared" si="357"/>
        <v>0.100645145069329+0.359853901422701i</v>
      </c>
      <c r="BJ421" s="20">
        <f t="shared" si="405"/>
        <v>-8.5503906709630595</v>
      </c>
      <c r="BK421" s="43">
        <f t="shared" si="358"/>
        <v>74.37457859351494</v>
      </c>
      <c r="BL421">
        <f t="shared" si="406"/>
        <v>-20.557726597366937</v>
      </c>
      <c r="BM421" s="43">
        <f t="shared" si="407"/>
        <v>-9.703547090115423</v>
      </c>
    </row>
    <row r="422" spans="14:65" x14ac:dyDescent="0.25">
      <c r="N422" s="9">
        <v>4</v>
      </c>
      <c r="O422" s="34">
        <f t="shared" si="408"/>
        <v>109647.81961431868</v>
      </c>
      <c r="P422" s="33" t="str">
        <f t="shared" si="360"/>
        <v>19.1021967526266</v>
      </c>
      <c r="Q422" s="4" t="str">
        <f t="shared" si="361"/>
        <v>1+154.632596708469i</v>
      </c>
      <c r="R422" s="4">
        <f t="shared" si="373"/>
        <v>154.63583014555203</v>
      </c>
      <c r="S422" s="4">
        <f t="shared" si="374"/>
        <v>1.5643294751660013</v>
      </c>
      <c r="T422" s="4" t="str">
        <f t="shared" si="362"/>
        <v>1+2.59040526006026i</v>
      </c>
      <c r="U422" s="4">
        <f t="shared" si="375"/>
        <v>2.7767245832721446</v>
      </c>
      <c r="V422" s="4">
        <f t="shared" si="376"/>
        <v>1.2023820704249453</v>
      </c>
      <c r="W422" t="str">
        <f t="shared" si="363"/>
        <v>1-1.43528660242701i</v>
      </c>
      <c r="X422" s="4">
        <f t="shared" si="377"/>
        <v>1.7492991828462248</v>
      </c>
      <c r="Y422" s="4">
        <f t="shared" si="378"/>
        <v>-0.96227175967959766</v>
      </c>
      <c r="Z422" t="str">
        <f t="shared" si="364"/>
        <v>0.987977355653826+1.0678532322057i</v>
      </c>
      <c r="AA422" s="4">
        <f t="shared" si="379"/>
        <v>1.4547885691112943</v>
      </c>
      <c r="AB422" s="4">
        <f t="shared" si="380"/>
        <v>0.82423196630643203</v>
      </c>
      <c r="AC422" s="47" t="str">
        <f t="shared" si="381"/>
        <v>-0.225222188212212-0.345527281617245i</v>
      </c>
      <c r="AD422" s="20">
        <f t="shared" si="382"/>
        <v>-7.6925959522020086</v>
      </c>
      <c r="AE422" s="43">
        <f t="shared" si="383"/>
        <v>-123.09718228077151</v>
      </c>
      <c r="AF422" t="str">
        <f t="shared" si="365"/>
        <v>69.5520360182888</v>
      </c>
      <c r="AG422" t="str">
        <f t="shared" si="366"/>
        <v>1+123.352631431441i</v>
      </c>
      <c r="AH422">
        <f t="shared" si="384"/>
        <v>123.35668478465577</v>
      </c>
      <c r="AI422">
        <f t="shared" si="385"/>
        <v>1.5626896647617479</v>
      </c>
      <c r="AJ422" t="str">
        <f t="shared" si="367"/>
        <v>1+2.59040526006026i</v>
      </c>
      <c r="AK422">
        <f t="shared" si="386"/>
        <v>2.7767245832721446</v>
      </c>
      <c r="AL422">
        <f t="shared" si="387"/>
        <v>1.2023820704249453</v>
      </c>
      <c r="AM422" t="str">
        <f t="shared" si="368"/>
        <v>1-0.31445553945369i</v>
      </c>
      <c r="AN422">
        <f t="shared" si="388"/>
        <v>1.0482758636413942</v>
      </c>
      <c r="AO422">
        <f t="shared" si="389"/>
        <v>-0.3046654342601734</v>
      </c>
      <c r="AP422" s="41" t="str">
        <f t="shared" si="390"/>
        <v>1.29149742341764-1.01266872204948i</v>
      </c>
      <c r="AQ422">
        <f t="shared" si="391"/>
        <v>4.3031110034973015</v>
      </c>
      <c r="AR422" s="43">
        <f t="shared" si="392"/>
        <v>-38.100148028639069</v>
      </c>
      <c r="AS422" t="str">
        <f t="shared" si="369"/>
        <v>-0.0000166666666666667</v>
      </c>
      <c r="AT422" t="str">
        <f t="shared" si="370"/>
        <v>0.00234238773516088i</v>
      </c>
      <c r="AU422">
        <f t="shared" si="393"/>
        <v>2.3423877351608801E-3</v>
      </c>
      <c r="AV422">
        <f t="shared" si="394"/>
        <v>1.5707963267948966</v>
      </c>
      <c r="AW422" t="str">
        <f t="shared" si="371"/>
        <v>1+2.38048193016177i</v>
      </c>
      <c r="AX422">
        <f t="shared" si="395"/>
        <v>2.5819942331125967</v>
      </c>
      <c r="AY422">
        <f t="shared" si="396"/>
        <v>1.1730977797981539</v>
      </c>
      <c r="AZ422" t="str">
        <f t="shared" si="372"/>
        <v>1+80.9363856255001i</v>
      </c>
      <c r="BA422">
        <f t="shared" si="397"/>
        <v>80.942563080987625</v>
      </c>
      <c r="BB422">
        <f t="shared" si="398"/>
        <v>1.558441572974675</v>
      </c>
      <c r="BC422" s="41" t="str">
        <f t="shared" si="399"/>
        <v>-0.0838413489876143+0.2066980629927i</v>
      </c>
      <c r="BD422">
        <f t="shared" si="400"/>
        <v>-13.031767026476738</v>
      </c>
      <c r="BE422" s="43">
        <f t="shared" si="401"/>
        <v>112.07857301057682</v>
      </c>
      <c r="BF422" s="41" t="str">
        <f t="shared" si="402"/>
        <v>0.0903027519030719-0.0175835166436284i</v>
      </c>
      <c r="BG422" s="20">
        <f t="shared" si="403"/>
        <v>-20.724362978678744</v>
      </c>
      <c r="BH422" s="43">
        <f t="shared" si="404"/>
        <v>-11.018609270194688</v>
      </c>
      <c r="BI422" s="41" t="str">
        <f t="shared" si="357"/>
        <v>0.101035777107557+0.351853527514681i</v>
      </c>
      <c r="BJ422" s="20">
        <f t="shared" si="405"/>
        <v>-8.7286560229794379</v>
      </c>
      <c r="BK422" s="43">
        <f t="shared" si="358"/>
        <v>73.97842498193782</v>
      </c>
      <c r="BL422">
        <f t="shared" si="406"/>
        <v>-20.724362978678744</v>
      </c>
      <c r="BM422" s="43">
        <f t="shared" si="407"/>
        <v>-11.018609270194688</v>
      </c>
    </row>
    <row r="423" spans="14:65" x14ac:dyDescent="0.25">
      <c r="N423" s="9">
        <v>5</v>
      </c>
      <c r="O423" s="34">
        <f t="shared" si="408"/>
        <v>112201.84543019651</v>
      </c>
      <c r="P423" s="33" t="str">
        <f t="shared" si="360"/>
        <v>19.1021967526266</v>
      </c>
      <c r="Q423" s="4" t="str">
        <f t="shared" si="361"/>
        <v>1+158.234452589952i</v>
      </c>
      <c r="R423" s="4">
        <f t="shared" si="373"/>
        <v>158.23761242650804</v>
      </c>
      <c r="S423" s="4">
        <f t="shared" si="374"/>
        <v>1.5644766747157857</v>
      </c>
      <c r="T423" s="4" t="str">
        <f t="shared" si="362"/>
        <v>1+2.65074354978687i</v>
      </c>
      <c r="U423" s="4">
        <f t="shared" si="375"/>
        <v>2.8330974862748186</v>
      </c>
      <c r="V423" s="4">
        <f t="shared" si="376"/>
        <v>1.2100522040555119</v>
      </c>
      <c r="W423" t="str">
        <f t="shared" si="363"/>
        <v>1-1.46871872217801i</v>
      </c>
      <c r="X423" s="4">
        <f t="shared" si="377"/>
        <v>1.7768327678417593</v>
      </c>
      <c r="Y423" s="4">
        <f t="shared" si="378"/>
        <v>-0.97302802831788171</v>
      </c>
      <c r="Z423" t="str">
        <f t="shared" si="364"/>
        <v>0.987410745882058+1.09272672930044i</v>
      </c>
      <c r="AA423" s="4">
        <f t="shared" si="379"/>
        <v>1.4727632824086156</v>
      </c>
      <c r="AB423" s="4">
        <f t="shared" si="380"/>
        <v>0.83598430795981771</v>
      </c>
      <c r="AC423" s="47" t="str">
        <f t="shared" si="381"/>
        <v>-0.230469380013478-0.342254157917797i</v>
      </c>
      <c r="AD423" s="20">
        <f t="shared" si="382"/>
        <v>-7.6890256428274864</v>
      </c>
      <c r="AE423" s="43">
        <f t="shared" si="383"/>
        <v>-123.95579828080501</v>
      </c>
      <c r="AF423" t="str">
        <f t="shared" si="365"/>
        <v>69.5520360182888</v>
      </c>
      <c r="AG423" t="str">
        <f t="shared" si="366"/>
        <v>1+126.225883323185i</v>
      </c>
      <c r="AH423">
        <f t="shared" si="384"/>
        <v>126.22984441374518</v>
      </c>
      <c r="AI423">
        <f t="shared" si="385"/>
        <v>1.5628741871078002</v>
      </c>
      <c r="AJ423" t="str">
        <f t="shared" si="367"/>
        <v>1+2.65074354978687i</v>
      </c>
      <c r="AK423">
        <f t="shared" si="386"/>
        <v>2.8330974862748186</v>
      </c>
      <c r="AL423">
        <f t="shared" si="387"/>
        <v>1.2100522040555119</v>
      </c>
      <c r="AM423" t="str">
        <f t="shared" si="368"/>
        <v>1-0.321780149906825i</v>
      </c>
      <c r="AN423">
        <f t="shared" si="388"/>
        <v>1.0504962945551302</v>
      </c>
      <c r="AO423">
        <f t="shared" si="389"/>
        <v>-0.31131690406021556</v>
      </c>
      <c r="AP423" s="41" t="str">
        <f t="shared" si="390"/>
        <v>1.29129552650543-1.01077219069207i</v>
      </c>
      <c r="AQ423">
        <f t="shared" si="391"/>
        <v>4.2960768886812515</v>
      </c>
      <c r="AR423" s="43">
        <f t="shared" si="392"/>
        <v>-38.052355242061935</v>
      </c>
      <c r="AS423" t="str">
        <f t="shared" si="369"/>
        <v>-0.0000166666666666667</v>
      </c>
      <c r="AT423" t="str">
        <f t="shared" si="370"/>
        <v>0.00239694895459452i</v>
      </c>
      <c r="AU423">
        <f t="shared" si="393"/>
        <v>2.3969489545945201E-3</v>
      </c>
      <c r="AV423">
        <f t="shared" si="394"/>
        <v>1.5707963267948966</v>
      </c>
      <c r="AW423" t="str">
        <f t="shared" si="371"/>
        <v>1+2.4359304773855i</v>
      </c>
      <c r="AX423">
        <f t="shared" si="395"/>
        <v>2.6332028578625595</v>
      </c>
      <c r="AY423">
        <f t="shared" si="396"/>
        <v>1.1812533700980328</v>
      </c>
      <c r="AZ423" t="str">
        <f t="shared" si="372"/>
        <v>1+82.821636231107i</v>
      </c>
      <c r="BA423">
        <f t="shared" si="397"/>
        <v>82.827673080908255</v>
      </c>
      <c r="BB423">
        <f t="shared" si="398"/>
        <v>1.5587227738586726</v>
      </c>
      <c r="BC423" s="41" t="str">
        <f t="shared" si="399"/>
        <v>-0.0806120856626287+0.203318720249407i</v>
      </c>
      <c r="BD423">
        <f t="shared" si="400"/>
        <v>-13.202377857458512</v>
      </c>
      <c r="BE423" s="43">
        <f t="shared" si="401"/>
        <v>111.62740373080432</v>
      </c>
      <c r="BF423" s="41" t="str">
        <f t="shared" si="402"/>
        <v>0.0881652947921444-0.0192689179045543i</v>
      </c>
      <c r="BG423" s="20">
        <f t="shared" si="403"/>
        <v>-20.891403500285996</v>
      </c>
      <c r="BH423" s="43">
        <f t="shared" si="404"/>
        <v>-12.328394550000672</v>
      </c>
      <c r="BI423" s="41" t="str">
        <f t="shared" si="357"/>
        <v>0.101414882676776+0.34402500833434i</v>
      </c>
      <c r="BJ423" s="20">
        <f t="shared" si="405"/>
        <v>-8.9063009687772663</v>
      </c>
      <c r="BK423" s="43">
        <f t="shared" si="358"/>
        <v>73.575048488742425</v>
      </c>
      <c r="BL423">
        <f t="shared" si="406"/>
        <v>-20.891403500285996</v>
      </c>
      <c r="BM423" s="43">
        <f t="shared" si="407"/>
        <v>-12.328394550000672</v>
      </c>
    </row>
    <row r="424" spans="14:65" x14ac:dyDescent="0.25">
      <c r="N424" s="9">
        <v>6</v>
      </c>
      <c r="O424" s="34">
        <f t="shared" si="408"/>
        <v>114815.36214968823</v>
      </c>
      <c r="P424" s="33" t="str">
        <f t="shared" si="360"/>
        <v>19.1021967526266</v>
      </c>
      <c r="Q424" s="4" t="str">
        <f t="shared" si="361"/>
        <v>1+161.920206472679i</v>
      </c>
      <c r="R424" s="4">
        <f t="shared" si="373"/>
        <v>161.92329438396135</v>
      </c>
      <c r="S424" s="4">
        <f t="shared" si="374"/>
        <v>1.5646205238593782</v>
      </c>
      <c r="T424" s="4" t="str">
        <f t="shared" si="362"/>
        <v>1+2.71248729883031i</v>
      </c>
      <c r="U424" s="4">
        <f t="shared" si="375"/>
        <v>2.8909492119917553</v>
      </c>
      <c r="V424" s="4">
        <f t="shared" si="376"/>
        <v>1.2175908809301124</v>
      </c>
      <c r="W424" t="str">
        <f t="shared" si="363"/>
        <v>1-1.5029295760363i</v>
      </c>
      <c r="X424" s="4">
        <f t="shared" si="377"/>
        <v>1.8052139237565867</v>
      </c>
      <c r="Y424" s="4">
        <f t="shared" si="378"/>
        <v>-0.98369391385647498</v>
      </c>
      <c r="Z424" t="str">
        <f t="shared" si="364"/>
        <v>0.986817432614436+1.11817960457101i</v>
      </c>
      <c r="AA424" s="4">
        <f t="shared" si="379"/>
        <v>1.4913531685654902</v>
      </c>
      <c r="AB424" s="4">
        <f t="shared" si="380"/>
        <v>0.8477222629128236</v>
      </c>
      <c r="AC424" s="47" t="str">
        <f t="shared" si="381"/>
        <v>-0.235696183121533-0.338923507614385i</v>
      </c>
      <c r="AD424" s="20">
        <f t="shared" si="382"/>
        <v>-7.6847476341509999</v>
      </c>
      <c r="AE424" s="43">
        <f t="shared" si="383"/>
        <v>-124.81575136664486</v>
      </c>
      <c r="AF424" t="str">
        <f t="shared" si="365"/>
        <v>69.5520360182888</v>
      </c>
      <c r="AG424" t="str">
        <f t="shared" si="366"/>
        <v>1+129.166061849063i</v>
      </c>
      <c r="AH424">
        <f t="shared" si="384"/>
        <v>129.16993277692748</v>
      </c>
      <c r="AI424">
        <f t="shared" si="385"/>
        <v>1.5630545097337589</v>
      </c>
      <c r="AJ424" t="str">
        <f t="shared" si="367"/>
        <v>1+2.71248729883031i</v>
      </c>
      <c r="AK424">
        <f t="shared" si="386"/>
        <v>2.8909492119917553</v>
      </c>
      <c r="AL424">
        <f t="shared" si="387"/>
        <v>1.2175908809301124</v>
      </c>
      <c r="AM424" t="str">
        <f t="shared" si="368"/>
        <v>1-0.329275372454704i</v>
      </c>
      <c r="AN424">
        <f t="shared" si="388"/>
        <v>1.0528163519366442</v>
      </c>
      <c r="AO424">
        <f t="shared" si="389"/>
        <v>-0.31809395438130905</v>
      </c>
      <c r="AP424" s="41" t="str">
        <f t="shared" si="390"/>
        <v>1.29110271533624-1.00941144012206i</v>
      </c>
      <c r="AQ424">
        <f t="shared" si="391"/>
        <v>4.2908299577421509</v>
      </c>
      <c r="AR424" s="43">
        <f t="shared" si="392"/>
        <v>-38.019048980398914</v>
      </c>
      <c r="AS424" t="str">
        <f t="shared" si="369"/>
        <v>-0.0000166666666666667</v>
      </c>
      <c r="AT424" t="str">
        <f t="shared" si="370"/>
        <v>0.00245278106809124i</v>
      </c>
      <c r="AU424">
        <f t="shared" si="393"/>
        <v>2.4527810680912399E-3</v>
      </c>
      <c r="AV424">
        <f t="shared" si="394"/>
        <v>1.5707963267948966</v>
      </c>
      <c r="AW424" t="str">
        <f t="shared" si="371"/>
        <v>1+2.49267058719169i</v>
      </c>
      <c r="AX424">
        <f t="shared" si="395"/>
        <v>2.6857785940487657</v>
      </c>
      <c r="AY424">
        <f t="shared" si="396"/>
        <v>1.1892764349973626</v>
      </c>
      <c r="AZ424" t="str">
        <f t="shared" si="372"/>
        <v>1+84.7507999645174i</v>
      </c>
      <c r="BA424">
        <f t="shared" si="397"/>
        <v>84.756699408516639</v>
      </c>
      <c r="BB424">
        <f t="shared" si="398"/>
        <v>1.5589975756742152</v>
      </c>
      <c r="BC424" s="41" t="str">
        <f t="shared" si="399"/>
        <v>-0.077486916142994+0.199944364634114i</v>
      </c>
      <c r="BD424">
        <f t="shared" si="400"/>
        <v>-13.37412415642085</v>
      </c>
      <c r="BE424" s="43">
        <f t="shared" si="401"/>
        <v>111.18346095754615</v>
      </c>
      <c r="BF424" s="41" t="str">
        <f t="shared" si="402"/>
        <v>0.0860292157662855-0.0208639861675155i</v>
      </c>
      <c r="BG424" s="20">
        <f t="shared" si="403"/>
        <v>-21.05887179057185</v>
      </c>
      <c r="BH424" s="43">
        <f t="shared" si="404"/>
        <v>-13.632290409098754</v>
      </c>
      <c r="BI424" s="41" t="str">
        <f t="shared" si="357"/>
        <v>0.10178256121436+0.336364891709801i</v>
      </c>
      <c r="BJ424" s="20">
        <f t="shared" si="405"/>
        <v>-9.0832941986786953</v>
      </c>
      <c r="BK424" s="43">
        <f t="shared" si="358"/>
        <v>73.164411977147296</v>
      </c>
      <c r="BL424">
        <f t="shared" si="406"/>
        <v>-21.05887179057185</v>
      </c>
      <c r="BM424" s="43">
        <f t="shared" si="407"/>
        <v>-13.632290409098754</v>
      </c>
    </row>
    <row r="425" spans="14:65" x14ac:dyDescent="0.25">
      <c r="N425" s="9">
        <v>7</v>
      </c>
      <c r="O425" s="34">
        <f t="shared" si="408"/>
        <v>117489.75549395311</v>
      </c>
      <c r="P425" s="33" t="str">
        <f t="shared" si="360"/>
        <v>19.1021967526266</v>
      </c>
      <c r="Q425" s="4" t="str">
        <f t="shared" si="361"/>
        <v>1+165.691812592145i</v>
      </c>
      <c r="R425" s="4">
        <f t="shared" si="373"/>
        <v>165.69483021528012</v>
      </c>
      <c r="S425" s="4">
        <f t="shared" si="374"/>
        <v>1.5647610988436729</v>
      </c>
      <c r="T425" s="4" t="str">
        <f t="shared" si="362"/>
        <v>1+2.77566924454361i</v>
      </c>
      <c r="U425" s="4">
        <f t="shared" si="375"/>
        <v>2.9503118064206868</v>
      </c>
      <c r="V425" s="4">
        <f t="shared" si="376"/>
        <v>1.2249986696769575</v>
      </c>
      <c r="W425" t="str">
        <f t="shared" si="363"/>
        <v>1-1.53793730304943i</v>
      </c>
      <c r="X425" s="4">
        <f t="shared" si="377"/>
        <v>1.8344620868556958</v>
      </c>
      <c r="Y425" s="4">
        <f t="shared" si="378"/>
        <v>-0.99426536453111547</v>
      </c>
      <c r="Z425" t="str">
        <f t="shared" si="364"/>
        <v>0.986196157353971+1.14422535346878i</v>
      </c>
      <c r="AA425" s="4">
        <f t="shared" si="379"/>
        <v>1.5105742352828917</v>
      </c>
      <c r="AB425" s="4">
        <f t="shared" si="380"/>
        <v>0.85943999387466341</v>
      </c>
      <c r="AC425" s="47" t="str">
        <f t="shared" si="381"/>
        <v>-0.240897289443409-0.335535034337864i</v>
      </c>
      <c r="AD425" s="20">
        <f t="shared" si="382"/>
        <v>-7.6798211922258943</v>
      </c>
      <c r="AE425" s="43">
        <f t="shared" si="383"/>
        <v>-125.67644672580224</v>
      </c>
      <c r="AF425" t="str">
        <f t="shared" si="365"/>
        <v>69.5520360182888</v>
      </c>
      <c r="AG425" t="str">
        <f t="shared" si="366"/>
        <v>1+132.174725930649i</v>
      </c>
      <c r="AH425">
        <f t="shared" si="384"/>
        <v>132.1785087479889</v>
      </c>
      <c r="AI425">
        <f t="shared" si="385"/>
        <v>1.5632307282021329</v>
      </c>
      <c r="AJ425" t="str">
        <f t="shared" si="367"/>
        <v>1+2.77566924454361i</v>
      </c>
      <c r="AK425">
        <f t="shared" si="386"/>
        <v>2.9503118064206868</v>
      </c>
      <c r="AL425">
        <f t="shared" si="387"/>
        <v>1.2249986696769575</v>
      </c>
      <c r="AM425" t="str">
        <f t="shared" si="368"/>
        <v>1-0.336945181163534i</v>
      </c>
      <c r="AN425">
        <f t="shared" si="388"/>
        <v>1.0552402831153325</v>
      </c>
      <c r="AO425">
        <f t="shared" si="389"/>
        <v>-0.32499768757367842</v>
      </c>
      <c r="AP425" s="41" t="str">
        <f t="shared" si="390"/>
        <v>1.29091858108234-1.0085857584622i</v>
      </c>
      <c r="AQ425">
        <f t="shared" si="391"/>
        <v>4.287365578547421</v>
      </c>
      <c r="AR425" s="43">
        <f t="shared" si="392"/>
        <v>-38.000265298997462</v>
      </c>
      <c r="AS425" t="str">
        <f t="shared" si="369"/>
        <v>-0.0000166666666666667</v>
      </c>
      <c r="AT425" t="str">
        <f t="shared" si="370"/>
        <v>0.00250991367857668i</v>
      </c>
      <c r="AU425">
        <f t="shared" si="393"/>
        <v>2.50991367857668E-3</v>
      </c>
      <c r="AV425">
        <f t="shared" si="394"/>
        <v>1.5707963267948966</v>
      </c>
      <c r="AW425" t="str">
        <f t="shared" si="371"/>
        <v>1+2.55073234393761i</v>
      </c>
      <c r="AX425">
        <f t="shared" si="395"/>
        <v>2.7397509905846285</v>
      </c>
      <c r="AY425">
        <f t="shared" si="396"/>
        <v>1.1971670958583354</v>
      </c>
      <c r="AZ425" t="str">
        <f t="shared" si="372"/>
        <v>1+86.7248996938787i</v>
      </c>
      <c r="BA425">
        <f t="shared" si="397"/>
        <v>86.730664859168002</v>
      </c>
      <c r="BB425">
        <f t="shared" si="398"/>
        <v>1.5592661239587517</v>
      </c>
      <c r="BC425" s="41" t="str">
        <f t="shared" si="399"/>
        <v>-0.074464042247589+0.196578175630744i</v>
      </c>
      <c r="BD425">
        <f t="shared" si="400"/>
        <v>-13.546969055946247</v>
      </c>
      <c r="BE425" s="43">
        <f t="shared" si="401"/>
        <v>110.74674607594291</v>
      </c>
      <c r="BF425" s="41" t="str">
        <f t="shared" si="402"/>
        <v>0.08389705084878-0.0223698547006957i</v>
      </c>
      <c r="BG425" s="20">
        <f t="shared" si="403"/>
        <v>-21.226790248172144</v>
      </c>
      <c r="BH425" s="43">
        <f t="shared" si="404"/>
        <v>-14.929700649859345</v>
      </c>
      <c r="BI425" s="41" t="str">
        <f t="shared" si="357"/>
        <v>0.102138932605736+0.328869792085441i</v>
      </c>
      <c r="BJ425" s="20">
        <f t="shared" si="405"/>
        <v>-9.2596034773988283</v>
      </c>
      <c r="BK425" s="43">
        <f t="shared" si="358"/>
        <v>72.746480776945518</v>
      </c>
      <c r="BL425">
        <f t="shared" si="406"/>
        <v>-21.226790248172144</v>
      </c>
      <c r="BM425" s="43">
        <f t="shared" si="407"/>
        <v>-14.929700649859345</v>
      </c>
    </row>
    <row r="426" spans="14:65" x14ac:dyDescent="0.25">
      <c r="N426" s="9">
        <v>8</v>
      </c>
      <c r="O426" s="34">
        <f t="shared" si="408"/>
        <v>120226.44346174144</v>
      </c>
      <c r="P426" s="33" t="str">
        <f t="shared" si="360"/>
        <v>19.1021967526266</v>
      </c>
      <c r="Q426" s="4" t="str">
        <f t="shared" si="361"/>
        <v>1+169.551270703838i</v>
      </c>
      <c r="R426" s="4">
        <f t="shared" si="373"/>
        <v>169.55421963869304</v>
      </c>
      <c r="S426" s="4">
        <f t="shared" si="374"/>
        <v>1.5648984741811505</v>
      </c>
      <c r="T426" s="4" t="str">
        <f t="shared" si="362"/>
        <v>1+2.8403228868307i</v>
      </c>
      <c r="U426" s="4">
        <f t="shared" si="375"/>
        <v>3.0112180428282307</v>
      </c>
      <c r="V426" s="4">
        <f t="shared" si="376"/>
        <v>1.2322762449891729</v>
      </c>
      <c r="W426" t="str">
        <f t="shared" si="363"/>
        <v>1-1.57376046477765i</v>
      </c>
      <c r="X426" s="4">
        <f t="shared" si="377"/>
        <v>1.8645970075319667</v>
      </c>
      <c r="Y426" s="4">
        <f t="shared" si="378"/>
        <v>-1.0047385339698831</v>
      </c>
      <c r="Z426" t="str">
        <f t="shared" si="364"/>
        <v>0.985545602292541+1.17087778579457i</v>
      </c>
      <c r="AA426" s="4">
        <f t="shared" si="379"/>
        <v>1.5304427213931799</v>
      </c>
      <c r="AB426" s="4">
        <f t="shared" si="380"/>
        <v>0.87113173633292129</v>
      </c>
      <c r="AC426" s="47" t="str">
        <f t="shared" si="381"/>
        <v>-0.246067487551763-0.332088773165888i</v>
      </c>
      <c r="AD426" s="20">
        <f t="shared" si="382"/>
        <v>-7.6743036356008441</v>
      </c>
      <c r="AE426" s="43">
        <f t="shared" si="383"/>
        <v>-126.53729930734903</v>
      </c>
      <c r="AF426" t="str">
        <f t="shared" si="365"/>
        <v>69.5520360182888</v>
      </c>
      <c r="AG426" t="str">
        <f t="shared" si="366"/>
        <v>1+135.253470801462i</v>
      </c>
      <c r="AH426">
        <f t="shared" si="384"/>
        <v>135.25716751374739</v>
      </c>
      <c r="AI426">
        <f t="shared" si="385"/>
        <v>1.5634029359024846</v>
      </c>
      <c r="AJ426" t="str">
        <f t="shared" si="367"/>
        <v>1+2.8403228868307i</v>
      </c>
      <c r="AK426">
        <f t="shared" si="386"/>
        <v>3.0112180428282307</v>
      </c>
      <c r="AL426">
        <f t="shared" si="387"/>
        <v>1.2322762449891729</v>
      </c>
      <c r="AM426" t="str">
        <f t="shared" si="368"/>
        <v>1-0.344793642667414i</v>
      </c>
      <c r="AN426">
        <f t="shared" si="388"/>
        <v>1.0577724972903504</v>
      </c>
      <c r="AO426">
        <f t="shared" si="389"/>
        <v>-0.33202913086348168</v>
      </c>
      <c r="AP426" s="41" t="str">
        <f t="shared" si="390"/>
        <v>1.2907427333077-1.00829471689453i</v>
      </c>
      <c r="AQ426">
        <f t="shared" si="391"/>
        <v>4.2856806849352864</v>
      </c>
      <c r="AR426" s="43">
        <f t="shared" si="392"/>
        <v>-37.996029747339932</v>
      </c>
      <c r="AS426" t="str">
        <f t="shared" si="369"/>
        <v>-0.0000166666666666667</v>
      </c>
      <c r="AT426" t="str">
        <f t="shared" si="370"/>
        <v>0.00256837707851712i</v>
      </c>
      <c r="AU426">
        <f t="shared" si="393"/>
        <v>2.56837707851712E-3</v>
      </c>
      <c r="AV426">
        <f t="shared" si="394"/>
        <v>1.5707963267948966</v>
      </c>
      <c r="AW426" t="str">
        <f t="shared" si="371"/>
        <v>1+2.61014653273522i</v>
      </c>
      <c r="AX426">
        <f t="shared" si="395"/>
        <v>2.7951502504068881</v>
      </c>
      <c r="AY426">
        <f t="shared" si="396"/>
        <v>1.204925605040079</v>
      </c>
      <c r="AZ426" t="str">
        <f t="shared" si="372"/>
        <v>1+88.7449821129974i</v>
      </c>
      <c r="BA426">
        <f t="shared" si="397"/>
        <v>88.750616055530728</v>
      </c>
      <c r="BB426">
        <f t="shared" si="398"/>
        <v>1.5595285609451106</v>
      </c>
      <c r="BC426" s="41" t="str">
        <f t="shared" si="399"/>
        <v>-0.071541571783645+0.193223167677497i</v>
      </c>
      <c r="BD426">
        <f t="shared" si="400"/>
        <v>-13.720876346497889</v>
      </c>
      <c r="BE426" s="43">
        <f t="shared" si="401"/>
        <v>110.31725277622188</v>
      </c>
      <c r="BF426" s="41" t="str">
        <f t="shared" si="402"/>
        <v>0.0817712995255523-0.0237877866032047i</v>
      </c>
      <c r="BG426" s="20">
        <f t="shared" si="403"/>
        <v>-21.395179982098725</v>
      </c>
      <c r="BH426" s="43">
        <f t="shared" si="404"/>
        <v>-16.220046531127135</v>
      </c>
      <c r="BI426" s="41" t="str">
        <f t="shared" si="357"/>
        <v>0.102484135241695+0.321536388454205i</v>
      </c>
      <c r="BJ426" s="20">
        <f t="shared" si="405"/>
        <v>-9.4351956615625898</v>
      </c>
      <c r="BK426" s="43">
        <f t="shared" si="358"/>
        <v>72.321223028882002</v>
      </c>
      <c r="BL426">
        <f t="shared" si="406"/>
        <v>-21.395179982098725</v>
      </c>
      <c r="BM426" s="43">
        <f t="shared" si="407"/>
        <v>-16.220046531127135</v>
      </c>
    </row>
    <row r="427" spans="14:65" x14ac:dyDescent="0.25">
      <c r="N427" s="9">
        <v>9</v>
      </c>
      <c r="O427" s="34">
        <f t="shared" si="408"/>
        <v>123026.87708123829</v>
      </c>
      <c r="P427" s="33" t="str">
        <f t="shared" si="360"/>
        <v>19.1021967526266</v>
      </c>
      <c r="Q427" s="4" t="str">
        <f t="shared" si="361"/>
        <v>1+173.500627143535i</v>
      </c>
      <c r="R427" s="4">
        <f t="shared" si="373"/>
        <v>173.50350895356544</v>
      </c>
      <c r="S427" s="4">
        <f t="shared" si="374"/>
        <v>1.5650327226892808</v>
      </c>
      <c r="T427" s="4" t="str">
        <f t="shared" si="362"/>
        <v>1+2.90648250590849i</v>
      </c>
      <c r="U427" s="4">
        <f t="shared" si="375"/>
        <v>3.0737014424228155</v>
      </c>
      <c r="V427" s="4">
        <f t="shared" si="376"/>
        <v>1.2394243810353722</v>
      </c>
      <c r="W427" t="str">
        <f t="shared" si="363"/>
        <v>1-1.61041805513547i</v>
      </c>
      <c r="X427" s="4">
        <f t="shared" si="377"/>
        <v>1.8956387610265595</v>
      </c>
      <c r="Y427" s="4">
        <f t="shared" si="378"/>
        <v>-1.0151097847602231</v>
      </c>
      <c r="Z427" t="str">
        <f t="shared" si="364"/>
        <v>0.984864387515638+1.19815103302079i</v>
      </c>
      <c r="AA427" s="4">
        <f t="shared" si="379"/>
        <v>1.5509750996471023</v>
      </c>
      <c r="AB427" s="4">
        <f t="shared" si="380"/>
        <v>0.88279181357356518</v>
      </c>
      <c r="AC427" s="47" t="str">
        <f t="shared" si="381"/>
        <v>-0.251201683880128-0.328585080235431i</v>
      </c>
      <c r="AD427" s="20">
        <f t="shared" si="382"/>
        <v>-7.6682502521476543</v>
      </c>
      <c r="AE427" s="43">
        <f t="shared" si="383"/>
        <v>-127.39773526668208</v>
      </c>
      <c r="AF427" t="str">
        <f t="shared" si="365"/>
        <v>69.5520360182888</v>
      </c>
      <c r="AG427" t="str">
        <f t="shared" si="366"/>
        <v>1+138.403928852786i</v>
      </c>
      <c r="AH427">
        <f t="shared" si="384"/>
        <v>138.4075414198484</v>
      </c>
      <c r="AI427">
        <f t="shared" si="385"/>
        <v>1.5635712241007376</v>
      </c>
      <c r="AJ427" t="str">
        <f t="shared" si="367"/>
        <v>1+2.90648250590849i</v>
      </c>
      <c r="AK427">
        <f t="shared" si="386"/>
        <v>3.0737014424228155</v>
      </c>
      <c r="AL427">
        <f t="shared" si="387"/>
        <v>1.2394243810353722</v>
      </c>
      <c r="AM427" t="str">
        <f t="shared" si="368"/>
        <v>1-0.352824918324519i</v>
      </c>
      <c r="AN427">
        <f t="shared" si="388"/>
        <v>1.0604175701065612</v>
      </c>
      <c r="AO427">
        <f t="shared" si="389"/>
        <v>-0.33918923036156134</v>
      </c>
      <c r="AP427" s="41" t="str">
        <f t="shared" si="390"/>
        <v>1.29057479914088-1.00853816947577i</v>
      </c>
      <c r="AQ427">
        <f t="shared" si="391"/>
        <v>4.2857737889200083</v>
      </c>
      <c r="AR427" s="43">
        <f t="shared" si="392"/>
        <v>-38.006357406142932</v>
      </c>
      <c r="AS427" t="str">
        <f t="shared" si="369"/>
        <v>-0.0000166666666666667</v>
      </c>
      <c r="AT427" t="str">
        <f t="shared" si="370"/>
        <v>0.00262820226598109i</v>
      </c>
      <c r="AU427">
        <f t="shared" si="393"/>
        <v>2.6282022659810901E-3</v>
      </c>
      <c r="AV427">
        <f t="shared" si="394"/>
        <v>1.5707963267948966</v>
      </c>
      <c r="AW427" t="str">
        <f t="shared" si="371"/>
        <v>1+2.67094465577386i</v>
      </c>
      <c r="AX427">
        <f t="shared" si="395"/>
        <v>2.8520072500270657</v>
      </c>
      <c r="AY427">
        <f t="shared" si="396"/>
        <v>1.2125523390311193</v>
      </c>
      <c r="AZ427" t="str">
        <f t="shared" si="372"/>
        <v>1+90.8121182963111i</v>
      </c>
      <c r="BA427">
        <f t="shared" si="397"/>
        <v>90.817624002520574</v>
      </c>
      <c r="BB427">
        <f t="shared" si="398"/>
        <v>1.5597850256361738</v>
      </c>
      <c r="BC427" s="41" t="str">
        <f t="shared" si="399"/>
        <v>-0.0687175303420388+0.189882190745804i</v>
      </c>
      <c r="BD427">
        <f t="shared" si="400"/>
        <v>-13.895810508056909</v>
      </c>
      <c r="BE427" s="43">
        <f t="shared" si="401"/>
        <v>109.89496745145843</v>
      </c>
      <c r="BF427" s="41" t="str">
        <f t="shared" si="402"/>
        <v>0.0796544142154934-0.0251191708331741i</v>
      </c>
      <c r="BG427" s="20">
        <f t="shared" si="403"/>
        <v>-21.564060760204562</v>
      </c>
      <c r="BH427" s="43">
        <f t="shared" si="404"/>
        <v>-17.502767815223592</v>
      </c>
      <c r="BI427" s="41" t="str">
        <f t="shared" si="357"/>
        <v>0.102818324152188+0.314361422444252i</v>
      </c>
      <c r="BJ427" s="20">
        <f t="shared" si="405"/>
        <v>-9.6100367191368949</v>
      </c>
      <c r="BK427" s="43">
        <f t="shared" si="358"/>
        <v>71.888610045315545</v>
      </c>
      <c r="BL427">
        <f t="shared" si="406"/>
        <v>-21.564060760204562</v>
      </c>
      <c r="BM427" s="43">
        <f t="shared" si="407"/>
        <v>-17.502767815223592</v>
      </c>
    </row>
    <row r="428" spans="14:65" x14ac:dyDescent="0.25">
      <c r="N428" s="9">
        <v>10</v>
      </c>
      <c r="O428" s="34">
        <f t="shared" si="408"/>
        <v>125892.54117941685</v>
      </c>
      <c r="P428" s="33" t="str">
        <f t="shared" si="360"/>
        <v>19.1021967526266</v>
      </c>
      <c r="Q428" s="4" t="str">
        <f t="shared" si="361"/>
        <v>1+177.541975912295i</v>
      </c>
      <c r="R428" s="4">
        <f t="shared" si="373"/>
        <v>177.54479212537308</v>
      </c>
      <c r="S428" s="4">
        <f t="shared" si="374"/>
        <v>1.5651639155290331</v>
      </c>
      <c r="T428" s="4" t="str">
        <f t="shared" si="362"/>
        <v>1+2.97418318048277i</v>
      </c>
      <c r="U428" s="4">
        <f t="shared" si="375"/>
        <v>3.1377962953427376</v>
      </c>
      <c r="V428" s="4">
        <f t="shared" si="376"/>
        <v>1.2464439449995945</v>
      </c>
      <c r="W428" t="str">
        <f t="shared" si="363"/>
        <v>1-1.64792951046253i</v>
      </c>
      <c r="X428" s="4">
        <f t="shared" si="377"/>
        <v>1.9276077587137053</v>
      </c>
      <c r="Y428" s="4">
        <f t="shared" si="378"/>
        <v>-1.0253756910609162</v>
      </c>
      <c r="Z428" t="str">
        <f t="shared" si="364"/>
        <v>0.984151068075389+1.22605955578412i</v>
      </c>
      <c r="AA428" s="4">
        <f t="shared" si="379"/>
        <v>1.5721880800729544</v>
      </c>
      <c r="AB428" s="4">
        <f t="shared" si="380"/>
        <v>0.89441465117242669</v>
      </c>
      <c r="AC428" s="47" t="str">
        <f t="shared" si="381"/>
        <v>-0.256294922854035-0.325024620652709i</v>
      </c>
      <c r="AD428" s="20">
        <f t="shared" si="382"/>
        <v>-7.6617142286011752</v>
      </c>
      <c r="AE428" s="43">
        <f t="shared" si="383"/>
        <v>-128.25719331781735</v>
      </c>
      <c r="AF428" t="str">
        <f t="shared" si="365"/>
        <v>69.5520360182888</v>
      </c>
      <c r="AG428" t="str">
        <f t="shared" si="366"/>
        <v>1+141.62777049918i</v>
      </c>
      <c r="AH428">
        <f t="shared" si="384"/>
        <v>141.63130083625018</v>
      </c>
      <c r="AI428">
        <f t="shared" si="385"/>
        <v>1.5637356819873713</v>
      </c>
      <c r="AJ428" t="str">
        <f t="shared" si="367"/>
        <v>1+2.97418318048277i</v>
      </c>
      <c r="AK428">
        <f t="shared" si="386"/>
        <v>3.1377962953427376</v>
      </c>
      <c r="AL428">
        <f t="shared" si="387"/>
        <v>1.2464439449995945</v>
      </c>
      <c r="AM428" t="str">
        <f t="shared" si="368"/>
        <v>1-0.361043266423509i</v>
      </c>
      <c r="AN428">
        <f t="shared" si="388"/>
        <v>1.0631802482315766</v>
      </c>
      <c r="AO428">
        <f t="shared" si="389"/>
        <v>-0.34647884489761016</v>
      </c>
      <c r="AP428" s="41" t="str">
        <f t="shared" si="390"/>
        <v>1.29041442248529-1.0093162530999i</v>
      </c>
      <c r="AQ428">
        <f t="shared" si="391"/>
        <v>4.2876449866748709</v>
      </c>
      <c r="AR428" s="43">
        <f t="shared" si="392"/>
        <v>-38.031252906975368</v>
      </c>
      <c r="AS428" t="str">
        <f t="shared" si="369"/>
        <v>-0.0000166666666666667</v>
      </c>
      <c r="AT428" t="str">
        <f t="shared" si="370"/>
        <v>0.00268942096107484i</v>
      </c>
      <c r="AU428">
        <f t="shared" si="393"/>
        <v>2.68942096107484E-3</v>
      </c>
      <c r="AV428">
        <f t="shared" si="394"/>
        <v>1.5707963267948966</v>
      </c>
      <c r="AW428" t="str">
        <f t="shared" si="371"/>
        <v>1+2.73315894902312i</v>
      </c>
      <c r="AX428">
        <f t="shared" si="395"/>
        <v>2.9103535593850389</v>
      </c>
      <c r="AY428">
        <f t="shared" si="396"/>
        <v>1.2200477916224197</v>
      </c>
      <c r="AZ428" t="str">
        <f t="shared" si="372"/>
        <v>1+92.9274042667861i</v>
      </c>
      <c r="BA428">
        <f t="shared" si="397"/>
        <v>92.932784655161896</v>
      </c>
      <c r="BB428">
        <f t="shared" si="398"/>
        <v>1.5600356538778881</v>
      </c>
      <c r="BC428" s="41" t="str">
        <f t="shared" si="399"/>
        <v>-0.0659898725850601+0.186557931633784i</v>
      </c>
      <c r="BD428">
        <f t="shared" si="400"/>
        <v>-14.071736737621476</v>
      </c>
      <c r="BE428" s="43">
        <f t="shared" si="401"/>
        <v>109.47986959291345</v>
      </c>
      <c r="BF428" s="41" t="str">
        <f t="shared" si="402"/>
        <v>0.0775487902623602-0.0263655173920092i</v>
      </c>
      <c r="BG428" s="20">
        <f t="shared" si="403"/>
        <v>-21.733450966222655</v>
      </c>
      <c r="BH428" s="43">
        <f t="shared" si="404"/>
        <v>-18.777323724903859</v>
      </c>
      <c r="BI428" s="41" t="str">
        <f t="shared" si="357"/>
        <v>0.10314166922095+0.307341696549352i</v>
      </c>
      <c r="BJ428" s="20">
        <f t="shared" si="405"/>
        <v>-9.7840917509466134</v>
      </c>
      <c r="BK428" s="43">
        <f t="shared" si="358"/>
        <v>71.448616685938077</v>
      </c>
      <c r="BL428">
        <f t="shared" si="406"/>
        <v>-21.733450966222655</v>
      </c>
      <c r="BM428" s="43">
        <f t="shared" si="407"/>
        <v>-18.777323724903859</v>
      </c>
    </row>
    <row r="429" spans="14:65" x14ac:dyDescent="0.25">
      <c r="N429" s="9">
        <v>11</v>
      </c>
      <c r="O429" s="34">
        <f t="shared" si="408"/>
        <v>128824.95516931375</v>
      </c>
      <c r="P429" s="33" t="str">
        <f t="shared" si="360"/>
        <v>19.1021967526266</v>
      </c>
      <c r="Q429" s="4" t="str">
        <f t="shared" si="361"/>
        <v>1+181.67745978673i</v>
      </c>
      <c r="R429" s="4">
        <f t="shared" si="373"/>
        <v>181.68021189595441</v>
      </c>
      <c r="S429" s="4">
        <f t="shared" si="374"/>
        <v>1.5652921222425127</v>
      </c>
      <c r="T429" s="4" t="str">
        <f t="shared" si="362"/>
        <v>1+3.0434608063473i</v>
      </c>
      <c r="U429" s="4">
        <f t="shared" si="375"/>
        <v>3.2035376819653858</v>
      </c>
      <c r="V429" s="4">
        <f t="shared" si="376"/>
        <v>1.2533358907684711</v>
      </c>
      <c r="W429" t="str">
        <f t="shared" si="363"/>
        <v>1-1.68631471982896i</v>
      </c>
      <c r="X429" s="4">
        <f t="shared" si="377"/>
        <v>1.9605247599333768</v>
      </c>
      <c r="Y429" s="4">
        <f t="shared" si="378"/>
        <v>-1.0355330402862224</v>
      </c>
      <c r="Z429" t="str">
        <f t="shared" si="364"/>
        <v>0.983404130925624+1.25461815155275i</v>
      </c>
      <c r="AA429" s="4">
        <f t="shared" si="379"/>
        <v>1.5940986139280158</v>
      </c>
      <c r="AB429" s="4">
        <f t="shared" si="380"/>
        <v>0.90599479087444557</v>
      </c>
      <c r="AC429" s="47" t="str">
        <f t="shared" si="381"/>
        <v>-0.26134240579973-0.321408354830286i</v>
      </c>
      <c r="AD429" s="20">
        <f t="shared" si="382"/>
        <v>-7.6547465927596434</v>
      </c>
      <c r="AE429" s="43">
        <f t="shared" si="383"/>
        <v>-129.11512598896337</v>
      </c>
      <c r="AF429" t="str">
        <f t="shared" si="365"/>
        <v>69.5520360182888</v>
      </c>
      <c r="AG429" t="str">
        <f t="shared" si="366"/>
        <v>1+144.926705064158i</v>
      </c>
      <c r="AH429">
        <f t="shared" si="384"/>
        <v>144.9301550428807</v>
      </c>
      <c r="AI429">
        <f t="shared" si="385"/>
        <v>1.5638963967245303</v>
      </c>
      <c r="AJ429" t="str">
        <f t="shared" si="367"/>
        <v>1+3.0434608063473i</v>
      </c>
      <c r="AK429">
        <f t="shared" si="386"/>
        <v>3.2035376819653858</v>
      </c>
      <c r="AL429">
        <f t="shared" si="387"/>
        <v>1.2533358907684711</v>
      </c>
      <c r="AM429" t="str">
        <f t="shared" si="368"/>
        <v>1-0.369453044441331i</v>
      </c>
      <c r="AN429">
        <f t="shared" si="388"/>
        <v>1.0660654539224916</v>
      </c>
      <c r="AO429">
        <f t="shared" si="389"/>
        <v>-0.35389873969301394</v>
      </c>
      <c r="AP429" s="41" t="str">
        <f t="shared" si="390"/>
        <v>1.29026126326473-1.01062938760801i</v>
      </c>
      <c r="AQ429">
        <f t="shared" si="391"/>
        <v>4.2912959582914674</v>
      </c>
      <c r="AR429" s="43">
        <f t="shared" si="392"/>
        <v>-38.070710434138192</v>
      </c>
      <c r="AS429" t="str">
        <f t="shared" si="369"/>
        <v>-0.0000166666666666667</v>
      </c>
      <c r="AT429" t="str">
        <f t="shared" si="370"/>
        <v>0.00275206562276086i</v>
      </c>
      <c r="AU429">
        <f t="shared" si="393"/>
        <v>2.75206562276086E-3</v>
      </c>
      <c r="AV429">
        <f t="shared" si="394"/>
        <v>1.5707963267948966</v>
      </c>
      <c r="AW429" t="str">
        <f t="shared" si="371"/>
        <v>1+2.79682239932479i</v>
      </c>
      <c r="AX429">
        <f t="shared" si="395"/>
        <v>2.9702214620066418</v>
      </c>
      <c r="AY429">
        <f t="shared" si="396"/>
        <v>1.2274125671489498</v>
      </c>
      <c r="AZ429" t="str">
        <f t="shared" si="372"/>
        <v>1+95.091961577043i</v>
      </c>
      <c r="BA429">
        <f t="shared" si="397"/>
        <v>95.097219499677379</v>
      </c>
      <c r="BB429">
        <f t="shared" si="398"/>
        <v>1.5602805784306475</v>
      </c>
      <c r="BC429" s="41" t="str">
        <f t="shared" si="399"/>
        <v>-0.063356492999329+0.183252915903985i</v>
      </c>
      <c r="BD429">
        <f t="shared" si="400"/>
        <v>-14.248620972758527</v>
      </c>
      <c r="BE429" s="43">
        <f t="shared" si="401"/>
        <v>109.07193218135444</v>
      </c>
      <c r="BF429" s="41" t="str">
        <f t="shared" si="402"/>
        <v>0.075456756522031-0.0275284517294322i</v>
      </c>
      <c r="BG429" s="20">
        <f t="shared" si="403"/>
        <v>-21.903367565518167</v>
      </c>
      <c r="BH429" s="43">
        <f t="shared" si="404"/>
        <v>-20.043193807608937</v>
      </c>
      <c r="BI429" s="41" t="str">
        <f t="shared" si="357"/>
        <v>0.103454353484089+0.300474072492124i</v>
      </c>
      <c r="BJ429" s="20">
        <f t="shared" si="405"/>
        <v>-9.9573250144670631</v>
      </c>
      <c r="BK429" s="43">
        <f t="shared" si="358"/>
        <v>71.001221747216292</v>
      </c>
      <c r="BL429">
        <f t="shared" si="406"/>
        <v>-21.903367565518167</v>
      </c>
      <c r="BM429" s="43">
        <f t="shared" si="407"/>
        <v>-20.043193807608937</v>
      </c>
    </row>
    <row r="430" spans="14:65" x14ac:dyDescent="0.25">
      <c r="N430" s="9">
        <v>12</v>
      </c>
      <c r="O430" s="34">
        <f t="shared" si="408"/>
        <v>131825.67385564081</v>
      </c>
      <c r="P430" s="33" t="str">
        <f t="shared" si="360"/>
        <v>19.1021967526266</v>
      </c>
      <c r="Q430" s="4" t="str">
        <f t="shared" si="361"/>
        <v>1+185.909271455129i</v>
      </c>
      <c r="R430" s="4">
        <f t="shared" si="373"/>
        <v>185.91196091961601</v>
      </c>
      <c r="S430" s="4">
        <f t="shared" si="374"/>
        <v>1.5654174107897476</v>
      </c>
      <c r="T430" s="4" t="str">
        <f t="shared" si="362"/>
        <v>1+3.11435211541632i</v>
      </c>
      <c r="U430" s="4">
        <f t="shared" si="375"/>
        <v>3.2709614945453125</v>
      </c>
      <c r="V430" s="4">
        <f t="shared" si="376"/>
        <v>1.2601012527810573</v>
      </c>
      <c r="W430" t="str">
        <f t="shared" si="363"/>
        <v>1-1.72559403558085i</v>
      </c>
      <c r="X430" s="4">
        <f t="shared" si="377"/>
        <v>1.9944108843546264</v>
      </c>
      <c r="Y430" s="4">
        <f t="shared" si="378"/>
        <v>-1.0455788338955641</v>
      </c>
      <c r="Z430" t="str">
        <f t="shared" si="364"/>
        <v>0.982621991712506+1.28384196247215i</v>
      </c>
      <c r="AA430" s="4">
        <f t="shared" si="379"/>
        <v>1.6167238982588814</v>
      </c>
      <c r="AB430" s="4">
        <f t="shared" si="380"/>
        <v>0.91752690378390678</v>
      </c>
      <c r="AC430" s="47" t="str">
        <f t="shared" si="381"/>
        <v>-0.266339508489895-0.317737523397251i</v>
      </c>
      <c r="AD430" s="20">
        <f t="shared" si="382"/>
        <v>-7.6473961681818601</v>
      </c>
      <c r="AE430" s="43">
        <f t="shared" si="383"/>
        <v>-129.97100077799706</v>
      </c>
      <c r="AF430" t="str">
        <f t="shared" si="365"/>
        <v>69.5520360182888</v>
      </c>
      <c r="AG430" t="str">
        <f t="shared" si="366"/>
        <v>1+148.302481686492i</v>
      </c>
      <c r="AH430">
        <f t="shared" si="384"/>
        <v>148.30585313591737</v>
      </c>
      <c r="AI430">
        <f t="shared" si="385"/>
        <v>1.5640534534920667</v>
      </c>
      <c r="AJ430" t="str">
        <f t="shared" si="367"/>
        <v>1+3.11435211541632i</v>
      </c>
      <c r="AK430">
        <f t="shared" si="386"/>
        <v>3.2709614945453125</v>
      </c>
      <c r="AL430">
        <f t="shared" si="387"/>
        <v>1.2601012527810573</v>
      </c>
      <c r="AM430" t="str">
        <f t="shared" si="368"/>
        <v>1-0.378058711353603i</v>
      </c>
      <c r="AN430">
        <f t="shared" si="388"/>
        <v>1.0690782895702011</v>
      </c>
      <c r="AO430">
        <f t="shared" si="389"/>
        <v>-0.36144957988799342</v>
      </c>
      <c r="AP430" s="41" t="str">
        <f t="shared" si="390"/>
        <v>1.29011499670304-1.01247827604572i</v>
      </c>
      <c r="AQ430">
        <f t="shared" si="391"/>
        <v>4.2967299613173262</v>
      </c>
      <c r="AR430" s="43">
        <f t="shared" si="392"/>
        <v>-38.124713708812919</v>
      </c>
      <c r="AS430" t="str">
        <f t="shared" si="369"/>
        <v>-0.0000166666666666667</v>
      </c>
      <c r="AT430" t="str">
        <f t="shared" si="370"/>
        <v>0.00281616946606796i</v>
      </c>
      <c r="AU430">
        <f t="shared" si="393"/>
        <v>2.8161694660679601E-3</v>
      </c>
      <c r="AV430">
        <f t="shared" si="394"/>
        <v>1.5707963267948966</v>
      </c>
      <c r="AW430" t="str">
        <f t="shared" si="371"/>
        <v>1+2.8619687618829i</v>
      </c>
      <c r="AX430">
        <f t="shared" si="395"/>
        <v>3.0316439754683495</v>
      </c>
      <c r="AY430">
        <f t="shared" si="396"/>
        <v>1.2346473738248556</v>
      </c>
      <c r="AZ430" t="str">
        <f t="shared" si="372"/>
        <v>1+97.3069379040186i</v>
      </c>
      <c r="BA430">
        <f t="shared" si="397"/>
        <v>97.312076148115011</v>
      </c>
      <c r="BB430">
        <f t="shared" si="398"/>
        <v>1.5605199290390837</v>
      </c>
      <c r="BC430" s="41" t="str">
        <f t="shared" si="399"/>
        <v>-0.0608152360937123+0.179969510396962i</v>
      </c>
      <c r="BD430">
        <f t="shared" si="400"/>
        <v>-14.426429911399916</v>
      </c>
      <c r="BE430" s="43">
        <f t="shared" si="401"/>
        <v>108.67112207291909</v>
      </c>
      <c r="BF430" s="41" t="str">
        <f t="shared" si="402"/>
        <v>0.0733805666104428-0.0286097084410587i</v>
      </c>
      <c r="BG430" s="20">
        <f t="shared" si="403"/>
        <v>-22.073826079581771</v>
      </c>
      <c r="BH430" s="43">
        <f t="shared" si="404"/>
        <v>-21.299878705077962</v>
      </c>
      <c r="BI430" s="41" t="str">
        <f t="shared" si="357"/>
        <v>0.103756571514974+0.2937554697099i</v>
      </c>
      <c r="BJ430" s="20">
        <f t="shared" si="405"/>
        <v>-10.129699950082582</v>
      </c>
      <c r="BK430" s="43">
        <f t="shared" si="358"/>
        <v>70.546408364106227</v>
      </c>
      <c r="BL430">
        <f t="shared" si="406"/>
        <v>-22.073826079581771</v>
      </c>
      <c r="BM430" s="43">
        <f t="shared" si="407"/>
        <v>-21.299878705077962</v>
      </c>
    </row>
    <row r="431" spans="14:65" x14ac:dyDescent="0.25">
      <c r="N431" s="9">
        <v>13</v>
      </c>
      <c r="O431" s="34">
        <f t="shared" si="408"/>
        <v>134896.28825916545</v>
      </c>
      <c r="P431" s="33" t="str">
        <f t="shared" si="360"/>
        <v>19.1021967526266</v>
      </c>
      <c r="Q431" s="4" t="str">
        <f t="shared" si="361"/>
        <v>1+190.239654680054i</v>
      </c>
      <c r="R431" s="4">
        <f t="shared" si="373"/>
        <v>190.24228292571078</v>
      </c>
      <c r="S431" s="4">
        <f t="shared" si="374"/>
        <v>1.5655398475846416</v>
      </c>
      <c r="T431" s="4" t="str">
        <f t="shared" si="362"/>
        <v>1+3.18689469520026i</v>
      </c>
      <c r="U431" s="4">
        <f t="shared" si="375"/>
        <v>3.3401044591891975</v>
      </c>
      <c r="V431" s="4">
        <f t="shared" si="376"/>
        <v>1.2667411400543565</v>
      </c>
      <c r="W431" t="str">
        <f t="shared" si="363"/>
        <v>1-1.76578828413135i</v>
      </c>
      <c r="X431" s="4">
        <f t="shared" si="377"/>
        <v>2.0292876248515235</v>
      </c>
      <c r="Y431" s="4">
        <f t="shared" si="378"/>
        <v>-1.0555102873273965</v>
      </c>
      <c r="Z431" t="str">
        <f t="shared" si="364"/>
        <v>0.9818029914139+1.31374648339373i</v>
      </c>
      <c r="AA431" s="4">
        <f t="shared" si="379"/>
        <v>1.6400813810840835</v>
      </c>
      <c r="AB431" s="4">
        <f t="shared" si="380"/>
        <v>0.92900580279677547</v>
      </c>
      <c r="AC431" s="47" t="str">
        <f t="shared" si="381"/>
        <v>-0.271281797205082-0.314013630841366i</v>
      </c>
      <c r="AD431" s="20">
        <f t="shared" si="382"/>
        <v>-7.6397095411199238</v>
      </c>
      <c r="AE431" s="43">
        <f t="shared" si="383"/>
        <v>-130.82430120536799</v>
      </c>
      <c r="AF431" t="str">
        <f t="shared" si="365"/>
        <v>69.5520360182888</v>
      </c>
      <c r="AG431" t="str">
        <f t="shared" si="366"/>
        <v>1+151.756890247632i</v>
      </c>
      <c r="AH431">
        <f t="shared" si="384"/>
        <v>151.76018495518454</v>
      </c>
      <c r="AI431">
        <f t="shared" si="385"/>
        <v>1.5642069355325474</v>
      </c>
      <c r="AJ431" t="str">
        <f t="shared" si="367"/>
        <v>1+3.18689469520026i</v>
      </c>
      <c r="AK431">
        <f t="shared" si="386"/>
        <v>3.3401044591891975</v>
      </c>
      <c r="AL431">
        <f t="shared" si="387"/>
        <v>1.2667411400543565</v>
      </c>
      <c r="AM431" t="str">
        <f t="shared" si="368"/>
        <v>1-0.386864829998834i</v>
      </c>
      <c r="AN431">
        <f t="shared" si="388"/>
        <v>1.0722240422085427</v>
      </c>
      <c r="AO431">
        <f t="shared" si="389"/>
        <v>-0.36913192394119393</v>
      </c>
      <c r="AP431" s="41" t="str">
        <f t="shared" si="390"/>
        <v>1.28997531263591-1.01486390506835i</v>
      </c>
      <c r="AQ431">
        <f t="shared" si="391"/>
        <v>4.3039518180692173</v>
      </c>
      <c r="AR431" s="43">
        <f t="shared" si="392"/>
        <v>-38.193235955776643</v>
      </c>
      <c r="AS431" t="str">
        <f t="shared" si="369"/>
        <v>-0.0000166666666666667</v>
      </c>
      <c r="AT431" t="str">
        <f t="shared" si="370"/>
        <v>0.00288176647970237i</v>
      </c>
      <c r="AU431">
        <f t="shared" si="393"/>
        <v>2.8817664797023699E-3</v>
      </c>
      <c r="AV431">
        <f t="shared" si="394"/>
        <v>1.5707963267948966</v>
      </c>
      <c r="AW431" t="str">
        <f t="shared" si="371"/>
        <v>1+2.9286325781612i</v>
      </c>
      <c r="AX431">
        <f t="shared" si="395"/>
        <v>3.0946548721734901</v>
      </c>
      <c r="AY431">
        <f t="shared" si="396"/>
        <v>1.2417530171945541</v>
      </c>
      <c r="AZ431" t="str">
        <f t="shared" si="372"/>
        <v>1+99.5735076574807i</v>
      </c>
      <c r="BA431">
        <f t="shared" si="397"/>
        <v>99.578528946828527</v>
      </c>
      <c r="BB431">
        <f t="shared" si="398"/>
        <v>1.5607538325002981</v>
      </c>
      <c r="BC431" s="41" t="str">
        <f t="shared" si="399"/>
        <v>-0.058363906028643+0.176709926254207i</v>
      </c>
      <c r="BD431">
        <f t="shared" si="400"/>
        <v>-14.605131028087879</v>
      </c>
      <c r="BE431" s="43">
        <f t="shared" si="401"/>
        <v>108.27740037825144</v>
      </c>
      <c r="BF431" s="41" t="str">
        <f t="shared" si="402"/>
        <v>0.0713223908681524-0.0296111243360803i</v>
      </c>
      <c r="BG431" s="20">
        <f t="shared" si="403"/>
        <v>-22.244840569207799</v>
      </c>
      <c r="BH431" s="43">
        <f t="shared" si="404"/>
        <v>-22.546900827116549</v>
      </c>
      <c r="BI431" s="41" t="str">
        <f t="shared" si="357"/>
        <v>0.104048527896733+0.28718286395291i</v>
      </c>
      <c r="BJ431" s="20">
        <f t="shared" si="405"/>
        <v>-10.30117921001867</v>
      </c>
      <c r="BK431" s="43">
        <f t="shared" si="358"/>
        <v>70.084164422474799</v>
      </c>
      <c r="BL431">
        <f t="shared" si="406"/>
        <v>-22.244840569207799</v>
      </c>
      <c r="BM431" s="43">
        <f t="shared" si="407"/>
        <v>-22.546900827116549</v>
      </c>
    </row>
    <row r="432" spans="14:65" x14ac:dyDescent="0.25">
      <c r="N432" s="9">
        <v>14</v>
      </c>
      <c r="O432" s="34">
        <f t="shared" si="408"/>
        <v>138038.42646028858</v>
      </c>
      <c r="P432" s="33" t="str">
        <f t="shared" si="360"/>
        <v>19.1021967526266</v>
      </c>
      <c r="Q432" s="4" t="str">
        <f t="shared" si="361"/>
        <v>1+194.67090548801i</v>
      </c>
      <c r="R432" s="4">
        <f t="shared" si="373"/>
        <v>194.67347390829013</v>
      </c>
      <c r="S432" s="4">
        <f t="shared" si="374"/>
        <v>1.5656594975301121</v>
      </c>
      <c r="T432" s="4" t="str">
        <f t="shared" si="362"/>
        <v>1+3.26112700873514i</v>
      </c>
      <c r="U432" s="4">
        <f t="shared" si="375"/>
        <v>3.4110041581771489</v>
      </c>
      <c r="V432" s="4">
        <f t="shared" si="376"/>
        <v>1.2732567303953897</v>
      </c>
      <c r="W432" t="str">
        <f t="shared" si="363"/>
        <v>1-1.80691877700307i</v>
      </c>
      <c r="X432" s="4">
        <f t="shared" si="377"/>
        <v>2.0651768608732453</v>
      </c>
      <c r="Y432" s="4">
        <f t="shared" si="378"/>
        <v>-1.065324829120498</v>
      </c>
      <c r="Z432" t="str">
        <f t="shared" si="364"/>
        <v>0.980945392820368+1.34434757009029i</v>
      </c>
      <c r="AA432" s="4">
        <f t="shared" si="379"/>
        <v>1.6641887672085678</v>
      </c>
      <c r="AB432" s="4">
        <f t="shared" si="380"/>
        <v>0.94042645421435267</v>
      </c>
      <c r="AC432" s="47" t="str">
        <f t="shared" si="381"/>
        <v>-0.276165043210171-0.310238428052899i</v>
      </c>
      <c r="AD432" s="20">
        <f t="shared" si="382"/>
        <v>-7.6317310393259756</v>
      </c>
      <c r="AE432" s="43">
        <f t="shared" si="383"/>
        <v>-131.67452776280172</v>
      </c>
      <c r="AF432" t="str">
        <f t="shared" si="365"/>
        <v>69.5520360182888</v>
      </c>
      <c r="AG432" t="str">
        <f t="shared" si="366"/>
        <v>1+155.291762320721i</v>
      </c>
      <c r="AH432">
        <f t="shared" si="384"/>
        <v>155.29498203314654</v>
      </c>
      <c r="AI432">
        <f t="shared" si="385"/>
        <v>1.5643569241952409</v>
      </c>
      <c r="AJ432" t="str">
        <f t="shared" si="367"/>
        <v>1+3.26112700873514i</v>
      </c>
      <c r="AK432">
        <f t="shared" si="386"/>
        <v>3.4110041581771489</v>
      </c>
      <c r="AL432">
        <f t="shared" si="387"/>
        <v>1.2732567303953897</v>
      </c>
      <c r="AM432" t="str">
        <f t="shared" si="368"/>
        <v>1-0.395876069497693i</v>
      </c>
      <c r="AN432">
        <f t="shared" si="388"/>
        <v>1.0755081879748485</v>
      </c>
      <c r="AO432">
        <f t="shared" si="389"/>
        <v>-0.37694621692243158</v>
      </c>
      <c r="AP432" s="41" t="str">
        <f t="shared" si="390"/>
        <v>1.28984191485376-1.01778754549441i</v>
      </c>
      <c r="AQ432">
        <f t="shared" si="391"/>
        <v>4.3129678967238725</v>
      </c>
      <c r="AR432" s="43">
        <f t="shared" si="392"/>
        <v>-38.276239853249777</v>
      </c>
      <c r="AS432" t="str">
        <f t="shared" si="369"/>
        <v>-0.0000166666666666667</v>
      </c>
      <c r="AT432" t="str">
        <f t="shared" si="370"/>
        <v>0.00294889144406902i</v>
      </c>
      <c r="AU432">
        <f t="shared" si="393"/>
        <v>2.9488914440690202E-3</v>
      </c>
      <c r="AV432">
        <f t="shared" si="394"/>
        <v>1.5707963267948966</v>
      </c>
      <c r="AW432" t="str">
        <f t="shared" si="371"/>
        <v>1+2.99684919419747i</v>
      </c>
      <c r="AX432">
        <f t="shared" si="395"/>
        <v>3.1592887004454067</v>
      </c>
      <c r="AY432">
        <f t="shared" si="396"/>
        <v>1.2487303937193563</v>
      </c>
      <c r="AZ432" t="str">
        <f t="shared" si="372"/>
        <v>1+101.892872602714i</v>
      </c>
      <c r="BA432">
        <f t="shared" si="397"/>
        <v>101.89777959913016</v>
      </c>
      <c r="BB432">
        <f t="shared" si="398"/>
        <v>1.5609824127305665</v>
      </c>
      <c r="BC432" s="41" t="str">
        <f t="shared" si="399"/>
        <v>-0.0560002756692271+0.173476222386682i</v>
      </c>
      <c r="BD432">
        <f t="shared" si="400"/>
        <v>-14.784692586872064</v>
      </c>
      <c r="BE432" s="43">
        <f t="shared" si="401"/>
        <v>107.89072283378106</v>
      </c>
      <c r="BF432" s="41" t="str">
        <f t="shared" si="402"/>
        <v>0.0692843090877729-0.0305346309572052i</v>
      </c>
      <c r="BG432" s="20">
        <f t="shared" si="403"/>
        <v>-22.416423626198046</v>
      </c>
      <c r="BH432" s="43">
        <f t="shared" si="404"/>
        <v>-23.783804929020611</v>
      </c>
      <c r="BI432" s="41" t="str">
        <f t="shared" si="357"/>
        <v>0.104330435783049+0.280753285985228i</v>
      </c>
      <c r="BJ432" s="20">
        <f t="shared" si="405"/>
        <v>-10.47172469014818</v>
      </c>
      <c r="BK432" s="43">
        <f t="shared" si="358"/>
        <v>69.614482980531349</v>
      </c>
      <c r="BL432">
        <f t="shared" si="406"/>
        <v>-22.416423626198046</v>
      </c>
      <c r="BM432" s="43">
        <f t="shared" si="407"/>
        <v>-23.783804929020611</v>
      </c>
    </row>
    <row r="433" spans="14:65" x14ac:dyDescent="0.25">
      <c r="N433" s="9">
        <v>15</v>
      </c>
      <c r="O433" s="34">
        <f t="shared" si="408"/>
        <v>141253.75446227577</v>
      </c>
      <c r="P433" s="33" t="str">
        <f t="shared" si="360"/>
        <v>19.1021967526266</v>
      </c>
      <c r="Q433" s="4" t="str">
        <f t="shared" si="361"/>
        <v>1+199.20537338683i</v>
      </c>
      <c r="R433" s="4">
        <f t="shared" si="373"/>
        <v>199.20788334347202</v>
      </c>
      <c r="S433" s="4">
        <f t="shared" si="374"/>
        <v>1.565776424052433</v>
      </c>
      <c r="T433" s="4" t="str">
        <f t="shared" si="362"/>
        <v>1+3.33708841497617i</v>
      </c>
      <c r="U433" s="4">
        <f t="shared" si="375"/>
        <v>3.4836990526404787</v>
      </c>
      <c r="V433" s="4">
        <f t="shared" si="376"/>
        <v>1.2796492648085984</v>
      </c>
      <c r="W433" t="str">
        <f t="shared" si="363"/>
        <v>1-1.84900732212776i</v>
      </c>
      <c r="X433" s="4">
        <f t="shared" si="377"/>
        <v>2.1021008722899266</v>
      </c>
      <c r="Y433" s="4">
        <f t="shared" si="378"/>
        <v>-1.0750200992697843</v>
      </c>
      <c r="Z433" t="str">
        <f t="shared" si="364"/>
        <v>0.980047376850311+1.37566144766305i</v>
      </c>
      <c r="AA433" s="4">
        <f t="shared" si="379"/>
        <v>1.6890640246768547</v>
      </c>
      <c r="AB433" s="4">
        <f t="shared" si="380"/>
        <v>0.95178398848659806</v>
      </c>
      <c r="AC433" s="47" t="str">
        <f t="shared" si="381"/>
        <v>-0.280985235566631-0.306413893947196i</v>
      </c>
      <c r="AD433" s="20">
        <f t="shared" si="382"/>
        <v>-7.6235027222881167</v>
      </c>
      <c r="AE433" s="43">
        <f t="shared" si="383"/>
        <v>-132.52119875704292</v>
      </c>
      <c r="AF433" t="str">
        <f t="shared" si="365"/>
        <v>69.5520360182888</v>
      </c>
      <c r="AG433" t="str">
        <f t="shared" si="366"/>
        <v>1+158.908972141723i</v>
      </c>
      <c r="AH433">
        <f t="shared" si="384"/>
        <v>158.91211856601402</v>
      </c>
      <c r="AI433">
        <f t="shared" si="385"/>
        <v>1.564503498979112</v>
      </c>
      <c r="AJ433" t="str">
        <f t="shared" si="367"/>
        <v>1+3.33708841497617i</v>
      </c>
      <c r="AK433">
        <f t="shared" si="386"/>
        <v>3.4836990526404787</v>
      </c>
      <c r="AL433">
        <f t="shared" si="387"/>
        <v>1.2796492648085984</v>
      </c>
      <c r="AM433" t="str">
        <f t="shared" si="368"/>
        <v>1-0.405097207728639i</v>
      </c>
      <c r="AN433">
        <f t="shared" si="388"/>
        <v>1.0789363965079406</v>
      </c>
      <c r="AO433">
        <f t="shared" si="389"/>
        <v>-0.38489278372208863</v>
      </c>
      <c r="AP433" s="41" t="str">
        <f t="shared" si="390"/>
        <v>1.2897145204741-1.02125075300768i</v>
      </c>
      <c r="AQ433">
        <f t="shared" si="391"/>
        <v>4.3237860861849144</v>
      </c>
      <c r="AR433" s="43">
        <f t="shared" si="392"/>
        <v>-38.373677466718888</v>
      </c>
      <c r="AS433" t="str">
        <f t="shared" si="369"/>
        <v>-0.0000166666666666667</v>
      </c>
      <c r="AT433" t="str">
        <f t="shared" si="370"/>
        <v>0.0030175799497125i</v>
      </c>
      <c r="AU433">
        <f t="shared" si="393"/>
        <v>3.0175799497124999E-3</v>
      </c>
      <c r="AV433">
        <f t="shared" si="394"/>
        <v>1.5707963267948966</v>
      </c>
      <c r="AW433" t="str">
        <f t="shared" si="371"/>
        <v>1+3.0666547793445i</v>
      </c>
      <c r="AX433">
        <f t="shared" si="395"/>
        <v>3.2255808059443281</v>
      </c>
      <c r="AY433">
        <f t="shared" si="396"/>
        <v>1.2555804845166936</v>
      </c>
      <c r="AZ433" t="str">
        <f t="shared" si="372"/>
        <v>1+104.266262497713i</v>
      </c>
      <c r="BA433">
        <f t="shared" si="397"/>
        <v>104.27105780245058</v>
      </c>
      <c r="BB433">
        <f t="shared" si="398"/>
        <v>1.5612057908305534</v>
      </c>
      <c r="BC433" s="41" t="str">
        <f t="shared" si="399"/>
        <v>-0.0537220950599069+0.17027030932803i</v>
      </c>
      <c r="BD433">
        <f t="shared" si="400"/>
        <v>-14.965083651067069</v>
      </c>
      <c r="BE433" s="43">
        <f t="shared" si="401"/>
        <v>107.51104016417715</v>
      </c>
      <c r="BF433" s="41" t="str">
        <f t="shared" si="402"/>
        <v>0.0672683040403361-0.0313822466382322i</v>
      </c>
      <c r="BG433" s="20">
        <f t="shared" si="403"/>
        <v>-22.588586373355184</v>
      </c>
      <c r="BH433" s="43">
        <f t="shared" si="404"/>
        <v>-25.010158592865835</v>
      </c>
      <c r="BI433" s="41" t="str">
        <f t="shared" si="357"/>
        <v>0.104602515547049+0.274463820379057i</v>
      </c>
      <c r="BJ433" s="20">
        <f t="shared" si="405"/>
        <v>-10.641297564882159</v>
      </c>
      <c r="BK433" s="43">
        <f t="shared" si="358"/>
        <v>69.137362697458343</v>
      </c>
      <c r="BL433">
        <f t="shared" si="406"/>
        <v>-22.588586373355184</v>
      </c>
      <c r="BM433" s="43">
        <f t="shared" si="407"/>
        <v>-25.010158592865835</v>
      </c>
    </row>
    <row r="434" spans="14:65" x14ac:dyDescent="0.25">
      <c r="N434" s="9">
        <v>16</v>
      </c>
      <c r="O434" s="34">
        <f t="shared" si="408"/>
        <v>144543.97707459307</v>
      </c>
      <c r="P434" s="33" t="str">
        <f t="shared" si="360"/>
        <v>19.1021967526266</v>
      </c>
      <c r="Q434" s="4" t="str">
        <f t="shared" si="361"/>
        <v>1+203.845462611414i</v>
      </c>
      <c r="R434" s="4">
        <f t="shared" si="373"/>
        <v>203.84791543516303</v>
      </c>
      <c r="S434" s="4">
        <f t="shared" si="374"/>
        <v>1.5658906891347977</v>
      </c>
      <c r="T434" s="4" t="str">
        <f t="shared" si="362"/>
        <v>1+3.41481918966641i</v>
      </c>
      <c r="U434" s="4">
        <f t="shared" si="375"/>
        <v>3.5582285056069622</v>
      </c>
      <c r="V434" s="4">
        <f t="shared" si="376"/>
        <v>1.28592004210545</v>
      </c>
      <c r="W434" t="str">
        <f t="shared" si="363"/>
        <v>1-1.89207623540914i</v>
      </c>
      <c r="X434" s="4">
        <f t="shared" si="377"/>
        <v>2.1400823536957692</v>
      </c>
      <c r="Y434" s="4">
        <f t="shared" si="378"/>
        <v>-1.084593946866766</v>
      </c>
      <c r="Z434" t="str">
        <f t="shared" si="364"/>
        <v>0.97910703869146+1.4077047191444i</v>
      </c>
      <c r="AA434" s="4">
        <f t="shared" si="379"/>
        <v>1.7147253918679148</v>
      </c>
      <c r="AB434" s="4">
        <f t="shared" si="380"/>
        <v>0.96307371004228193</v>
      </c>
      <c r="AC434" s="47" t="str">
        <f t="shared" si="381"/>
        <v>-0.28573859222309-0.302542216348035i</v>
      </c>
      <c r="AD434" s="20">
        <f t="shared" si="382"/>
        <v>-7.6150643823698836</v>
      </c>
      <c r="AE434" s="43">
        <f t="shared" si="383"/>
        <v>-133.36385104865911</v>
      </c>
      <c r="AF434" t="str">
        <f t="shared" si="365"/>
        <v>69.5520360182888</v>
      </c>
      <c r="AG434" t="str">
        <f t="shared" si="366"/>
        <v>1+162.610437603163i</v>
      </c>
      <c r="AH434">
        <f t="shared" si="384"/>
        <v>162.61351240746316</v>
      </c>
      <c r="AI434">
        <f t="shared" si="385"/>
        <v>1.5646467375748445</v>
      </c>
      <c r="AJ434" t="str">
        <f t="shared" si="367"/>
        <v>1+3.41481918966641i</v>
      </c>
      <c r="AK434">
        <f t="shared" si="386"/>
        <v>3.5582285056069622</v>
      </c>
      <c r="AL434">
        <f t="shared" si="387"/>
        <v>1.28592004210545</v>
      </c>
      <c r="AM434" t="str">
        <f t="shared" si="368"/>
        <v>1-0.414533133861217i</v>
      </c>
      <c r="AN434">
        <f t="shared" si="388"/>
        <v>1.0825145352690659</v>
      </c>
      <c r="AO434">
        <f t="shared" si="389"/>
        <v>-0.39297182220343901</v>
      </c>
      <c r="AP434" s="41" t="str">
        <f t="shared" si="390"/>
        <v>1.28959285934215-1.02525536900842i</v>
      </c>
      <c r="AQ434">
        <f t="shared" si="391"/>
        <v>4.3364157647288755</v>
      </c>
      <c r="AR434" s="43">
        <f t="shared" si="392"/>
        <v>-38.485490167846763</v>
      </c>
      <c r="AS434" t="str">
        <f t="shared" si="369"/>
        <v>-0.0000166666666666667</v>
      </c>
      <c r="AT434" t="str">
        <f t="shared" si="370"/>
        <v>0.00308786841618771i</v>
      </c>
      <c r="AU434">
        <f t="shared" si="393"/>
        <v>3.0878684161877099E-3</v>
      </c>
      <c r="AV434">
        <f t="shared" si="394"/>
        <v>1.5707963267948966</v>
      </c>
      <c r="AW434" t="str">
        <f t="shared" si="371"/>
        <v>1+3.13808634544751i</v>
      </c>
      <c r="AX434">
        <f t="shared" si="395"/>
        <v>3.293567353415459</v>
      </c>
      <c r="AY434">
        <f t="shared" si="396"/>
        <v>1.2623043492665362</v>
      </c>
      <c r="AZ434" t="str">
        <f t="shared" si="372"/>
        <v>1+106.694935745215i</v>
      </c>
      <c r="BA434">
        <f t="shared" si="397"/>
        <v>106.6996219003402</v>
      </c>
      <c r="BB434">
        <f t="shared" si="398"/>
        <v>1.5614240851490642</v>
      </c>
      <c r="BC434" s="41" t="str">
        <f t="shared" si="399"/>
        <v>-0.0515270993232196+0.167093953414842i</v>
      </c>
      <c r="BD434">
        <f t="shared" si="400"/>
        <v>-15.146274090076266</v>
      </c>
      <c r="BE434" s="43">
        <f t="shared" si="401"/>
        <v>107.13829843513666</v>
      </c>
      <c r="BF434" s="41" t="str">
        <f t="shared" si="402"/>
        <v>0.0652762558264377-0.0321560681865153i</v>
      </c>
      <c r="BG434" s="20">
        <f t="shared" si="403"/>
        <v>-22.761338472446155</v>
      </c>
      <c r="BH434" s="43">
        <f t="shared" si="404"/>
        <v>-26.225552613522414</v>
      </c>
      <c r="BI434" s="41" t="str">
        <f t="shared" ref="BI434:BI497" si="409">IMPRODUCT(AP434,BC434)</f>
        <v>0.104864993517572+0.268311604393591i</v>
      </c>
      <c r="BJ434" s="20">
        <f t="shared" si="405"/>
        <v>-10.809858325347392</v>
      </c>
      <c r="BK434" s="43">
        <f t="shared" ref="BK434:BK497" si="410">(180/PI())*IMARGUMENT(BI434)</f>
        <v>68.652808267289871</v>
      </c>
      <c r="BL434">
        <f t="shared" si="406"/>
        <v>-22.761338472446155</v>
      </c>
      <c r="BM434" s="43">
        <f t="shared" si="407"/>
        <v>-26.225552613522414</v>
      </c>
    </row>
    <row r="435" spans="14:65" x14ac:dyDescent="0.25">
      <c r="N435" s="9">
        <v>17</v>
      </c>
      <c r="O435" s="34">
        <f t="shared" si="408"/>
        <v>147910.83881682079</v>
      </c>
      <c r="P435" s="33" t="str">
        <f t="shared" si="360"/>
        <v>19.1021967526266</v>
      </c>
      <c r="Q435" s="4" t="str">
        <f t="shared" si="361"/>
        <v>1+208.593633398488i</v>
      </c>
      <c r="R435" s="4">
        <f t="shared" si="373"/>
        <v>208.59603038980111</v>
      </c>
      <c r="S435" s="4">
        <f t="shared" si="374"/>
        <v>1.5660023533501233</v>
      </c>
      <c r="T435" s="4" t="str">
        <f t="shared" si="362"/>
        <v>1+3.49436054669147i</v>
      </c>
      <c r="U435" s="4">
        <f t="shared" si="375"/>
        <v>3.634632805425317</v>
      </c>
      <c r="V435" s="4">
        <f t="shared" si="376"/>
        <v>1.2920704137213559</v>
      </c>
      <c r="W435" t="str">
        <f t="shared" si="363"/>
        <v>1-1.93614835255512i</v>
      </c>
      <c r="X435" s="4">
        <f t="shared" si="377"/>
        <v>2.1791444291514748</v>
      </c>
      <c r="Y435" s="4">
        <f t="shared" si="378"/>
        <v>-1.0940444270771601</v>
      </c>
      <c r="Z435" t="str">
        <f t="shared" si="364"/>
        <v>0.978122383760505+1.44049437430101i</v>
      </c>
      <c r="AA435" s="4">
        <f t="shared" si="379"/>
        <v>1.7411913852320171</v>
      </c>
      <c r="AB435" s="4">
        <f t="shared" si="380"/>
        <v>0.9742911061725873</v>
      </c>
      <c r="AC435" s="47" t="str">
        <f t="shared" si="381"/>
        <v>-0.290421569348513-0.298625772315413i</v>
      </c>
      <c r="AD435" s="20">
        <f t="shared" si="382"/>
        <v>-7.6064535562635891</v>
      </c>
      <c r="AE435" s="43">
        <f t="shared" si="383"/>
        <v>-134.20204068671197</v>
      </c>
      <c r="AF435" t="str">
        <f t="shared" si="365"/>
        <v>69.5520360182888</v>
      </c>
      <c r="AG435" t="str">
        <f t="shared" si="366"/>
        <v>1+166.398121271023i</v>
      </c>
      <c r="AH435">
        <f t="shared" si="384"/>
        <v>166.40112608551084</v>
      </c>
      <c r="AI435">
        <f t="shared" si="385"/>
        <v>1.5647867159059135</v>
      </c>
      <c r="AJ435" t="str">
        <f t="shared" si="367"/>
        <v>1+3.49436054669147i</v>
      </c>
      <c r="AK435">
        <f t="shared" si="386"/>
        <v>3.634632805425317</v>
      </c>
      <c r="AL435">
        <f t="shared" si="387"/>
        <v>1.2920704137213559</v>
      </c>
      <c r="AM435" t="str">
        <f t="shared" si="368"/>
        <v>1-0.424188850948362i</v>
      </c>
      <c r="AN435">
        <f t="shared" si="388"/>
        <v>1.0862486737708321</v>
      </c>
      <c r="AO435">
        <f t="shared" si="389"/>
        <v>-0.4011833963270674</v>
      </c>
      <c r="AP435" s="41" t="str">
        <f t="shared" si="390"/>
        <v>1.2894766734583-1.02980352161437i</v>
      </c>
      <c r="AQ435">
        <f t="shared" si="391"/>
        <v>4.3508677624358665</v>
      </c>
      <c r="AR435" s="43">
        <f t="shared" si="392"/>
        <v>-38.611608539854693</v>
      </c>
      <c r="AS435" t="str">
        <f t="shared" si="369"/>
        <v>-0.0000166666666666667</v>
      </c>
      <c r="AT435" t="str">
        <f t="shared" si="370"/>
        <v>0.00315979411136995i</v>
      </c>
      <c r="AU435">
        <f t="shared" si="393"/>
        <v>3.1597941113699502E-3</v>
      </c>
      <c r="AV435">
        <f t="shared" si="394"/>
        <v>1.5707963267948966</v>
      </c>
      <c r="AW435" t="str">
        <f t="shared" si="371"/>
        <v>1+3.21118176646835i</v>
      </c>
      <c r="AX435">
        <f t="shared" si="395"/>
        <v>3.3632853487771137</v>
      </c>
      <c r="AY435">
        <f t="shared" si="396"/>
        <v>1.2689031202973362</v>
      </c>
      <c r="AZ435" t="str">
        <f t="shared" si="372"/>
        <v>1+109.180180059924i</v>
      </c>
      <c r="BA435">
        <f t="shared" si="397"/>
        <v>109.18475954966162</v>
      </c>
      <c r="BB435">
        <f t="shared" si="398"/>
        <v>1.5616374113453704</v>
      </c>
      <c r="BC435" s="41" t="str">
        <f t="shared" si="399"/>
        <v>-0.0494130159894134+0.163948781239742i</v>
      </c>
      <c r="BD435">
        <f t="shared" si="400"/>
        <v>-15.328234583487577</v>
      </c>
      <c r="BE435" s="43">
        <f t="shared" si="401"/>
        <v>106.77243939580667</v>
      </c>
      <c r="BF435" s="41" t="str">
        <f t="shared" si="402"/>
        <v>0.0633099370677773-0.0328582622781495i</v>
      </c>
      <c r="BG435" s="20">
        <f t="shared" si="403"/>
        <v>-22.934688139751159</v>
      </c>
      <c r="BH435" s="43">
        <f t="shared" si="404"/>
        <v>-27.429601290905296</v>
      </c>
      <c r="BI435" s="41" t="str">
        <f t="shared" si="409"/>
        <v>0.1051181008015+0.26229382693005i</v>
      </c>
      <c r="BJ435" s="20">
        <f t="shared" si="405"/>
        <v>-10.977366821051708</v>
      </c>
      <c r="BK435" s="43">
        <f t="shared" si="410"/>
        <v>68.1608308559519</v>
      </c>
      <c r="BL435">
        <f t="shared" si="406"/>
        <v>-22.934688139751159</v>
      </c>
      <c r="BM435" s="43">
        <f t="shared" si="407"/>
        <v>-27.429601290905296</v>
      </c>
    </row>
    <row r="436" spans="14:65" x14ac:dyDescent="0.25">
      <c r="N436" s="9">
        <v>18</v>
      </c>
      <c r="O436" s="34">
        <f t="shared" si="408"/>
        <v>151356.12484362084</v>
      </c>
      <c r="P436" s="33" t="str">
        <f t="shared" si="360"/>
        <v>19.1021967526266</v>
      </c>
      <c r="Q436" s="4" t="str">
        <f t="shared" si="361"/>
        <v>1+213.452403291054i</v>
      </c>
      <c r="R436" s="4">
        <f t="shared" si="373"/>
        <v>213.45474572078916</v>
      </c>
      <c r="S436" s="4">
        <f t="shared" si="374"/>
        <v>1.5661114758931098</v>
      </c>
      <c r="T436" s="4" t="str">
        <f t="shared" si="362"/>
        <v>1+3.57575465993173i</v>
      </c>
      <c r="U436" s="4">
        <f t="shared" si="375"/>
        <v>3.7129531895815067</v>
      </c>
      <c r="V436" s="4">
        <f t="shared" si="376"/>
        <v>1.2981017787434175</v>
      </c>
      <c r="W436" t="str">
        <f t="shared" si="363"/>
        <v>1-1.98124704118558i</v>
      </c>
      <c r="X436" s="4">
        <f t="shared" si="377"/>
        <v>2.2193106673484486</v>
      </c>
      <c r="Y436" s="4">
        <f t="shared" si="378"/>
        <v>-1.1033697975097565</v>
      </c>
      <c r="Z436" t="str">
        <f t="shared" si="364"/>
        <v>0.977091323472322+1.47404779864207i</v>
      </c>
      <c r="AA436" s="4">
        <f t="shared" si="379"/>
        <v>1.7684808076669722</v>
      </c>
      <c r="AB436" s="4">
        <f t="shared" si="380"/>
        <v>0.98543185494406893</v>
      </c>
      <c r="AC436" s="47" t="str">
        <f t="shared" si="381"/>
        <v>-0.295030868893699-0.294667108100702i</v>
      </c>
      <c r="AD436" s="20">
        <f t="shared" si="382"/>
        <v>-7.5977055461066021</v>
      </c>
      <c r="AE436" s="43">
        <f t="shared" si="383"/>
        <v>-135.03534344081308</v>
      </c>
      <c r="AF436" t="str">
        <f t="shared" si="365"/>
        <v>69.5520360182888</v>
      </c>
      <c r="AG436" t="str">
        <f t="shared" si="366"/>
        <v>1+170.274031425321i</v>
      </c>
      <c r="AH436">
        <f t="shared" si="384"/>
        <v>170.27696784307386</v>
      </c>
      <c r="AI436">
        <f t="shared" si="385"/>
        <v>1.5649235081687285</v>
      </c>
      <c r="AJ436" t="str">
        <f t="shared" si="367"/>
        <v>1+3.57575465993173i</v>
      </c>
      <c r="AK436">
        <f t="shared" si="386"/>
        <v>3.7129531895815067</v>
      </c>
      <c r="AL436">
        <f t="shared" si="387"/>
        <v>1.2981017787434175</v>
      </c>
      <c r="AM436" t="str">
        <f t="shared" si="368"/>
        <v>1-0.434069478579084i</v>
      </c>
      <c r="AN436">
        <f t="shared" si="388"/>
        <v>1.090145087698843</v>
      </c>
      <c r="AO436">
        <f t="shared" si="389"/>
        <v>-0.40952742927947233</v>
      </c>
      <c r="AP436" s="41" t="str">
        <f t="shared" si="390"/>
        <v>1.28936571643142-1.03489762681206i</v>
      </c>
      <c r="AQ436">
        <f t="shared" si="391"/>
        <v>4.3671543174169489</v>
      </c>
      <c r="AR436" s="43">
        <f t="shared" si="392"/>
        <v>-38.751952271007958</v>
      </c>
      <c r="AS436" t="str">
        <f t="shared" si="369"/>
        <v>-0.0000166666666666667</v>
      </c>
      <c r="AT436" t="str">
        <f t="shared" si="370"/>
        <v>0.00323339517121486i</v>
      </c>
      <c r="AU436">
        <f t="shared" si="393"/>
        <v>3.23339517121486E-3</v>
      </c>
      <c r="AV436">
        <f t="shared" si="394"/>
        <v>1.5707963267948966</v>
      </c>
      <c r="AW436" t="str">
        <f t="shared" si="371"/>
        <v>1+3.2859797985668i</v>
      </c>
      <c r="AX436">
        <f t="shared" si="395"/>
        <v>3.4347726615584193</v>
      </c>
      <c r="AY436">
        <f t="shared" si="396"/>
        <v>1.2753779968616308</v>
      </c>
      <c r="AZ436" t="str">
        <f t="shared" si="372"/>
        <v>1+111.723313151271i</v>
      </c>
      <c r="BA436">
        <f t="shared" si="397"/>
        <v>111.72778840331962</v>
      </c>
      <c r="BB436">
        <f t="shared" si="398"/>
        <v>1.5618458824501358</v>
      </c>
      <c r="BC436" s="41" t="str">
        <f t="shared" si="399"/>
        <v>-0.0473775717673221+0.16083628432663i</v>
      </c>
      <c r="BD436">
        <f t="shared" si="400"/>
        <v>-15.51093662264333</v>
      </c>
      <c r="BE436" s="43">
        <f t="shared" si="401"/>
        <v>106.41340081025787</v>
      </c>
      <c r="BF436" s="41" t="str">
        <f t="shared" si="402"/>
        <v>0.0613710089447769-0.0334910566530094i</v>
      </c>
      <c r="BG436" s="20">
        <f t="shared" si="403"/>
        <v>-23.108642168749935</v>
      </c>
      <c r="BH436" s="43">
        <f t="shared" si="404"/>
        <v>-28.621942630555239</v>
      </c>
      <c r="BI436" s="41" t="str">
        <f t="shared" si="409"/>
        <v>0.105362072190345+0.256407727555093i</v>
      </c>
      <c r="BJ436" s="20">
        <f t="shared" si="405"/>
        <v>-11.143782305226368</v>
      </c>
      <c r="BK436" s="43">
        <f t="shared" si="410"/>
        <v>67.661448539249903</v>
      </c>
      <c r="BL436">
        <f t="shared" si="406"/>
        <v>-23.108642168749935</v>
      </c>
      <c r="BM436" s="43">
        <f t="shared" si="407"/>
        <v>-28.621942630555239</v>
      </c>
    </row>
    <row r="437" spans="14:65" x14ac:dyDescent="0.25">
      <c r="N437" s="9">
        <v>19</v>
      </c>
      <c r="O437" s="34">
        <f t="shared" si="408"/>
        <v>154881.66189124843</v>
      </c>
      <c r="P437" s="33" t="str">
        <f t="shared" si="360"/>
        <v>19.1021967526266</v>
      </c>
      <c r="Q437" s="4" t="str">
        <f t="shared" si="361"/>
        <v>1+218.424348473221i</v>
      </c>
      <c r="R437" s="4">
        <f t="shared" si="373"/>
        <v>218.42663758331096</v>
      </c>
      <c r="S437" s="4">
        <f t="shared" si="374"/>
        <v>1.566218114611573</v>
      </c>
      <c r="T437" s="4" t="str">
        <f t="shared" si="362"/>
        <v>1+3.6590446856234i</v>
      </c>
      <c r="U437" s="4">
        <f t="shared" si="375"/>
        <v>3.7932318689198063</v>
      </c>
      <c r="V437" s="4">
        <f t="shared" si="376"/>
        <v>1.3040155791510153</v>
      </c>
      <c r="W437" t="str">
        <f t="shared" si="363"/>
        <v>1-2.02739621322219i</v>
      </c>
      <c r="X437" s="4">
        <f t="shared" si="377"/>
        <v>2.2606050971781153</v>
      </c>
      <c r="Y437" s="4">
        <f t="shared" si="378"/>
        <v>-1.112568514031645</v>
      </c>
      <c r="Z437" t="str">
        <f t="shared" si="364"/>
        <v>0.976011670809805+1.50838278263731i</v>
      </c>
      <c r="AA437" s="4">
        <f t="shared" si="379"/>
        <v>1.7966127575283497</v>
      </c>
      <c r="AB437" s="4">
        <f t="shared" si="380"/>
        <v>0.99649183212600745</v>
      </c>
      <c r="AC437" s="47" t="str">
        <f t="shared" si="381"/>
        <v>-0.299563444387317-0.290668918908402i</v>
      </c>
      <c r="AD437" s="20">
        <f t="shared" si="382"/>
        <v>-7.5888534495665949</v>
      </c>
      <c r="AE437" s="43">
        <f t="shared" si="383"/>
        <v>-135.86335523275318</v>
      </c>
      <c r="AF437" t="str">
        <f t="shared" si="365"/>
        <v>69.5520360182888</v>
      </c>
      <c r="AG437" t="str">
        <f t="shared" si="366"/>
        <v>1+174.240223124924i</v>
      </c>
      <c r="AH437">
        <f t="shared" si="384"/>
        <v>174.24309270276194</v>
      </c>
      <c r="AI437">
        <f t="shared" si="385"/>
        <v>1.5650571868718688</v>
      </c>
      <c r="AJ437" t="str">
        <f t="shared" si="367"/>
        <v>1+3.6590446856234i</v>
      </c>
      <c r="AK437">
        <f t="shared" si="386"/>
        <v>3.7932318689198063</v>
      </c>
      <c r="AL437">
        <f t="shared" si="387"/>
        <v>1.3040155791510153</v>
      </c>
      <c r="AM437" t="str">
        <f t="shared" si="368"/>
        <v>1-0.444180255592939i</v>
      </c>
      <c r="AN437">
        <f t="shared" si="388"/>
        <v>1.094210262910474</v>
      </c>
      <c r="AO437">
        <f t="shared" si="389"/>
        <v>-0.41800369664087689</v>
      </c>
      <c r="AP437" s="41" t="str">
        <f t="shared" si="390"/>
        <v>1.28925975295666-1.04054038975928i</v>
      </c>
      <c r="AQ437">
        <f t="shared" si="391"/>
        <v>4.3852890258573627</v>
      </c>
      <c r="AR437" s="43">
        <f t="shared" si="392"/>
        <v>-38.906430038103586</v>
      </c>
      <c r="AS437" t="str">
        <f t="shared" si="369"/>
        <v>-0.0000166666666666667</v>
      </c>
      <c r="AT437" t="str">
        <f t="shared" si="370"/>
        <v>0.00330871061997861i</v>
      </c>
      <c r="AU437">
        <f t="shared" si="393"/>
        <v>3.30871061997861E-3</v>
      </c>
      <c r="AV437">
        <f t="shared" si="394"/>
        <v>1.5707963267948966</v>
      </c>
      <c r="AW437" t="str">
        <f t="shared" si="371"/>
        <v>1+3.36252010064954i</v>
      </c>
      <c r="AX437">
        <f t="shared" si="395"/>
        <v>3.5080680476969364</v>
      </c>
      <c r="AY437">
        <f t="shared" si="396"/>
        <v>1.2817302396094374</v>
      </c>
      <c r="AZ437" t="str">
        <f t="shared" si="372"/>
        <v>1+114.325683422084i</v>
      </c>
      <c r="BA437">
        <f t="shared" si="397"/>
        <v>114.33005680890119</v>
      </c>
      <c r="BB437">
        <f t="shared" si="398"/>
        <v>1.5620496089249765</v>
      </c>
      <c r="BC437" s="41" t="str">
        <f t="shared" si="399"/>
        <v>-0.0454184987700554+0.157757823981082i</v>
      </c>
      <c r="BD437">
        <f t="shared" si="400"/>
        <v>-15.694352509880662</v>
      </c>
      <c r="BE437" s="43">
        <f t="shared" si="401"/>
        <v>106.06111677754937</v>
      </c>
      <c r="BF437" s="41" t="str">
        <f t="shared" si="402"/>
        <v>0.059461018076382-0.0340567311948864i</v>
      </c>
      <c r="BG437" s="20">
        <f t="shared" si="403"/>
        <v>-23.283205959447262</v>
      </c>
      <c r="BH437" s="43">
        <f t="shared" si="404"/>
        <v>-29.802238455203803</v>
      </c>
      <c r="BI437" s="41" t="str">
        <f t="shared" si="409"/>
        <v>0.105597145148907+0.250650595585305i</v>
      </c>
      <c r="BJ437" s="20">
        <f t="shared" si="405"/>
        <v>-11.309063484023296</v>
      </c>
      <c r="BK437" s="43">
        <f t="shared" si="410"/>
        <v>67.154686739445779</v>
      </c>
      <c r="BL437">
        <f t="shared" si="406"/>
        <v>-23.283205959447262</v>
      </c>
      <c r="BM437" s="43">
        <f t="shared" si="407"/>
        <v>-29.802238455203803</v>
      </c>
    </row>
    <row r="438" spans="14:65" x14ac:dyDescent="0.25">
      <c r="N438" s="9">
        <v>20</v>
      </c>
      <c r="O438" s="34">
        <f t="shared" si="408"/>
        <v>158489.31924611164</v>
      </c>
      <c r="P438" s="33" t="str">
        <f t="shared" si="360"/>
        <v>19.1021967526266</v>
      </c>
      <c r="Q438" s="4" t="str">
        <f t="shared" si="361"/>
        <v>1+223.512105136136i</v>
      </c>
      <c r="R438" s="4">
        <f t="shared" si="373"/>
        <v>223.51434214024636</v>
      </c>
      <c r="S438" s="4">
        <f t="shared" si="374"/>
        <v>1.5663223260370656</v>
      </c>
      <c r="T438" s="4" t="str">
        <f t="shared" si="362"/>
        <v>1+3.74427478524055i</v>
      </c>
      <c r="U438" s="4">
        <f t="shared" si="375"/>
        <v>3.8755120522826609</v>
      </c>
      <c r="V438" s="4">
        <f t="shared" si="376"/>
        <v>1.3098132952699808</v>
      </c>
      <c r="W438" t="str">
        <f t="shared" si="363"/>
        <v>1-2.0746203375668i</v>
      </c>
      <c r="X438" s="4">
        <f t="shared" si="377"/>
        <v>2.3030522236905062</v>
      </c>
      <c r="Y438" s="4">
        <f t="shared" si="378"/>
        <v>-1.1216392260852326</v>
      </c>
      <c r="Z438" t="str">
        <f t="shared" si="364"/>
        <v>0.974881135684904+1.5435175311497i</v>
      </c>
      <c r="AA438" s="4">
        <f t="shared" si="379"/>
        <v>1.8256066382659639</v>
      </c>
      <c r="AB438" s="4">
        <f t="shared" si="380"/>
        <v>1.0074671171261957</v>
      </c>
      <c r="AC438" s="47" t="str">
        <f t="shared" si="381"/>
        <v>-0.304016504992151-0.286634028637896i</v>
      </c>
      <c r="AD438" s="20">
        <f t="shared" si="382"/>
        <v>-7.579928198164037</v>
      </c>
      <c r="AE438" s="43">
        <f t="shared" si="383"/>
        <v>-136.68569247049228</v>
      </c>
      <c r="AF438" t="str">
        <f t="shared" si="365"/>
        <v>69.5520360182888</v>
      </c>
      <c r="AG438" t="str">
        <f t="shared" si="366"/>
        <v>1+178.298799297169i</v>
      </c>
      <c r="AH438">
        <f t="shared" si="384"/>
        <v>178.30160355647999</v>
      </c>
      <c r="AI438">
        <f t="shared" si="385"/>
        <v>1.5651878228744303</v>
      </c>
      <c r="AJ438" t="str">
        <f t="shared" si="367"/>
        <v>1+3.74427478524055i</v>
      </c>
      <c r="AK438">
        <f t="shared" si="386"/>
        <v>3.8755120522826609</v>
      </c>
      <c r="AL438">
        <f t="shared" si="387"/>
        <v>1.3098132952699808</v>
      </c>
      <c r="AM438" t="str">
        <f t="shared" si="368"/>
        <v>1-0.454526542857728i</v>
      </c>
      <c r="AN438">
        <f t="shared" si="388"/>
        <v>1.0984508992950928</v>
      </c>
      <c r="AO438">
        <f t="shared" si="389"/>
        <v>-0.42661181963018158</v>
      </c>
      <c r="AP438" s="41" t="str">
        <f t="shared" si="390"/>
        <v>1.28915855831678-1.04673480623939i</v>
      </c>
      <c r="AQ438">
        <f t="shared" si="391"/>
        <v>4.4052867859060099</v>
      </c>
      <c r="AR438" s="43">
        <f t="shared" si="392"/>
        <v>-39.074939382087784</v>
      </c>
      <c r="AS438" t="str">
        <f t="shared" si="369"/>
        <v>-0.0000166666666666667</v>
      </c>
      <c r="AT438" t="str">
        <f t="shared" si="370"/>
        <v>0.00338578039090902i</v>
      </c>
      <c r="AU438">
        <f t="shared" si="393"/>
        <v>3.3857803909090201E-3</v>
      </c>
      <c r="AV438">
        <f t="shared" si="394"/>
        <v>1.5707963267948966</v>
      </c>
      <c r="AW438" t="str">
        <f t="shared" si="371"/>
        <v>1+3.44084325539785i</v>
      </c>
      <c r="AX438">
        <f t="shared" si="395"/>
        <v>3.5832111727076419</v>
      </c>
      <c r="AY438">
        <f t="shared" si="396"/>
        <v>1.2879611652657343</v>
      </c>
      <c r="AZ438" t="str">
        <f t="shared" si="372"/>
        <v>1+116.988670683527i</v>
      </c>
      <c r="BA438">
        <f t="shared" si="397"/>
        <v>116.99294452358541</v>
      </c>
      <c r="BB438">
        <f t="shared" si="398"/>
        <v>1.5622486987206827</v>
      </c>
      <c r="BC438" s="41" t="str">
        <f t="shared" si="399"/>
        <v>-0.0435335402116414+0.154714636272492i</v>
      </c>
      <c r="BD438">
        <f t="shared" si="400"/>
        <v>-15.878455355637682</v>
      </c>
      <c r="BE438" s="43">
        <f t="shared" si="401"/>
        <v>105.71551804002189</v>
      </c>
      <c r="BF438" s="41" t="str">
        <f t="shared" si="402"/>
        <v>0.0575813942291096-0.0345576089789623i</v>
      </c>
      <c r="BG438" s="20">
        <f t="shared" si="403"/>
        <v>-23.458383553801717</v>
      </c>
      <c r="BH438" s="43">
        <f t="shared" si="404"/>
        <v>-30.970174430470426</v>
      </c>
      <c r="BI438" s="41" t="str">
        <f t="shared" si="409"/>
        <v>0.105823558883419+0.245019769225898i</v>
      </c>
      <c r="BJ438" s="20">
        <f t="shared" si="405"/>
        <v>-11.473168569731673</v>
      </c>
      <c r="BK438" s="43">
        <f t="shared" si="410"/>
        <v>66.640578657934213</v>
      </c>
      <c r="BL438">
        <f t="shared" si="406"/>
        <v>-23.458383553801717</v>
      </c>
      <c r="BM438" s="43">
        <f t="shared" si="407"/>
        <v>-30.970174430470426</v>
      </c>
    </row>
    <row r="439" spans="14:65" x14ac:dyDescent="0.25">
      <c r="N439" s="9">
        <v>21</v>
      </c>
      <c r="O439" s="34">
        <f t="shared" si="408"/>
        <v>162181.00973589328</v>
      </c>
      <c r="P439" s="33" t="str">
        <f t="shared" si="360"/>
        <v>19.1021967526266</v>
      </c>
      <c r="Q439" s="4" t="str">
        <f t="shared" si="361"/>
        <v>1+228.718370875727i</v>
      </c>
      <c r="R439" s="4">
        <f t="shared" si="373"/>
        <v>228.72055695989943</v>
      </c>
      <c r="S439" s="4">
        <f t="shared" si="374"/>
        <v>1.5664241654148057</v>
      </c>
      <c r="T439" s="4" t="str">
        <f t="shared" si="362"/>
        <v>1+3.83149014891017i</v>
      </c>
      <c r="U439" s="4">
        <f t="shared" si="375"/>
        <v>3.9598379715836449</v>
      </c>
      <c r="V439" s="4">
        <f t="shared" si="376"/>
        <v>1.3154964414398755</v>
      </c>
      <c r="W439" t="str">
        <f t="shared" si="363"/>
        <v>1-2.12294445307523i</v>
      </c>
      <c r="X439" s="4">
        <f t="shared" si="377"/>
        <v>2.3466770444274792</v>
      </c>
      <c r="Y439" s="4">
        <f t="shared" si="378"/>
        <v>-1.1305807715622807</v>
      </c>
      <c r="Z439" t="str">
        <f t="shared" si="364"/>
        <v>0.973697320081046+1.57947067308797i</v>
      </c>
      <c r="AA439" s="4">
        <f t="shared" si="379"/>
        <v>1.8554821686769116</v>
      </c>
      <c r="AB439" s="4">
        <f t="shared" si="380"/>
        <v>1.0183539979378149</v>
      </c>
      <c r="AC439" s="47" t="str">
        <f t="shared" si="381"/>
        <v>-0.308387517865325-0.282565369770371i</v>
      </c>
      <c r="AD439" s="20">
        <f t="shared" si="382"/>
        <v>-7.5709586030761464</v>
      </c>
      <c r="AE439" s="43">
        <f t="shared" si="383"/>
        <v>-137.50199228786099</v>
      </c>
      <c r="AF439" t="str">
        <f t="shared" si="365"/>
        <v>69.5520360182888</v>
      </c>
      <c r="AG439" t="str">
        <f t="shared" si="366"/>
        <v>1+182.451911852866i</v>
      </c>
      <c r="AH439">
        <f t="shared" si="384"/>
        <v>182.45465228041184</v>
      </c>
      <c r="AI439">
        <f t="shared" si="385"/>
        <v>1.5653154854235056</v>
      </c>
      <c r="AJ439" t="str">
        <f t="shared" si="367"/>
        <v>1+3.83149014891017i</v>
      </c>
      <c r="AK439">
        <f t="shared" si="386"/>
        <v>3.9598379715836449</v>
      </c>
      <c r="AL439">
        <f t="shared" si="387"/>
        <v>1.3154964414398755</v>
      </c>
      <c r="AM439" t="str">
        <f t="shared" si="368"/>
        <v>1-0.465113826111909i</v>
      </c>
      <c r="AN439">
        <f t="shared" si="388"/>
        <v>1.1028739144800093</v>
      </c>
      <c r="AO439">
        <f t="shared" si="389"/>
        <v>-0.4353512584678495</v>
      </c>
      <c r="AP439" s="41" t="str">
        <f t="shared" si="390"/>
        <v>1.28906191790587-1.05348416426843i</v>
      </c>
      <c r="AQ439">
        <f t="shared" si="391"/>
        <v>4.4271637354547995</v>
      </c>
      <c r="AR439" s="43">
        <f t="shared" si="392"/>
        <v>-39.257366578171862</v>
      </c>
      <c r="AS439" t="str">
        <f t="shared" si="369"/>
        <v>-0.0000166666666666667</v>
      </c>
      <c r="AT439" t="str">
        <f t="shared" si="370"/>
        <v>0.00346464534741879i</v>
      </c>
      <c r="AU439">
        <f t="shared" si="393"/>
        <v>3.4646453474187901E-3</v>
      </c>
      <c r="AV439">
        <f t="shared" si="394"/>
        <v>1.5707963267948966</v>
      </c>
      <c r="AW439" t="str">
        <f t="shared" si="371"/>
        <v>1+3.5209907907851i</v>
      </c>
      <c r="AX439">
        <f t="shared" si="395"/>
        <v>3.6602426352351949</v>
      </c>
      <c r="AY439">
        <f t="shared" si="396"/>
        <v>1.2940721415165808</v>
      </c>
      <c r="AZ439" t="str">
        <f t="shared" si="372"/>
        <v>1+119.713686886693i</v>
      </c>
      <c r="BA439">
        <f t="shared" si="397"/>
        <v>119.71786344570792</v>
      </c>
      <c r="BB439">
        <f t="shared" si="398"/>
        <v>1.5624432573341329</v>
      </c>
      <c r="BC439" s="41" t="str">
        <f t="shared" si="399"/>
        <v>-0.0417204555929808+0.151707837108283i</v>
      </c>
      <c r="BD439">
        <f t="shared" si="400"/>
        <v>-16.0632190736086</v>
      </c>
      <c r="BE439" s="43">
        <f t="shared" si="401"/>
        <v>105.37653227956243</v>
      </c>
      <c r="BF439" s="41" t="str">
        <f t="shared" si="402"/>
        <v>0.0557334488340951-0.0349960473649215i</v>
      </c>
      <c r="BG439" s="20">
        <f t="shared" si="403"/>
        <v>-23.634177676684736</v>
      </c>
      <c r="BH439" s="43">
        <f t="shared" si="404"/>
        <v>-32.125460008298582</v>
      </c>
      <c r="BI439" s="41" t="str">
        <f t="shared" si="409"/>
        <v>0.106041553486396+0.239512634757424i</v>
      </c>
      <c r="BJ439" s="20">
        <f t="shared" si="405"/>
        <v>-11.636055338153808</v>
      </c>
      <c r="BK439" s="43">
        <f t="shared" si="410"/>
        <v>66.119165701390571</v>
      </c>
      <c r="BL439">
        <f t="shared" si="406"/>
        <v>-23.634177676684736</v>
      </c>
      <c r="BM439" s="43">
        <f t="shared" si="407"/>
        <v>-32.125460008298582</v>
      </c>
    </row>
    <row r="440" spans="14:65" x14ac:dyDescent="0.25">
      <c r="N440" s="9">
        <v>22</v>
      </c>
      <c r="O440" s="34">
        <f t="shared" si="408"/>
        <v>165958.69074375604</v>
      </c>
      <c r="P440" s="33" t="str">
        <f t="shared" si="360"/>
        <v>19.1021967526266</v>
      </c>
      <c r="Q440" s="4" t="str">
        <f t="shared" si="361"/>
        <v>1+234.045906123002i</v>
      </c>
      <c r="R440" s="4">
        <f t="shared" si="373"/>
        <v>234.04804244628298</v>
      </c>
      <c r="S440" s="4">
        <f t="shared" si="374"/>
        <v>1.5665236867329251</v>
      </c>
      <c r="T440" s="4" t="str">
        <f t="shared" si="362"/>
        <v>1+3.92073701937253i</v>
      </c>
      <c r="U440" s="4">
        <f t="shared" si="375"/>
        <v>4.0462549073282803</v>
      </c>
      <c r="V440" s="4">
        <f t="shared" si="376"/>
        <v>1.3210665618928448</v>
      </c>
      <c r="W440" t="str">
        <f t="shared" si="363"/>
        <v>1-2.17239418183319i</v>
      </c>
      <c r="X440" s="4">
        <f t="shared" si="377"/>
        <v>2.3915050661168782</v>
      </c>
      <c r="Y440" s="4">
        <f t="shared" si="378"/>
        <v>-1.1393921712893973</v>
      </c>
      <c r="Z440" t="str">
        <f t="shared" si="364"/>
        <v>0.972457712966618+1.61626127128389i</v>
      </c>
      <c r="AA440" s="4">
        <f t="shared" si="379"/>
        <v>1.8862593937633501</v>
      </c>
      <c r="AB440" s="4">
        <f t="shared" si="380"/>
        <v>1.0291489751081044</v>
      </c>
      <c r="AC440" s="47" t="str">
        <f t="shared" si="381"/>
        <v>-0.312674208882629-0.278465963556163i</v>
      </c>
      <c r="AD440" s="20">
        <f t="shared" si="382"/>
        <v>-7.5619714076507769</v>
      </c>
      <c r="AE440" s="43">
        <f t="shared" si="383"/>
        <v>-138.31191269379036</v>
      </c>
      <c r="AF440" t="str">
        <f t="shared" si="365"/>
        <v>69.5520360182888</v>
      </c>
      <c r="AG440" t="str">
        <f t="shared" si="366"/>
        <v>1+186.701762827264i</v>
      </c>
      <c r="AH440">
        <f t="shared" si="384"/>
        <v>186.70444087596826</v>
      </c>
      <c r="AI440">
        <f t="shared" si="385"/>
        <v>1.5654402421908136</v>
      </c>
      <c r="AJ440" t="str">
        <f t="shared" si="367"/>
        <v>1+3.92073701937253i</v>
      </c>
      <c r="AK440">
        <f t="shared" si="386"/>
        <v>4.0462549073282803</v>
      </c>
      <c r="AL440">
        <f t="shared" si="387"/>
        <v>1.3210665618928448</v>
      </c>
      <c r="AM440" t="str">
        <f t="shared" si="368"/>
        <v>1-0.475947718873208i</v>
      </c>
      <c r="AN440">
        <f t="shared" si="388"/>
        <v>1.1074864473665627</v>
      </c>
      <c r="AO440">
        <f t="shared" si="389"/>
        <v>-0.44422130590022474</v>
      </c>
      <c r="AP440" s="41" t="str">
        <f t="shared" si="390"/>
        <v>1.28896962677451-1.06079204585591i</v>
      </c>
      <c r="AQ440">
        <f t="shared" si="391"/>
        <v>4.4509371838681977</v>
      </c>
      <c r="AR440" s="43">
        <f t="shared" si="392"/>
        <v>-39.453586503025548</v>
      </c>
      <c r="AS440" t="str">
        <f t="shared" si="369"/>
        <v>-0.0000166666666666667</v>
      </c>
      <c r="AT440" t="str">
        <f t="shared" si="370"/>
        <v>0.00354534730475176i</v>
      </c>
      <c r="AU440">
        <f t="shared" si="393"/>
        <v>3.5453473047517602E-3</v>
      </c>
      <c r="AV440">
        <f t="shared" si="394"/>
        <v>1.5707963267948966</v>
      </c>
      <c r="AW440" t="str">
        <f t="shared" si="371"/>
        <v>1+3.60300520209548i</v>
      </c>
      <c r="AX440">
        <f t="shared" si="395"/>
        <v>3.739203991002241</v>
      </c>
      <c r="AY440">
        <f t="shared" si="396"/>
        <v>1.3000645821068848</v>
      </c>
      <c r="AZ440" t="str">
        <f t="shared" si="372"/>
        <v>1+122.502176871246i</v>
      </c>
      <c r="BA440">
        <f t="shared" si="397"/>
        <v>122.5062583633752</v>
      </c>
      <c r="BB440">
        <f t="shared" si="398"/>
        <v>1.5626333878639282</v>
      </c>
      <c r="BC440" s="41" t="str">
        <f t="shared" si="399"/>
        <v>-0.0399770253971734+0.148738427364003i</v>
      </c>
      <c r="BD440">
        <f t="shared" si="400"/>
        <v>-16.248618374128622</v>
      </c>
      <c r="BE440" s="43">
        <f t="shared" si="401"/>
        <v>105.04408440166883</v>
      </c>
      <c r="BF440" s="41" t="str">
        <f t="shared" si="402"/>
        <v>0.0539183742832874-0.0353744292091529i</v>
      </c>
      <c r="BG440" s="20">
        <f t="shared" si="403"/>
        <v>-23.810589781779399</v>
      </c>
      <c r="BH440" s="43">
        <f t="shared" si="404"/>
        <v>-33.26782829212155</v>
      </c>
      <c r="BI440" s="41" t="str">
        <f t="shared" si="409"/>
        <v>0.106251369155102+0.234126625764708i</v>
      </c>
      <c r="BJ440" s="20">
        <f t="shared" si="405"/>
        <v>-11.797681190260413</v>
      </c>
      <c r="BK440" s="43">
        <f t="shared" si="410"/>
        <v>65.590497898643235</v>
      </c>
      <c r="BL440">
        <f t="shared" si="406"/>
        <v>-23.810589781779399</v>
      </c>
      <c r="BM440" s="43">
        <f t="shared" si="407"/>
        <v>-33.26782829212155</v>
      </c>
    </row>
    <row r="441" spans="14:65" x14ac:dyDescent="0.25">
      <c r="N441" s="9">
        <v>23</v>
      </c>
      <c r="O441" s="34">
        <f t="shared" si="408"/>
        <v>169824.36524617471</v>
      </c>
      <c r="P441" s="33" t="str">
        <f t="shared" si="360"/>
        <v>19.1021967526266</v>
      </c>
      <c r="Q441" s="4" t="str">
        <f t="shared" si="361"/>
        <v>1+239.497535607667i</v>
      </c>
      <c r="R441" s="4">
        <f t="shared" si="373"/>
        <v>239.49962330272197</v>
      </c>
      <c r="S441" s="4">
        <f t="shared" si="374"/>
        <v>1.5666209427510538</v>
      </c>
      <c r="T441" s="4" t="str">
        <f t="shared" si="362"/>
        <v>1+4.01206271649963i</v>
      </c>
      <c r="U441" s="4">
        <f t="shared" si="375"/>
        <v>4.1348092145982243</v>
      </c>
      <c r="V441" s="4">
        <f t="shared" si="376"/>
        <v>1.3265252268416035</v>
      </c>
      <c r="W441" t="str">
        <f t="shared" si="363"/>
        <v>1-2.22299574274138i</v>
      </c>
      <c r="X441" s="4">
        <f t="shared" si="377"/>
        <v>2.4375623217153444</v>
      </c>
      <c r="Y441" s="4">
        <f t="shared" si="378"/>
        <v>-1.1480726231782463</v>
      </c>
      <c r="Z441" t="str">
        <f t="shared" si="364"/>
        <v>0.971159684968734+1.65390883259958i</v>
      </c>
      <c r="AA441" s="4">
        <f t="shared" si="379"/>
        <v>1.9179586961818225</v>
      </c>
      <c r="AB441" s="4">
        <f t="shared" si="380"/>
        <v>1.0398487647471739</v>
      </c>
      <c r="AC441" s="47" t="str">
        <f t="shared" si="381"/>
        <v>-0.316874561801669-0.274338900646099i</v>
      </c>
      <c r="AD441" s="20">
        <f t="shared" si="382"/>
        <v>-7.552991345854517</v>
      </c>
      <c r="AE441" s="43">
        <f t="shared" si="383"/>
        <v>-139.11513263531535</v>
      </c>
      <c r="AF441" t="str">
        <f t="shared" si="365"/>
        <v>69.5520360182888</v>
      </c>
      <c r="AG441" t="str">
        <f t="shared" si="366"/>
        <v>1+191.050605547602i</v>
      </c>
      <c r="AH441">
        <f t="shared" si="384"/>
        <v>191.05322263732012</v>
      </c>
      <c r="AI441">
        <f t="shared" si="385"/>
        <v>1.5655621593085005</v>
      </c>
      <c r="AJ441" t="str">
        <f t="shared" si="367"/>
        <v>1+4.01206271649963i</v>
      </c>
      <c r="AK441">
        <f t="shared" si="386"/>
        <v>4.1348092145982243</v>
      </c>
      <c r="AL441">
        <f t="shared" si="387"/>
        <v>1.3265252268416035</v>
      </c>
      <c r="AM441" t="str">
        <f t="shared" si="368"/>
        <v>1-0.487033965414962i</v>
      </c>
      <c r="AN441">
        <f t="shared" si="388"/>
        <v>1.1122958614810281</v>
      </c>
      <c r="AO441">
        <f t="shared" si="389"/>
        <v>-0.45322108093137964</v>
      </c>
      <c r="AP441" s="41" t="str">
        <f t="shared" si="390"/>
        <v>1.28888148919534-1.06866232892029i</v>
      </c>
      <c r="AQ441">
        <f t="shared" si="391"/>
        <v>4.4766255377429065</v>
      </c>
      <c r="AR441" s="43">
        <f t="shared" si="392"/>
        <v>-39.663462501832043</v>
      </c>
      <c r="AS441" t="str">
        <f t="shared" si="369"/>
        <v>-0.0000166666666666667</v>
      </c>
      <c r="AT441" t="str">
        <f t="shared" si="370"/>
        <v>0.00362792905215394i</v>
      </c>
      <c r="AU441">
        <f t="shared" si="393"/>
        <v>3.6279290521539398E-3</v>
      </c>
      <c r="AV441">
        <f t="shared" si="394"/>
        <v>1.5707963267948966</v>
      </c>
      <c r="AW441" t="str">
        <f t="shared" si="371"/>
        <v>1+3.68692997445539i</v>
      </c>
      <c r="AX441">
        <f t="shared" si="395"/>
        <v>3.8201377771668943</v>
      </c>
      <c r="AY441">
        <f t="shared" si="396"/>
        <v>1.3059399421513873</v>
      </c>
      <c r="AZ441" t="str">
        <f t="shared" si="372"/>
        <v>1+125.355619131483i</v>
      </c>
      <c r="BA441">
        <f t="shared" si="397"/>
        <v>125.35960772049913</v>
      </c>
      <c r="BB441">
        <f t="shared" si="398"/>
        <v>1.5628191910647755</v>
      </c>
      <c r="BC441" s="41" t="str">
        <f t="shared" si="399"/>
        <v>-0.0383010553156399+0.145807298036612i</v>
      </c>
      <c r="BD441">
        <f t="shared" si="400"/>
        <v>-16.434628755961118</v>
      </c>
      <c r="BE441" s="43">
        <f t="shared" si="401"/>
        <v>104.71809680722765</v>
      </c>
      <c r="BF441" s="41" t="str">
        <f t="shared" si="402"/>
        <v>0.0521372439692271-0.0356951542639587i</v>
      </c>
      <c r="BG441" s="20">
        <f t="shared" si="403"/>
        <v>-23.987620101815637</v>
      </c>
      <c r="BH441" s="43">
        <f t="shared" si="404"/>
        <v>-34.397035828087716</v>
      </c>
      <c r="BI441" s="41" t="str">
        <f t="shared" si="409"/>
        <v>0.106453245480406+0.228859222402694i</v>
      </c>
      <c r="BJ441" s="20">
        <f t="shared" si="405"/>
        <v>-11.958003218218201</v>
      </c>
      <c r="BK441" s="43">
        <f t="shared" si="410"/>
        <v>65.054634305395552</v>
      </c>
      <c r="BL441">
        <f t="shared" si="406"/>
        <v>-23.987620101815637</v>
      </c>
      <c r="BM441" s="43">
        <f t="shared" si="407"/>
        <v>-34.397035828087716</v>
      </c>
    </row>
    <row r="442" spans="14:65" x14ac:dyDescent="0.25">
      <c r="N442" s="9">
        <v>24</v>
      </c>
      <c r="O442" s="34">
        <f t="shared" si="408"/>
        <v>173780.0828749378</v>
      </c>
      <c r="P442" s="33" t="str">
        <f t="shared" si="360"/>
        <v>19.1021967526266</v>
      </c>
      <c r="Q442" s="4" t="str">
        <f t="shared" si="361"/>
        <v>1+245.076149855837i</v>
      </c>
      <c r="R442" s="4">
        <f t="shared" si="373"/>
        <v>245.07819002955094</v>
      </c>
      <c r="S442" s="4">
        <f t="shared" si="374"/>
        <v>1.5667159850282562</v>
      </c>
      <c r="T442" s="4" t="str">
        <f t="shared" si="362"/>
        <v>1+4.10551566238497i</v>
      </c>
      <c r="U442" s="4">
        <f t="shared" si="375"/>
        <v>4.2255483495149235</v>
      </c>
      <c r="V442" s="4">
        <f t="shared" si="376"/>
        <v>1.3318740287733035</v>
      </c>
      <c r="W442" t="str">
        <f t="shared" si="363"/>
        <v>1-2.27477596541721i</v>
      </c>
      <c r="X442" s="4">
        <f t="shared" si="377"/>
        <v>2.4848753877890539</v>
      </c>
      <c r="Y442" s="4">
        <f t="shared" si="378"/>
        <v>-1.1566214960921575</v>
      </c>
      <c r="Z442" t="str">
        <f t="shared" si="364"/>
        <v>0.96980048279598+1.6924333182704i</v>
      </c>
      <c r="AA442" s="4">
        <f t="shared" si="379"/>
        <v>1.9506008082698705</v>
      </c>
      <c r="AB442" s="4">
        <f t="shared" si="380"/>
        <v>1.0504503006023129</v>
      </c>
      <c r="AC442" s="47" t="str">
        <f t="shared" si="381"/>
        <v>-0.32098681595125-0.270187322297522i</v>
      </c>
      <c r="AD442" s="20">
        <f t="shared" si="382"/>
        <v>-7.5440412058822055</v>
      </c>
      <c r="AE442" s="43">
        <f t="shared" si="383"/>
        <v>-139.91135197895349</v>
      </c>
      <c r="AF442" t="str">
        <f t="shared" si="365"/>
        <v>69.5520360182888</v>
      </c>
      <c r="AG442" t="str">
        <f t="shared" si="366"/>
        <v>1+195.500745827856i</v>
      </c>
      <c r="AH442">
        <f t="shared" si="384"/>
        <v>195.50330334612755</v>
      </c>
      <c r="AI442">
        <f t="shared" si="385"/>
        <v>1.5656813014041304</v>
      </c>
      <c r="AJ442" t="str">
        <f t="shared" si="367"/>
        <v>1+4.10551566238497i</v>
      </c>
      <c r="AK442">
        <f t="shared" si="386"/>
        <v>4.2255483495149235</v>
      </c>
      <c r="AL442">
        <f t="shared" si="387"/>
        <v>1.3318740287733035</v>
      </c>
      <c r="AM442" t="str">
        <f t="shared" si="368"/>
        <v>1-0.49837844381184i</v>
      </c>
      <c r="AN442">
        <f t="shared" si="388"/>
        <v>1.1173097481255194</v>
      </c>
      <c r="AO442">
        <f t="shared" si="389"/>
        <v>-0.46234952281103192</v>
      </c>
      <c r="AP442" s="41" t="str">
        <f t="shared" si="390"/>
        <v>1.28879731824822-1.07709918936033i</v>
      </c>
      <c r="AQ442">
        <f t="shared" si="391"/>
        <v>4.5042482208018866</v>
      </c>
      <c r="AR442" s="43">
        <f t="shared" si="392"/>
        <v>-39.886846258170877</v>
      </c>
      <c r="AS442" t="str">
        <f t="shared" si="369"/>
        <v>-0.0000166666666666667</v>
      </c>
      <c r="AT442" t="str">
        <f t="shared" si="370"/>
        <v>0.00371243437556088i</v>
      </c>
      <c r="AU442">
        <f t="shared" si="393"/>
        <v>3.7124343755608798E-3</v>
      </c>
      <c r="AV442">
        <f t="shared" si="394"/>
        <v>1.5707963267948966</v>
      </c>
      <c r="AW442" t="str">
        <f t="shared" si="371"/>
        <v>1+3.77280960589007i</v>
      </c>
      <c r="AX442">
        <f t="shared" si="395"/>
        <v>3.903087537103977</v>
      </c>
      <c r="AY442">
        <f t="shared" si="396"/>
        <v>1.3116997136592214</v>
      </c>
      <c r="AZ442" t="str">
        <f t="shared" si="372"/>
        <v>1+128.275526600263i</v>
      </c>
      <c r="BA442">
        <f t="shared" si="397"/>
        <v>128.2794244006995</v>
      </c>
      <c r="BB442">
        <f t="shared" si="398"/>
        <v>1.5630007654006466</v>
      </c>
      <c r="BC442" s="41" t="str">
        <f t="shared" si="399"/>
        <v>-0.0366903800274429+0.142915235391671i</v>
      </c>
      <c r="BD442">
        <f t="shared" si="400"/>
        <v>-16.621226496649331</v>
      </c>
      <c r="BE442" s="43">
        <f t="shared" si="401"/>
        <v>104.3984896519824</v>
      </c>
      <c r="BF442" s="41" t="str">
        <f t="shared" si="402"/>
        <v>0.0503910130270459-0.0359606308256026i</v>
      </c>
      <c r="BG442" s="20">
        <f t="shared" si="403"/>
        <v>-24.165267702531533</v>
      </c>
      <c r="BH442" s="43">
        <f t="shared" si="404"/>
        <v>-35.512862326971067</v>
      </c>
      <c r="BI442" s="41" t="str">
        <f t="shared" si="409"/>
        <v>0.106647420802733+0.22370795069448i</v>
      </c>
      <c r="BJ442" s="20">
        <f t="shared" si="405"/>
        <v>-12.116978275847446</v>
      </c>
      <c r="BK442" s="43">
        <f t="shared" si="410"/>
        <v>64.511643393811582</v>
      </c>
      <c r="BL442">
        <f t="shared" si="406"/>
        <v>-24.165267702531533</v>
      </c>
      <c r="BM442" s="43">
        <f t="shared" si="407"/>
        <v>-35.512862326971067</v>
      </c>
    </row>
    <row r="443" spans="14:65" x14ac:dyDescent="0.25">
      <c r="N443" s="9">
        <v>25</v>
      </c>
      <c r="O443" s="34">
        <f t="shared" si="408"/>
        <v>177827.94100389251</v>
      </c>
      <c r="P443" s="33" t="str">
        <f t="shared" si="360"/>
        <v>19.1021967526266</v>
      </c>
      <c r="Q443" s="4" t="str">
        <f t="shared" si="361"/>
        <v>1+250.784706722627i</v>
      </c>
      <c r="R443" s="4">
        <f t="shared" si="373"/>
        <v>250.78670045669097</v>
      </c>
      <c r="S443" s="4">
        <f t="shared" si="374"/>
        <v>1.5668088639503337</v>
      </c>
      <c r="T443" s="4" t="str">
        <f t="shared" si="362"/>
        <v>1+4.20114540701744i</v>
      </c>
      <c r="U443" s="4">
        <f t="shared" si="375"/>
        <v>4.3185208961985735</v>
      </c>
      <c r="V443" s="4">
        <f t="shared" si="376"/>
        <v>1.3371145789452865</v>
      </c>
      <c r="W443" t="str">
        <f t="shared" si="363"/>
        <v>1-2.32776230442012i</v>
      </c>
      <c r="X443" s="4">
        <f t="shared" si="377"/>
        <v>2.5334714022225051</v>
      </c>
      <c r="Y443" s="4">
        <f t="shared" si="378"/>
        <v>-1.1650383234787582</v>
      </c>
      <c r="Z443" t="str">
        <f t="shared" si="364"/>
        <v>0.968377223398316+1.73185515448857i</v>
      </c>
      <c r="AA443" s="4">
        <f t="shared" si="379"/>
        <v>1.9842068246342821</v>
      </c>
      <c r="AB443" s="4">
        <f t="shared" si="380"/>
        <v>1.0609507352292862</v>
      </c>
      <c r="AC443" s="47" t="str">
        <f t="shared" si="381"/>
        <v>-0.32500946254488-0.266014402271857i</v>
      </c>
      <c r="AD443" s="20">
        <f t="shared" si="382"/>
        <v>-7.5351418981685452</v>
      </c>
      <c r="AE443" s="43">
        <f t="shared" si="383"/>
        <v>-140.70029141533408</v>
      </c>
      <c r="AF443" t="str">
        <f t="shared" si="365"/>
        <v>69.5520360182888</v>
      </c>
      <c r="AG443" t="str">
        <f t="shared" si="366"/>
        <v>1+200.054543191307i</v>
      </c>
      <c r="AH443">
        <f t="shared" si="384"/>
        <v>200.05704249409095</v>
      </c>
      <c r="AI443">
        <f t="shared" si="385"/>
        <v>1.5657977316348823</v>
      </c>
      <c r="AJ443" t="str">
        <f t="shared" si="367"/>
        <v>1+4.20114540701744i</v>
      </c>
      <c r="AK443">
        <f t="shared" si="386"/>
        <v>4.3185208961985735</v>
      </c>
      <c r="AL443">
        <f t="shared" si="387"/>
        <v>1.3371145789452865</v>
      </c>
      <c r="AM443" t="str">
        <f t="shared" si="368"/>
        <v>1-0.509987169056445i</v>
      </c>
      <c r="AN443">
        <f t="shared" si="388"/>
        <v>1.1225359293146064</v>
      </c>
      <c r="AO443">
        <f t="shared" si="389"/>
        <v>-0.47160538532904711</v>
      </c>
      <c r="AP443" s="41" t="str">
        <f t="shared" si="390"/>
        <v>1.288716935424-1.08610710328334i</v>
      </c>
      <c r="AQ443">
        <f t="shared" si="391"/>
        <v>4.5338255880520739</v>
      </c>
      <c r="AR443" s="43">
        <f t="shared" si="392"/>
        <v>-40.12357766985501</v>
      </c>
      <c r="AS443" t="str">
        <f t="shared" si="369"/>
        <v>-0.0000166666666666667</v>
      </c>
      <c r="AT443" t="str">
        <f t="shared" si="370"/>
        <v>0.00379890808081363i</v>
      </c>
      <c r="AU443">
        <f t="shared" si="393"/>
        <v>3.7989080808136298E-3</v>
      </c>
      <c r="AV443">
        <f t="shared" si="394"/>
        <v>1.5707963267948966</v>
      </c>
      <c r="AW443" t="str">
        <f t="shared" si="371"/>
        <v>1+3.86068963091684i</v>
      </c>
      <c r="AX443">
        <f t="shared" si="395"/>
        <v>3.9880978456237517</v>
      </c>
      <c r="AY443">
        <f t="shared" si="396"/>
        <v>1.3173454212711488</v>
      </c>
      <c r="AZ443" t="str">
        <f t="shared" si="372"/>
        <v>1+131.263447451173i</v>
      </c>
      <c r="BA443">
        <f t="shared" si="397"/>
        <v>131.26725652944398</v>
      </c>
      <c r="BB443">
        <f t="shared" si="398"/>
        <v>1.5631782070967386</v>
      </c>
      <c r="BC443" s="41" t="str">
        <f t="shared" si="399"/>
        <v>-0.0351428665549044+0.140062926078277i</v>
      </c>
      <c r="BD443">
        <f t="shared" si="400"/>
        <v>-16.80838864159039</v>
      </c>
      <c r="BE443" s="43">
        <f t="shared" si="401"/>
        <v>104.08518109374977</v>
      </c>
      <c r="BF443" s="41" t="str">
        <f t="shared" si="402"/>
        <v>0.0486805197324561-0.0361732676864415i</v>
      </c>
      <c r="BG443" s="20">
        <f t="shared" si="403"/>
        <v>-24.343530539758937</v>
      </c>
      <c r="BH443" s="43">
        <f t="shared" si="404"/>
        <v>-36.615110321584275</v>
      </c>
      <c r="BI443" s="41" t="str">
        <f t="shared" si="409"/>
        <v>0.106834131631615+0.218670381857136i</v>
      </c>
      <c r="BJ443" s="20">
        <f t="shared" si="405"/>
        <v>-12.274563053538303</v>
      </c>
      <c r="BK443" s="43">
        <f t="shared" si="410"/>
        <v>63.961603423894815</v>
      </c>
      <c r="BL443">
        <f t="shared" si="406"/>
        <v>-24.343530539758937</v>
      </c>
      <c r="BM443" s="43">
        <f t="shared" si="407"/>
        <v>-36.615110321584275</v>
      </c>
    </row>
    <row r="444" spans="14:65" x14ac:dyDescent="0.25">
      <c r="N444" s="9">
        <v>26</v>
      </c>
      <c r="O444" s="34">
        <f t="shared" si="408"/>
        <v>181970.08586099857</v>
      </c>
      <c r="P444" s="33" t="str">
        <f t="shared" si="360"/>
        <v>19.1021967526266</v>
      </c>
      <c r="Q444" s="4" t="str">
        <f t="shared" si="361"/>
        <v>1+256.626232960446i</v>
      </c>
      <c r="R444" s="4">
        <f t="shared" si="373"/>
        <v>256.62818131193052</v>
      </c>
      <c r="S444" s="4">
        <f t="shared" si="374"/>
        <v>1.5668996287565067</v>
      </c>
      <c r="T444" s="4" t="str">
        <f t="shared" si="362"/>
        <v>1+4.29900265455339i</v>
      </c>
      <c r="U444" s="4">
        <f t="shared" si="375"/>
        <v>4.4137765942395744</v>
      </c>
      <c r="V444" s="4">
        <f t="shared" si="376"/>
        <v>1.3422485040781893</v>
      </c>
      <c r="W444" t="str">
        <f t="shared" si="363"/>
        <v>1-2.3819828538084i</v>
      </c>
      <c r="X444" s="4">
        <f t="shared" si="377"/>
        <v>2.5833780822475849</v>
      </c>
      <c r="Y444" s="4">
        <f t="shared" si="378"/>
        <v>-1.1733227968161339</v>
      </c>
      <c r="Z444" t="str">
        <f t="shared" si="364"/>
        <v>0.966886887851741+1.77219524323345i</v>
      </c>
      <c r="AA444" s="4">
        <f t="shared" si="379"/>
        <v>2.0187982152852455</v>
      </c>
      <c r="AB444" s="4">
        <f t="shared" si="380"/>
        <v>1.0713474402978507</v>
      </c>
      <c r="AC444" s="47" t="str">
        <f t="shared" si="381"/>
        <v>-0.328941239724985-0.261823329526017i</v>
      </c>
      <c r="AD444" s="20">
        <f t="shared" si="382"/>
        <v>-7.5263125270601439</v>
      </c>
      <c r="AE444" s="43">
        <f t="shared" si="383"/>
        <v>-141.48169229219596</v>
      </c>
      <c r="AF444" t="str">
        <f t="shared" si="365"/>
        <v>69.5520360182888</v>
      </c>
      <c r="AG444" t="str">
        <f t="shared" si="366"/>
        <v>1+204.71441212159i</v>
      </c>
      <c r="AH444">
        <f t="shared" si="384"/>
        <v>204.71685453398359</v>
      </c>
      <c r="AI444">
        <f t="shared" si="385"/>
        <v>1.5659115117209716</v>
      </c>
      <c r="AJ444" t="str">
        <f t="shared" si="367"/>
        <v>1+4.29900265455339i</v>
      </c>
      <c r="AK444">
        <f t="shared" si="386"/>
        <v>4.4137765942395744</v>
      </c>
      <c r="AL444">
        <f t="shared" si="387"/>
        <v>1.3422485040781893</v>
      </c>
      <c r="AM444" t="str">
        <f t="shared" si="368"/>
        <v>1-0.521866296248557i</v>
      </c>
      <c r="AN444">
        <f t="shared" si="388"/>
        <v>1.1279824604842872</v>
      </c>
      <c r="AO444">
        <f t="shared" si="389"/>
        <v>-0.48098723146903022</v>
      </c>
      <c r="AP444" s="41" t="str">
        <f t="shared" si="390"/>
        <v>1.28864017024611-1.09569084939175i</v>
      </c>
      <c r="AQ444">
        <f t="shared" si="391"/>
        <v>4.5653788343670412</v>
      </c>
      <c r="AR444" s="43">
        <f t="shared" si="392"/>
        <v>-40.373484733991219</v>
      </c>
      <c r="AS444" t="str">
        <f t="shared" si="369"/>
        <v>-0.0000166666666666667</v>
      </c>
      <c r="AT444" t="str">
        <f t="shared" si="370"/>
        <v>0.00388739601741532i</v>
      </c>
      <c r="AU444">
        <f t="shared" si="393"/>
        <v>3.88739601741532E-3</v>
      </c>
      <c r="AV444">
        <f t="shared" si="394"/>
        <v>1.5707963267948966</v>
      </c>
      <c r="AW444" t="str">
        <f t="shared" si="371"/>
        <v>1+3.95061664468814i</v>
      </c>
      <c r="AX444">
        <f t="shared" si="395"/>
        <v>4.0752143346438823</v>
      </c>
      <c r="AY444">
        <f t="shared" si="396"/>
        <v>1.3228786182076904</v>
      </c>
      <c r="AZ444" t="str">
        <f t="shared" si="372"/>
        <v>1+134.320965919397i</v>
      </c>
      <c r="BA444">
        <f t="shared" si="397"/>
        <v>134.32468829489167</v>
      </c>
      <c r="BB444">
        <f t="shared" si="398"/>
        <v>1.5633516101902674</v>
      </c>
      <c r="BC444" s="41" t="str">
        <f t="shared" si="399"/>
        <v>-0.0336564172189862+0.137250962188713i</v>
      </c>
      <c r="BD444">
        <f t="shared" si="400"/>
        <v>-16.996092991977473</v>
      </c>
      <c r="BE444" s="43">
        <f t="shared" si="401"/>
        <v>103.77808752748496</v>
      </c>
      <c r="BF444" s="41" t="str">
        <f t="shared" si="402"/>
        <v>0.047006487505613-0.0363354664396106i</v>
      </c>
      <c r="BG444" s="20">
        <f t="shared" si="403"/>
        <v>-24.522405519037605</v>
      </c>
      <c r="BH444" s="43">
        <f t="shared" si="404"/>
        <v>-37.70360476471101</v>
      </c>
      <c r="BI444" s="41" t="str">
        <f t="shared" si="409"/>
        <v>0.107013612125437+0.21374413165146i</v>
      </c>
      <c r="BJ444" s="20">
        <f t="shared" si="405"/>
        <v>-12.430714157610424</v>
      </c>
      <c r="BK444" s="43">
        <f t="shared" si="410"/>
        <v>63.404602793493872</v>
      </c>
      <c r="BL444">
        <f t="shared" si="406"/>
        <v>-24.522405519037605</v>
      </c>
      <c r="BM444" s="43">
        <f t="shared" si="407"/>
        <v>-37.70360476471101</v>
      </c>
    </row>
    <row r="445" spans="14:65" x14ac:dyDescent="0.25">
      <c r="N445" s="9">
        <v>27</v>
      </c>
      <c r="O445" s="34">
        <f t="shared" si="408"/>
        <v>186208.71366628664</v>
      </c>
      <c r="P445" s="33" t="str">
        <f t="shared" si="360"/>
        <v>19.1021967526266</v>
      </c>
      <c r="Q445" s="4" t="str">
        <f t="shared" si="361"/>
        <v>1+262.603825823833i</v>
      </c>
      <c r="R445" s="4">
        <f t="shared" si="373"/>
        <v>262.60572982574848</v>
      </c>
      <c r="S445" s="4">
        <f t="shared" si="374"/>
        <v>1.5669883275654917</v>
      </c>
      <c r="T445" s="4" t="str">
        <f t="shared" si="362"/>
        <v>1+4.39913929020084i</v>
      </c>
      <c r="U445" s="4">
        <f t="shared" si="375"/>
        <v>4.5113663666996446</v>
      </c>
      <c r="V445" s="4">
        <f t="shared" si="376"/>
        <v>1.3472774432413288</v>
      </c>
      <c r="W445" t="str">
        <f t="shared" si="363"/>
        <v>1-2.43746636203504i</v>
      </c>
      <c r="X445" s="4">
        <f t="shared" si="377"/>
        <v>2.6346237427861179</v>
      </c>
      <c r="Y445" s="4">
        <f t="shared" si="378"/>
        <v>-1.1814747589174404</v>
      </c>
      <c r="Z445" t="str">
        <f t="shared" si="364"/>
        <v>0.965326314954747+1.81347497335407i</v>
      </c>
      <c r="AA445" s="4">
        <f t="shared" si="379"/>
        <v>2.0543968392999576</v>
      </c>
      <c r="AB445" s="4">
        <f t="shared" si="380"/>
        <v>1.0816380060734143</v>
      </c>
      <c r="AC445" s="47" t="str">
        <f t="shared" si="381"/>
        <v>-0.332781126450733-0.257617291785048i</v>
      </c>
      <c r="AD445" s="20">
        <f t="shared" si="382"/>
        <v>-7.5175704654351927</v>
      </c>
      <c r="AE445" s="43">
        <f t="shared" si="383"/>
        <v>-142.2553163810197</v>
      </c>
      <c r="AF445" t="str">
        <f t="shared" si="365"/>
        <v>69.5520360182888</v>
      </c>
      <c r="AG445" t="str">
        <f t="shared" si="366"/>
        <v>1+209.482823342897i</v>
      </c>
      <c r="AH445">
        <f t="shared" si="384"/>
        <v>209.48521015983775</v>
      </c>
      <c r="AI445">
        <f t="shared" si="385"/>
        <v>1.5660227019783153</v>
      </c>
      <c r="AJ445" t="str">
        <f t="shared" si="367"/>
        <v>1+4.39913929020084i</v>
      </c>
      <c r="AK445">
        <f t="shared" si="386"/>
        <v>4.5113663666996446</v>
      </c>
      <c r="AL445">
        <f t="shared" si="387"/>
        <v>1.3472774432413288</v>
      </c>
      <c r="AM445" t="str">
        <f t="shared" si="368"/>
        <v>1-0.53402212385866i</v>
      </c>
      <c r="AN445">
        <f t="shared" si="388"/>
        <v>1.1336576329609014</v>
      </c>
      <c r="AO445">
        <f t="shared" si="389"/>
        <v>-0.49049342847482058</v>
      </c>
      <c r="AP445" s="41" t="str">
        <f t="shared" si="390"/>
        <v>1.28856685990918-1.10585551152914i</v>
      </c>
      <c r="AQ445">
        <f t="shared" si="391"/>
        <v>4.5989298976878938</v>
      </c>
      <c r="AR445" s="43">
        <f t="shared" si="392"/>
        <v>-40.636383444635648</v>
      </c>
      <c r="AS445" t="str">
        <f t="shared" si="369"/>
        <v>-0.0000166666666666667</v>
      </c>
      <c r="AT445" t="str">
        <f t="shared" si="370"/>
        <v>0.0039779451028412i</v>
      </c>
      <c r="AU445">
        <f t="shared" si="393"/>
        <v>3.9779451028412001E-3</v>
      </c>
      <c r="AV445">
        <f t="shared" si="394"/>
        <v>1.5707963267948966</v>
      </c>
      <c r="AW445" t="str">
        <f t="shared" si="371"/>
        <v>1+4.04263832769708i</v>
      </c>
      <c r="AX445">
        <f t="shared" si="395"/>
        <v>4.1644837193300974</v>
      </c>
      <c r="AY445">
        <f t="shared" si="396"/>
        <v>1.3283008824254001</v>
      </c>
      <c r="AZ445" t="str">
        <f t="shared" si="372"/>
        <v>1+137.449703141701i</v>
      </c>
      <c r="BA445">
        <f t="shared" si="397"/>
        <v>137.45334078785328</v>
      </c>
      <c r="BB445">
        <f t="shared" si="398"/>
        <v>1.5635210665801127</v>
      </c>
      <c r="BC445" s="41" t="str">
        <f t="shared" si="399"/>
        <v>-0.0322289722180416+0.134479846242598i</v>
      </c>
      <c r="BD445">
        <f t="shared" si="400"/>
        <v>-17.184318091751017</v>
      </c>
      <c r="BE445" s="43">
        <f t="shared" si="401"/>
        <v>103.47712380835507</v>
      </c>
      <c r="BF445" s="41" t="str">
        <f t="shared" si="402"/>
        <v>0.045369527467757-0.0364496141777057i</v>
      </c>
      <c r="BG445" s="20">
        <f t="shared" si="403"/>
        <v>-24.701888557186216</v>
      </c>
      <c r="BH445" s="43">
        <f t="shared" si="404"/>
        <v>-38.778192572664643</v>
      </c>
      <c r="BI445" s="41" t="str">
        <f t="shared" si="409"/>
        <v>0.107186093627866+0.208926859752135i</v>
      </c>
      <c r="BJ445" s="20">
        <f t="shared" si="405"/>
        <v>-12.585388194063116</v>
      </c>
      <c r="BK445" s="43">
        <f t="shared" si="410"/>
        <v>62.840740363719519</v>
      </c>
      <c r="BL445">
        <f t="shared" si="406"/>
        <v>-24.701888557186216</v>
      </c>
      <c r="BM445" s="43">
        <f t="shared" si="407"/>
        <v>-38.778192572664643</v>
      </c>
    </row>
    <row r="446" spans="14:65" x14ac:dyDescent="0.25">
      <c r="N446" s="9">
        <v>28</v>
      </c>
      <c r="O446" s="34">
        <f t="shared" si="408"/>
        <v>190546.07179632492</v>
      </c>
      <c r="P446" s="33" t="str">
        <f t="shared" si="360"/>
        <v>19.1021967526266</v>
      </c>
      <c r="Q446" s="4" t="str">
        <f t="shared" si="361"/>
        <v>1+268.720654711646i</v>
      </c>
      <c r="R446" s="4">
        <f t="shared" si="373"/>
        <v>268.72251537349018</v>
      </c>
      <c r="S446" s="4">
        <f t="shared" si="374"/>
        <v>1.5670750074009852</v>
      </c>
      <c r="T446" s="4" t="str">
        <f t="shared" si="362"/>
        <v>1+4.50160840772948i</v>
      </c>
      <c r="U446" s="4">
        <f t="shared" si="375"/>
        <v>4.611342348659524</v>
      </c>
      <c r="V446" s="4">
        <f t="shared" si="376"/>
        <v>1.3522030449248534</v>
      </c>
      <c r="W446" t="str">
        <f t="shared" si="363"/>
        <v>1-2.49424224719054i</v>
      </c>
      <c r="X446" s="4">
        <f t="shared" si="377"/>
        <v>2.6872373151007922</v>
      </c>
      <c r="Y446" s="4">
        <f t="shared" si="378"/>
        <v>-1.1894941971362842</v>
      </c>
      <c r="Z446" t="str">
        <f t="shared" si="364"/>
        <v>0.963692194522989+1.85571623190976i</v>
      </c>
      <c r="AA446" s="4">
        <f t="shared" si="379"/>
        <v>2.0910249589992689</v>
      </c>
      <c r="AB446" s="4">
        <f t="shared" si="380"/>
        <v>1.0918202401208532</v>
      </c>
      <c r="AC446" s="47" t="str">
        <f t="shared" si="381"/>
        <v>-0.336528335346987-0.253399460068491i</v>
      </c>
      <c r="AD446" s="20">
        <f t="shared" si="382"/>
        <v>-7.5089314315871523</v>
      </c>
      <c r="AE446" s="43">
        <f t="shared" si="383"/>
        <v>-143.02094558267217</v>
      </c>
      <c r="AF446" t="str">
        <f t="shared" si="365"/>
        <v>69.5520360182888</v>
      </c>
      <c r="AG446" t="str">
        <f t="shared" si="366"/>
        <v>1+214.362305129976i</v>
      </c>
      <c r="AH446">
        <f t="shared" si="384"/>
        <v>214.36463761692818</v>
      </c>
      <c r="AI446">
        <f t="shared" si="385"/>
        <v>1.5661313613504562</v>
      </c>
      <c r="AJ446" t="str">
        <f t="shared" si="367"/>
        <v>1+4.50160840772948i</v>
      </c>
      <c r="AK446">
        <f t="shared" si="386"/>
        <v>4.611342348659524</v>
      </c>
      <c r="AL446">
        <f t="shared" si="387"/>
        <v>1.3522030449248534</v>
      </c>
      <c r="AM446" t="str">
        <f t="shared" si="368"/>
        <v>1-0.546461097067456i</v>
      </c>
      <c r="AN446">
        <f t="shared" si="388"/>
        <v>1.1395699761788074</v>
      </c>
      <c r="AO446">
        <f t="shared" si="389"/>
        <v>-0.50012214338472794</v>
      </c>
      <c r="AP446" s="41" t="str">
        <f t="shared" si="390"/>
        <v>1.28849684893394-1.11660648138734i</v>
      </c>
      <c r="AQ446">
        <f t="shared" si="391"/>
        <v>4.6345013570736526</v>
      </c>
      <c r="AR446" s="43">
        <f t="shared" si="392"/>
        <v>-40.91207770650778</v>
      </c>
      <c r="AS446" t="str">
        <f t="shared" si="369"/>
        <v>-0.0000166666666666667</v>
      </c>
      <c r="AT446" t="str">
        <f t="shared" si="370"/>
        <v>0.00407060334741495i</v>
      </c>
      <c r="AU446">
        <f t="shared" si="393"/>
        <v>4.07060334741495E-3</v>
      </c>
      <c r="AV446">
        <f t="shared" si="394"/>
        <v>1.5707963267948966</v>
      </c>
      <c r="AW446" t="str">
        <f t="shared" si="371"/>
        <v>1+4.13680347105804i</v>
      </c>
      <c r="AX446">
        <f t="shared" si="395"/>
        <v>4.2559538247210629</v>
      </c>
      <c r="AY446">
        <f t="shared" si="396"/>
        <v>1.3336138129777508</v>
      </c>
      <c r="AZ446" t="str">
        <f t="shared" si="372"/>
        <v>1+140.651318015973i</v>
      </c>
      <c r="BA446">
        <f t="shared" si="397"/>
        <v>140.65487286130679</v>
      </c>
      <c r="BB446">
        <f t="shared" si="398"/>
        <v>1.5636866660753446</v>
      </c>
      <c r="BC446" s="41" t="str">
        <f t="shared" si="399"/>
        <v>-0.0308585118534862+0.131749996078082i</v>
      </c>
      <c r="BD446">
        <f t="shared" si="400"/>
        <v>-17.373043213687826</v>
      </c>
      <c r="BE446" s="43">
        <f t="shared" si="401"/>
        <v>103.18220346302553</v>
      </c>
      <c r="BF446" s="41" t="str">
        <f t="shared" si="402"/>
        <v>0.0437701414955508-0.0365180766199385i</v>
      </c>
      <c r="BG446" s="20">
        <f t="shared" si="403"/>
        <v>-24.881974645274969</v>
      </c>
      <c r="BH446" s="43">
        <f t="shared" si="404"/>
        <v>-39.838742119646632</v>
      </c>
      <c r="BI446" s="41" t="str">
        <f t="shared" si="409"/>
        <v>0.107351804257535+0.204216269135238i</v>
      </c>
      <c r="BJ446" s="20">
        <f t="shared" si="405"/>
        <v>-12.738541856614187</v>
      </c>
      <c r="BK446" s="43">
        <f t="shared" si="410"/>
        <v>62.270125756517814</v>
      </c>
      <c r="BL446">
        <f t="shared" si="406"/>
        <v>-24.881974645274969</v>
      </c>
      <c r="BM446" s="43">
        <f t="shared" si="407"/>
        <v>-39.838742119646632</v>
      </c>
    </row>
    <row r="447" spans="14:65" x14ac:dyDescent="0.25">
      <c r="N447" s="9">
        <v>29</v>
      </c>
      <c r="O447" s="34">
        <f t="shared" si="408"/>
        <v>194984.45997580473</v>
      </c>
      <c r="P447" s="33" t="str">
        <f t="shared" si="360"/>
        <v>19.1021967526266</v>
      </c>
      <c r="Q447" s="4" t="str">
        <f t="shared" si="361"/>
        <v>1+274.979962847522i</v>
      </c>
      <c r="R447" s="4">
        <f t="shared" si="373"/>
        <v>274.9817811558151</v>
      </c>
      <c r="S447" s="4">
        <f t="shared" si="374"/>
        <v>1.5671597142165699</v>
      </c>
      <c r="T447" s="4" t="str">
        <f t="shared" si="362"/>
        <v>1+4.60646433762168i</v>
      </c>
      <c r="U447" s="4">
        <f t="shared" si="375"/>
        <v>4.7137579163317609</v>
      </c>
      <c r="V447" s="4">
        <f t="shared" si="376"/>
        <v>1.3570269642928707</v>
      </c>
      <c r="W447" t="str">
        <f t="shared" si="363"/>
        <v>1-2.55234061260067i</v>
      </c>
      <c r="X447" s="4">
        <f t="shared" si="377"/>
        <v>2.7412483657506779</v>
      </c>
      <c r="Y447" s="4">
        <f t="shared" si="378"/>
        <v>-1.1973812365123651</v>
      </c>
      <c r="Z447" t="str">
        <f t="shared" si="364"/>
        <v>0.961981060367944+1.8989414157749i</v>
      </c>
      <c r="AA447" s="4">
        <f t="shared" si="379"/>
        <v>2.128705254621178</v>
      </c>
      <c r="AB447" s="4">
        <f t="shared" si="380"/>
        <v>1.1018921652798173</v>
      </c>
      <c r="AC447" s="47" t="str">
        <f t="shared" si="381"/>
        <v>-0.340182304634373-0.249172974228074i</v>
      </c>
      <c r="AD447" s="20">
        <f t="shared" si="382"/>
        <v>-7.5004095677279095</v>
      </c>
      <c r="AE447" s="43">
        <f t="shared" si="383"/>
        <v>-143.77838157748553</v>
      </c>
      <c r="AF447" t="str">
        <f t="shared" si="365"/>
        <v>69.5520360182888</v>
      </c>
      <c r="AG447" t="str">
        <f t="shared" si="366"/>
        <v>1+219.355444648652i</v>
      </c>
      <c r="AH447">
        <f t="shared" si="384"/>
        <v>219.35772404227717</v>
      </c>
      <c r="AI447">
        <f t="shared" si="385"/>
        <v>1.5662375474397618</v>
      </c>
      <c r="AJ447" t="str">
        <f t="shared" si="367"/>
        <v>1+4.60646433762168i</v>
      </c>
      <c r="AK447">
        <f t="shared" si="386"/>
        <v>4.7137579163317609</v>
      </c>
      <c r="AL447">
        <f t="shared" si="387"/>
        <v>1.3570269642928707</v>
      </c>
      <c r="AM447" t="str">
        <f t="shared" si="368"/>
        <v>1-0.559189811183177i</v>
      </c>
      <c r="AN447">
        <f t="shared" si="388"/>
        <v>1.1457282596371083</v>
      </c>
      <c r="AO447">
        <f t="shared" si="389"/>
        <v>-0.50987133908892279</v>
      </c>
      <c r="AP447" s="41" t="str">
        <f t="shared" si="390"/>
        <v>1.2884299888376-1.12794946137587i</v>
      </c>
      <c r="AQ447">
        <f t="shared" si="391"/>
        <v>4.6721163258701122</v>
      </c>
      <c r="AR447" s="43">
        <f t="shared" si="392"/>
        <v>-41.200359268266475</v>
      </c>
      <c r="AS447" t="str">
        <f t="shared" si="369"/>
        <v>-0.0000166666666666667</v>
      </c>
      <c r="AT447" t="str">
        <f t="shared" si="370"/>
        <v>0.0041654198797643i</v>
      </c>
      <c r="AU447">
        <f t="shared" si="393"/>
        <v>4.1654198797642997E-3</v>
      </c>
      <c r="AV447">
        <f t="shared" si="394"/>
        <v>1.5707963267948966</v>
      </c>
      <c r="AW447" t="str">
        <f t="shared" si="371"/>
        <v>1+4.23316200237637i</v>
      </c>
      <c r="AX447">
        <f t="shared" si="395"/>
        <v>4.3496736128545459</v>
      </c>
      <c r="AY447">
        <f t="shared" si="396"/>
        <v>1.3388190265764948</v>
      </c>
      <c r="AZ447" t="str">
        <f t="shared" si="372"/>
        <v>1+143.927508080797i</v>
      </c>
      <c r="BA447">
        <f t="shared" si="397"/>
        <v>143.93098200994768</v>
      </c>
      <c r="BB447">
        <f t="shared" si="398"/>
        <v>1.5638484964426567</v>
      </c>
      <c r="BC447" s="41" t="str">
        <f t="shared" si="399"/>
        <v>-0.0295430584256434+0.129061749635104i</v>
      </c>
      <c r="BD447">
        <f t="shared" si="400"/>
        <v>-17.562248344751442</v>
      </c>
      <c r="BE447" s="43">
        <f t="shared" si="401"/>
        <v>102.8932388893974</v>
      </c>
      <c r="BF447" s="41" t="str">
        <f t="shared" si="402"/>
        <v>0.0422087257168412-0.0365431916953028i</v>
      </c>
      <c r="BG447" s="20">
        <f t="shared" si="403"/>
        <v>-25.062657912479356</v>
      </c>
      <c r="BH447" s="43">
        <f t="shared" si="404"/>
        <v>-40.885142688088145</v>
      </c>
      <c r="BI447" s="41" t="str">
        <f t="shared" si="409"/>
        <v>0.107510968547563+0.199610105480319i</v>
      </c>
      <c r="BJ447" s="20">
        <f t="shared" si="405"/>
        <v>-12.89013201888131</v>
      </c>
      <c r="BK447" s="43">
        <f t="shared" si="410"/>
        <v>61.692879621130906</v>
      </c>
      <c r="BL447">
        <f t="shared" si="406"/>
        <v>-25.062657912479356</v>
      </c>
      <c r="BM447" s="43">
        <f t="shared" si="407"/>
        <v>-40.885142688088145</v>
      </c>
    </row>
    <row r="448" spans="14:65" x14ac:dyDescent="0.25">
      <c r="N448" s="9">
        <v>30</v>
      </c>
      <c r="O448" s="34">
        <f t="shared" si="408"/>
        <v>199526.23149688813</v>
      </c>
      <c r="P448" s="33" t="str">
        <f t="shared" si="360"/>
        <v>19.1021967526266</v>
      </c>
      <c r="Q448" s="4" t="str">
        <f t="shared" si="361"/>
        <v>1+281.385068999492i</v>
      </c>
      <c r="R448" s="4">
        <f t="shared" si="373"/>
        <v>281.38684591829957</v>
      </c>
      <c r="S448" s="4">
        <f t="shared" si="374"/>
        <v>1.5672424929200561</v>
      </c>
      <c r="T448" s="4" t="str">
        <f t="shared" si="362"/>
        <v>1+4.71376267587948i</v>
      </c>
      <c r="U448" s="4">
        <f t="shared" si="375"/>
        <v>4.8186677167568295</v>
      </c>
      <c r="V448" s="4">
        <f t="shared" si="376"/>
        <v>1.3617508606114634</v>
      </c>
      <c r="W448" t="str">
        <f t="shared" si="363"/>
        <v>1-2.61179226278783i</v>
      </c>
      <c r="X448" s="4">
        <f t="shared" si="377"/>
        <v>2.7966871158494606</v>
      </c>
      <c r="Y448" s="4">
        <f t="shared" si="378"/>
        <v>-1.2051361328940624</v>
      </c>
      <c r="Z448" t="str">
        <f t="shared" si="364"/>
        <v>0.96018928294465+1.94317344351415i</v>
      </c>
      <c r="AA448" s="4">
        <f t="shared" si="379"/>
        <v>2.1674608394756292</v>
      </c>
      <c r="AB448" s="4">
        <f t="shared" si="380"/>
        <v>1.1118520169634691</v>
      </c>
      <c r="AC448" s="47" t="str">
        <f t="shared" si="381"/>
        <v>-0.343742689261368-0.244940929539986i</v>
      </c>
      <c r="AD448" s="20">
        <f t="shared" si="382"/>
        <v>-7.4920175195036407</v>
      </c>
      <c r="AE448" s="43">
        <f t="shared" si="383"/>
        <v>-144.52744542519812</v>
      </c>
      <c r="AF448" t="str">
        <f t="shared" si="365"/>
        <v>69.5520360182888</v>
      </c>
      <c r="AG448" t="str">
        <f t="shared" si="366"/>
        <v>1+224.464889327594i</v>
      </c>
      <c r="AH448">
        <f t="shared" si="384"/>
        <v>224.46711683640663</v>
      </c>
      <c r="AI448">
        <f t="shared" si="385"/>
        <v>1.566341316537919</v>
      </c>
      <c r="AJ448" t="str">
        <f t="shared" si="367"/>
        <v>1+4.71376267587948i</v>
      </c>
      <c r="AK448">
        <f t="shared" si="386"/>
        <v>4.8186677167568295</v>
      </c>
      <c r="AL448">
        <f t="shared" si="387"/>
        <v>1.3617508606114634</v>
      </c>
      <c r="AM448" t="str">
        <f t="shared" si="368"/>
        <v>1-0.572215015138544i</v>
      </c>
      <c r="AN448">
        <f t="shared" si="388"/>
        <v>1.1521414945873638</v>
      </c>
      <c r="AO448">
        <f t="shared" si="389"/>
        <v>-0.51973877096536447</v>
      </c>
      <c r="AP448" s="41" t="str">
        <f t="shared" si="390"/>
        <v>1.28836613781903-1.13989046765553i</v>
      </c>
      <c r="AQ448">
        <f t="shared" si="391"/>
        <v>4.7117983403100308</v>
      </c>
      <c r="AR448" s="43">
        <f t="shared" si="392"/>
        <v>-41.501007678874977</v>
      </c>
      <c r="AS448" t="str">
        <f t="shared" si="369"/>
        <v>-0.0000166666666666667</v>
      </c>
      <c r="AT448" t="str">
        <f t="shared" si="370"/>
        <v>0.00426244497286974i</v>
      </c>
      <c r="AU448">
        <f t="shared" si="393"/>
        <v>4.2624449728697403E-3</v>
      </c>
      <c r="AV448">
        <f t="shared" si="394"/>
        <v>1.5707963267948966</v>
      </c>
      <c r="AW448" t="str">
        <f t="shared" si="371"/>
        <v>1+4.33176501222091i</v>
      </c>
      <c r="AX448">
        <f t="shared" si="395"/>
        <v>4.4456932104117604</v>
      </c>
      <c r="AY448">
        <f t="shared" si="396"/>
        <v>1.3439181543487588</v>
      </c>
      <c r="AZ448" t="str">
        <f t="shared" si="372"/>
        <v>1+147.280010415511i</v>
      </c>
      <c r="BA448">
        <f t="shared" si="397"/>
        <v>147.28340527022394</v>
      </c>
      <c r="BB448">
        <f t="shared" si="398"/>
        <v>1.5640066434527267</v>
      </c>
      <c r="BC448" s="41" t="str">
        <f t="shared" si="399"/>
        <v>-0.0282806778226042+0.12641536961808i</v>
      </c>
      <c r="BD448">
        <f t="shared" si="400"/>
        <v>-17.751914170818111</v>
      </c>
      <c r="BE448" s="43">
        <f t="shared" si="401"/>
        <v>102.61014154506844</v>
      </c>
      <c r="BF448" s="41" t="str">
        <f t="shared" si="402"/>
        <v>0.0406855743912697-0.0365272636025991i</v>
      </c>
      <c r="BG448" s="20">
        <f t="shared" si="403"/>
        <v>-25.243931690321759</v>
      </c>
      <c r="BH448" s="43">
        <f t="shared" si="404"/>
        <v>-41.91730388012968</v>
      </c>
      <c r="BI448" s="41" t="str">
        <f t="shared" si="409"/>
        <v>0.107663807131587+0.195106156584635i</v>
      </c>
      <c r="BJ448" s="20">
        <f t="shared" si="405"/>
        <v>-13.040115830508068</v>
      </c>
      <c r="BK448" s="43">
        <f t="shared" si="410"/>
        <v>61.109133866193517</v>
      </c>
      <c r="BL448">
        <f t="shared" si="406"/>
        <v>-25.243931690321759</v>
      </c>
      <c r="BM448" s="43">
        <f t="shared" si="407"/>
        <v>-41.91730388012968</v>
      </c>
    </row>
    <row r="449" spans="14:65" x14ac:dyDescent="0.25">
      <c r="N449" s="9">
        <v>31</v>
      </c>
      <c r="O449" s="34">
        <f t="shared" si="408"/>
        <v>204173.79446695308</v>
      </c>
      <c r="P449" s="33" t="str">
        <f t="shared" si="360"/>
        <v>19.1021967526266</v>
      </c>
      <c r="Q449" s="4" t="str">
        <f t="shared" si="361"/>
        <v>1+287.939369239615i</v>
      </c>
      <c r="R449" s="4">
        <f t="shared" si="373"/>
        <v>287.94110571105915</v>
      </c>
      <c r="S449" s="4">
        <f t="shared" si="374"/>
        <v>1.5673233873972674</v>
      </c>
      <c r="T449" s="4" t="str">
        <f t="shared" si="362"/>
        <v>1+4.82356031350203i</v>
      </c>
      <c r="U449" s="4">
        <f t="shared" si="375"/>
        <v>4.9261276981003856</v>
      </c>
      <c r="V449" s="4">
        <f t="shared" si="376"/>
        <v>1.3663763948452747</v>
      </c>
      <c r="W449" t="str">
        <f t="shared" si="363"/>
        <v>1-2.67262871980388i</v>
      </c>
      <c r="X449" s="4">
        <f t="shared" si="377"/>
        <v>2.8535844606250094</v>
      </c>
      <c r="Y449" s="4">
        <f t="shared" si="378"/>
        <v>-1.2127592660715905</v>
      </c>
      <c r="Z449" t="str">
        <f t="shared" si="364"/>
        <v>0.958313061652967+1.98843576753408i</v>
      </c>
      <c r="AA449" s="4">
        <f t="shared" si="379"/>
        <v>2.2073152755652123</v>
      </c>
      <c r="AB449" s="4">
        <f t="shared" si="380"/>
        <v>1.1216982398342976</v>
      </c>
      <c r="AC449" s="47" t="str">
        <f t="shared" si="381"/>
        <v>-0.347209351358307-0.240706364381192i</v>
      </c>
      <c r="AD449" s="20">
        <f t="shared" si="382"/>
        <v>-7.4837665159623699</v>
      </c>
      <c r="AE449" s="43">
        <f t="shared" si="383"/>
        <v>-145.26797712011978</v>
      </c>
      <c r="AF449" t="str">
        <f t="shared" si="365"/>
        <v>69.5520360182888</v>
      </c>
      <c r="AG449" t="str">
        <f t="shared" si="366"/>
        <v>1+229.693348262002i</v>
      </c>
      <c r="AH449">
        <f t="shared" si="384"/>
        <v>229.69552506700981</v>
      </c>
      <c r="AI449">
        <f t="shared" si="385"/>
        <v>1.5664427236557323</v>
      </c>
      <c r="AJ449" t="str">
        <f t="shared" si="367"/>
        <v>1+4.82356031350203i</v>
      </c>
      <c r="AK449">
        <f t="shared" si="386"/>
        <v>4.9261276981003856</v>
      </c>
      <c r="AL449">
        <f t="shared" si="387"/>
        <v>1.3663763948452747</v>
      </c>
      <c r="AM449" t="str">
        <f t="shared" si="368"/>
        <v>1-0.585543615069096i</v>
      </c>
      <c r="AN449">
        <f t="shared" si="388"/>
        <v>1.1588189354459935</v>
      </c>
      <c r="AO449">
        <f t="shared" si="389"/>
        <v>-0.52972198414890104</v>
      </c>
      <c r="AP449" s="41" t="str">
        <f t="shared" si="390"/>
        <v>1.28830516045818-1.15243583333756i</v>
      </c>
      <c r="AQ449">
        <f t="shared" si="391"/>
        <v>4.7535712439003301</v>
      </c>
      <c r="AR449" s="43">
        <f t="shared" si="392"/>
        <v>-41.813790270543699</v>
      </c>
      <c r="AS449" t="str">
        <f t="shared" si="369"/>
        <v>-0.0000166666666666667</v>
      </c>
      <c r="AT449" t="str">
        <f t="shared" si="370"/>
        <v>0.00436173007071994i</v>
      </c>
      <c r="AU449">
        <f t="shared" si="393"/>
        <v>4.3617300707199397E-3</v>
      </c>
      <c r="AV449">
        <f t="shared" si="394"/>
        <v>1.5707963267948966</v>
      </c>
      <c r="AW449" t="str">
        <f t="shared" si="371"/>
        <v>1+4.4326647812126i</v>
      </c>
      <c r="AX449">
        <f t="shared" si="395"/>
        <v>4.5440639368964151</v>
      </c>
      <c r="AY449">
        <f t="shared" si="396"/>
        <v>1.3489128387846148</v>
      </c>
      <c r="AZ449" t="str">
        <f t="shared" si="372"/>
        <v>1+150.710602561228i</v>
      </c>
      <c r="BA449">
        <f t="shared" si="397"/>
        <v>150.71392014133409</v>
      </c>
      <c r="BB449">
        <f t="shared" si="398"/>
        <v>1.5641611909255317</v>
      </c>
      <c r="BC449" s="41" t="str">
        <f t="shared" si="399"/>
        <v>-0.0270694808243896+0.12381104802756i</v>
      </c>
      <c r="BD449">
        <f t="shared" si="400"/>
        <v>-17.942022060882742</v>
      </c>
      <c r="BE449" s="43">
        <f t="shared" si="401"/>
        <v>102.3328221248203</v>
      </c>
      <c r="BF449" s="41" t="str">
        <f t="shared" si="402"/>
        <v>0.0392008841195816-0.0364725573617161i</v>
      </c>
      <c r="BG449" s="20">
        <f t="shared" si="403"/>
        <v>-25.425788576845108</v>
      </c>
      <c r="BH449" s="43">
        <f t="shared" si="404"/>
        <v>-42.935154995299449</v>
      </c>
      <c r="BI449" s="41" t="str">
        <f t="shared" si="409"/>
        <v>0.107810536473053+0.190702251787512i</v>
      </c>
      <c r="BJ449" s="20">
        <f t="shared" si="405"/>
        <v>-13.188450816982398</v>
      </c>
      <c r="BK449" s="43">
        <f t="shared" si="410"/>
        <v>60.519031854276619</v>
      </c>
      <c r="BL449">
        <f t="shared" si="406"/>
        <v>-25.425788576845108</v>
      </c>
      <c r="BM449" s="43">
        <f t="shared" si="407"/>
        <v>-42.935154995299449</v>
      </c>
    </row>
    <row r="450" spans="14:65" x14ac:dyDescent="0.25">
      <c r="N450" s="9">
        <v>32</v>
      </c>
      <c r="O450" s="34">
        <f t="shared" si="408"/>
        <v>208929.61308540447</v>
      </c>
      <c r="P450" s="33" t="str">
        <f t="shared" si="360"/>
        <v>19.1021967526266</v>
      </c>
      <c r="Q450" s="4" t="str">
        <f t="shared" si="361"/>
        <v>1+294.64633874464i</v>
      </c>
      <c r="R450" s="4">
        <f t="shared" si="373"/>
        <v>294.64803568939863</v>
      </c>
      <c r="S450" s="4">
        <f t="shared" si="374"/>
        <v>1.5674024405352891</v>
      </c>
      <c r="T450" s="4" t="str">
        <f t="shared" si="362"/>
        <v>1+4.93591546665021i</v>
      </c>
      <c r="U450" s="4">
        <f t="shared" si="375"/>
        <v>5.0361951405715759</v>
      </c>
      <c r="V450" s="4">
        <f t="shared" si="376"/>
        <v>1.3709052274162832</v>
      </c>
      <c r="W450" t="str">
        <f t="shared" si="363"/>
        <v>1-2.7348822399436i</v>
      </c>
      <c r="X450" s="4">
        <f t="shared" si="377"/>
        <v>2.9119719892813052</v>
      </c>
      <c r="Y450" s="4">
        <f t="shared" si="378"/>
        <v>-1.220251132951564</v>
      </c>
      <c r="Z450" t="str">
        <f t="shared" si="364"/>
        <v>0.956348416775983+2.03475238651804i</v>
      </c>
      <c r="AA450" s="4">
        <f t="shared" si="379"/>
        <v>2.248292589657936</v>
      </c>
      <c r="AB450" s="4">
        <f t="shared" si="380"/>
        <v>1.1314294839120222</v>
      </c>
      <c r="AC450" s="47" t="str">
        <f t="shared" si="381"/>
        <v>-0.350582350131012-0.236472249006182i</v>
      </c>
      <c r="AD450" s="20">
        <f t="shared" si="382"/>
        <v>-7.4756664494556286</v>
      </c>
      <c r="AE450" s="43">
        <f t="shared" si="383"/>
        <v>-145.99983510680715</v>
      </c>
      <c r="AF450" t="str">
        <f t="shared" si="365"/>
        <v>69.5520360182888</v>
      </c>
      <c r="AG450" t="str">
        <f t="shared" si="366"/>
        <v>1+235.04359365001i</v>
      </c>
      <c r="AH450">
        <f t="shared" si="384"/>
        <v>235.04572090534009</v>
      </c>
      <c r="AI450">
        <f t="shared" si="385"/>
        <v>1.5665418225522512</v>
      </c>
      <c r="AJ450" t="str">
        <f t="shared" si="367"/>
        <v>1+4.93591546665021i</v>
      </c>
      <c r="AK450">
        <f t="shared" si="386"/>
        <v>5.0361951405715759</v>
      </c>
      <c r="AL450">
        <f t="shared" si="387"/>
        <v>1.3709052274162832</v>
      </c>
      <c r="AM450" t="str">
        <f t="shared" si="368"/>
        <v>1-0.599182677974949i</v>
      </c>
      <c r="AN450">
        <f t="shared" si="388"/>
        <v>1.1657700809272948</v>
      </c>
      <c r="AO450">
        <f t="shared" si="389"/>
        <v>-0.53981831148714021</v>
      </c>
      <c r="AP450" s="41" t="str">
        <f t="shared" si="390"/>
        <v>1.28824692742896-1.16559221185032i</v>
      </c>
      <c r="AQ450">
        <f t="shared" si="391"/>
        <v>4.797459067998104</v>
      </c>
      <c r="AR450" s="43">
        <f t="shared" si="392"/>
        <v>-42.138462171692169</v>
      </c>
      <c r="AS450" t="str">
        <f t="shared" si="369"/>
        <v>-0.0000166666666666667</v>
      </c>
      <c r="AT450" t="str">
        <f t="shared" si="370"/>
        <v>0.00446332781558796i</v>
      </c>
      <c r="AU450">
        <f t="shared" si="393"/>
        <v>4.4633278155879596E-3</v>
      </c>
      <c r="AV450">
        <f t="shared" si="394"/>
        <v>1.5707963267948966</v>
      </c>
      <c r="AW450" t="str">
        <f t="shared" si="371"/>
        <v>1+4.53591480774458i</v>
      </c>
      <c r="AX450">
        <f t="shared" si="395"/>
        <v>4.6448383333671099</v>
      </c>
      <c r="AY450">
        <f t="shared" si="396"/>
        <v>1.3538047308695793</v>
      </c>
      <c r="AZ450" t="str">
        <f t="shared" si="372"/>
        <v>1+154.221103463316i</v>
      </c>
      <c r="BA450">
        <f t="shared" si="397"/>
        <v>154.22434552768516</v>
      </c>
      <c r="BB450">
        <f t="shared" si="398"/>
        <v>1.56431222077464</v>
      </c>
      <c r="BC450" s="41" t="str">
        <f t="shared" si="399"/>
        <v>-0.0259076241440144+0.12124891055232i</v>
      </c>
      <c r="BD450">
        <f t="shared" si="400"/>
        <v>-18.132554050844764</v>
      </c>
      <c r="BE450" s="43">
        <f t="shared" si="401"/>
        <v>102.06119072745274</v>
      </c>
      <c r="BF450" s="41" t="str">
        <f t="shared" si="402"/>
        <v>0.037754758326576-0.0363812938645153i</v>
      </c>
      <c r="BG450" s="20">
        <f t="shared" si="403"/>
        <v>-25.608220500300391</v>
      </c>
      <c r="BH450" s="43">
        <f t="shared" si="404"/>
        <v>-43.938644379354457</v>
      </c>
      <c r="BI450" s="41" t="str">
        <f t="shared" si="409"/>
        <v>0.107951368634609+0.186396261402944i</v>
      </c>
      <c r="BJ450" s="20">
        <f t="shared" si="405"/>
        <v>-13.335094982846654</v>
      </c>
      <c r="BK450" s="43">
        <f t="shared" si="410"/>
        <v>59.92272855576072</v>
      </c>
      <c r="BL450">
        <f t="shared" si="406"/>
        <v>-25.608220500300391</v>
      </c>
      <c r="BM450" s="43">
        <f t="shared" si="407"/>
        <v>-43.938644379354457</v>
      </c>
    </row>
    <row r="451" spans="14:65" x14ac:dyDescent="0.25">
      <c r="N451" s="9">
        <v>33</v>
      </c>
      <c r="O451" s="34">
        <f t="shared" si="408"/>
        <v>213796.20895022334</v>
      </c>
      <c r="P451" s="33" t="str">
        <f t="shared" si="360"/>
        <v>19.1021967526266</v>
      </c>
      <c r="Q451" s="4" t="str">
        <f t="shared" si="361"/>
        <v>1+301.509533638571i</v>
      </c>
      <c r="R451" s="4">
        <f t="shared" si="373"/>
        <v>301.51119195636596</v>
      </c>
      <c r="S451" s="4">
        <f t="shared" si="374"/>
        <v>1.567479694245187</v>
      </c>
      <c r="T451" s="4" t="str">
        <f t="shared" si="362"/>
        <v>1+5.05088770751334i</v>
      </c>
      <c r="U451" s="4">
        <f t="shared" si="375"/>
        <v>5.1489286879805745</v>
      </c>
      <c r="V451" s="4">
        <f t="shared" si="376"/>
        <v>1.3753390161182124</v>
      </c>
      <c r="W451" t="str">
        <f t="shared" si="363"/>
        <v>1-2.79858583084738i</v>
      </c>
      <c r="X451" s="4">
        <f t="shared" si="377"/>
        <v>2.9718820051643569</v>
      </c>
      <c r="Y451" s="4">
        <f t="shared" si="378"/>
        <v>-1.2276123408008017</v>
      </c>
      <c r="Z451" t="str">
        <f t="shared" si="364"/>
        <v>0.954291181038512+2.08214785815045i</v>
      </c>
      <c r="AA451" s="4">
        <f t="shared" si="379"/>
        <v>2.2904172897986044</v>
      </c>
      <c r="AB451" s="4">
        <f t="shared" si="380"/>
        <v>1.1410446001689287</v>
      </c>
      <c r="AC451" s="47" t="str">
        <f t="shared" si="381"/>
        <v>-0.353861931308075-0.232241475428501i</v>
      </c>
      <c r="AD451" s="20">
        <f t="shared" si="382"/>
        <v>-7.4677259550028179</v>
      </c>
      <c r="AE451" s="43">
        <f t="shared" si="383"/>
        <v>-146.72289576139093</v>
      </c>
      <c r="AF451" t="str">
        <f t="shared" si="365"/>
        <v>69.5520360182888</v>
      </c>
      <c r="AG451" t="str">
        <f t="shared" si="366"/>
        <v>1+240.51846226254i</v>
      </c>
      <c r="AH451">
        <f t="shared" si="384"/>
        <v>240.52054109605041</v>
      </c>
      <c r="AI451">
        <f t="shared" si="385"/>
        <v>1.5666386657632316</v>
      </c>
      <c r="AJ451" t="str">
        <f t="shared" si="367"/>
        <v>1+5.05088770751334i</v>
      </c>
      <c r="AK451">
        <f t="shared" si="386"/>
        <v>5.1489286879805745</v>
      </c>
      <c r="AL451">
        <f t="shared" si="387"/>
        <v>1.3753390161182124</v>
      </c>
      <c r="AM451" t="str">
        <f t="shared" si="368"/>
        <v>1-0.613139435467779i</v>
      </c>
      <c r="AN451">
        <f t="shared" si="388"/>
        <v>1.1730046748950946</v>
      </c>
      <c r="AO451">
        <f t="shared" si="389"/>
        <v>-0.55002487223450325</v>
      </c>
      <c r="AP451" s="41" t="str">
        <f t="shared" si="390"/>
        <v>1.28819131522505-1.17936658047515i</v>
      </c>
      <c r="AQ451">
        <f t="shared" si="391"/>
        <v>4.8434859090234141</v>
      </c>
      <c r="AR451" s="43">
        <f t="shared" si="392"/>
        <v>-42.474766353250089</v>
      </c>
      <c r="AS451" t="str">
        <f t="shared" si="369"/>
        <v>-0.0000166666666666667</v>
      </c>
      <c r="AT451" t="str">
        <f t="shared" si="370"/>
        <v>0.00456729207594292i</v>
      </c>
      <c r="AU451">
        <f t="shared" si="393"/>
        <v>4.5672920759429201E-3</v>
      </c>
      <c r="AV451">
        <f t="shared" si="394"/>
        <v>1.5707963267948966</v>
      </c>
      <c r="AW451" t="str">
        <f t="shared" si="371"/>
        <v>1+4.64156983634752i</v>
      </c>
      <c r="AX451">
        <f t="shared" si="395"/>
        <v>4.7480701917401289</v>
      </c>
      <c r="AY451">
        <f t="shared" si="396"/>
        <v>1.3585954873960742</v>
      </c>
      <c r="AZ451" t="str">
        <f t="shared" si="372"/>
        <v>1+157.813374435816i</v>
      </c>
      <c r="BA451">
        <f t="shared" si="397"/>
        <v>157.81654270328909</v>
      </c>
      <c r="BB451">
        <f t="shared" si="398"/>
        <v>1.5644598130505007</v>
      </c>
      <c r="BC451" s="41" t="str">
        <f t="shared" si="399"/>
        <v>-0.0247933112263042+0.118729020815192i</v>
      </c>
      <c r="BD451">
        <f t="shared" si="400"/>
        <v>-18.323492826963157</v>
      </c>
      <c r="BE451" s="43">
        <f t="shared" si="401"/>
        <v>101.7951570123054</v>
      </c>
      <c r="BF451" s="41" t="str">
        <f t="shared" si="402"/>
        <v>0.0363472119643636-0.0362556454280256i</v>
      </c>
      <c r="BG451" s="20">
        <f t="shared" si="403"/>
        <v>-25.791218781965966</v>
      </c>
      <c r="BH451" s="43">
        <f t="shared" si="404"/>
        <v>-44.927738749085513</v>
      </c>
      <c r="BI451" s="41" t="str">
        <f t="shared" si="409"/>
        <v>0.108086511084579+0.182186096158927i</v>
      </c>
      <c r="BJ451" s="20">
        <f t="shared" si="405"/>
        <v>-13.480006917939747</v>
      </c>
      <c r="BK451" s="43">
        <f t="shared" si="410"/>
        <v>59.320390659055334</v>
      </c>
      <c r="BL451">
        <f t="shared" si="406"/>
        <v>-25.791218781965966</v>
      </c>
      <c r="BM451" s="43">
        <f t="shared" si="407"/>
        <v>-44.927738749085513</v>
      </c>
    </row>
    <row r="452" spans="14:65" x14ac:dyDescent="0.25">
      <c r="N452" s="9">
        <v>34</v>
      </c>
      <c r="O452" s="34">
        <f t="shared" si="408"/>
        <v>218776.16239495538</v>
      </c>
      <c r="P452" s="33" t="str">
        <f t="shared" si="360"/>
        <v>19.1021967526266</v>
      </c>
      <c r="Q452" s="4" t="str">
        <f t="shared" si="361"/>
        <v>1+308.532592878188i</v>
      </c>
      <c r="R452" s="4">
        <f t="shared" si="373"/>
        <v>308.53421344826199</v>
      </c>
      <c r="S452" s="4">
        <f t="shared" si="374"/>
        <v>1.5675551894842095</v>
      </c>
      <c r="T452" s="4" t="str">
        <f t="shared" si="362"/>
        <v>1+5.1685379958954i</v>
      </c>
      <c r="U452" s="4">
        <f t="shared" si="375"/>
        <v>5.2643883799558742</v>
      </c>
      <c r="V452" s="4">
        <f t="shared" si="376"/>
        <v>1.3796794141800692</v>
      </c>
      <c r="W452" t="str">
        <f t="shared" si="363"/>
        <v>1-2.86377326900233i</v>
      </c>
      <c r="X452" s="4">
        <f t="shared" si="377"/>
        <v>3.0333475462353947</v>
      </c>
      <c r="Y452" s="4">
        <f t="shared" si="378"/>
        <v>-1.2348436005843921</v>
      </c>
      <c r="Z452" t="str">
        <f t="shared" si="364"/>
        <v>0.952136990767736+2.13064731213773i</v>
      </c>
      <c r="AA452" s="4">
        <f t="shared" si="379"/>
        <v>2.3337143822473161</v>
      </c>
      <c r="AB452" s="4">
        <f t="shared" si="380"/>
        <v>1.1505426356681332</v>
      </c>
      <c r="AC452" s="47" t="str">
        <f t="shared" si="381"/>
        <v>-0.357048516251029-0.228016848400179i</v>
      </c>
      <c r="AD452" s="20">
        <f t="shared" si="382"/>
        <v>-7.4599524886959259</v>
      </c>
      <c r="AE452" s="43">
        <f t="shared" si="383"/>
        <v>-147.43705284354144</v>
      </c>
      <c r="AF452" t="str">
        <f t="shared" si="365"/>
        <v>69.5520360182888</v>
      </c>
      <c r="AG452" t="str">
        <f t="shared" si="366"/>
        <v>1+246.120856947401i</v>
      </c>
      <c r="AH452">
        <f t="shared" si="384"/>
        <v>246.12288846127865</v>
      </c>
      <c r="AI452">
        <f t="shared" si="385"/>
        <v>1.566733304628956</v>
      </c>
      <c r="AJ452" t="str">
        <f t="shared" si="367"/>
        <v>1+5.1685379958954i</v>
      </c>
      <c r="AK452">
        <f t="shared" si="386"/>
        <v>5.2643883799558742</v>
      </c>
      <c r="AL452">
        <f t="shared" si="387"/>
        <v>1.3796794141800692</v>
      </c>
      <c r="AM452" t="str">
        <f t="shared" si="368"/>
        <v>1-0.627421287605156i</v>
      </c>
      <c r="AN452">
        <f t="shared" si="388"/>
        <v>1.1805327069336589</v>
      </c>
      <c r="AO452">
        <f t="shared" si="389"/>
        <v>-0.5603385715334207</v>
      </c>
      <c r="AP452" s="41" t="str">
        <f t="shared" si="390"/>
        <v>1.28813820589802-1.19376624405349i</v>
      </c>
      <c r="AQ452">
        <f t="shared" si="391"/>
        <v>4.8916758028043015</v>
      </c>
      <c r="AR452" s="43">
        <f t="shared" si="392"/>
        <v>-42.822433711478077</v>
      </c>
      <c r="AS452" t="str">
        <f t="shared" si="369"/>
        <v>-0.0000166666666666667</v>
      </c>
      <c r="AT452" t="str">
        <f t="shared" si="370"/>
        <v>0.0046736779750118i</v>
      </c>
      <c r="AU452">
        <f t="shared" si="393"/>
        <v>4.6736779750117998E-3</v>
      </c>
      <c r="AV452">
        <f t="shared" si="394"/>
        <v>1.5707963267948966</v>
      </c>
      <c r="AW452" t="str">
        <f t="shared" si="371"/>
        <v>1+4.74968588671615i</v>
      </c>
      <c r="AX452">
        <f t="shared" si="395"/>
        <v>4.8538145846818841</v>
      </c>
      <c r="AY452">
        <f t="shared" si="396"/>
        <v>1.3632867684477341</v>
      </c>
      <c r="AZ452" t="str">
        <f t="shared" si="372"/>
        <v>1+161.489320148349i</v>
      </c>
      <c r="BA452">
        <f t="shared" si="397"/>
        <v>161.49241629864838</v>
      </c>
      <c r="BB452">
        <f t="shared" si="398"/>
        <v>1.5646040459827568</v>
      </c>
      <c r="BC452" s="41" t="str">
        <f t="shared" si="399"/>
        <v>-0.0237247928244829+0.116251384467541i</v>
      </c>
      <c r="BD452">
        <f t="shared" si="400"/>
        <v>-18.514821709063959</v>
      </c>
      <c r="BE452" s="43">
        <f t="shared" si="401"/>
        <v>101.53463034582066</v>
      </c>
      <c r="BF452" s="41" t="str">
        <f t="shared" si="402"/>
        <v>0.0349781763847909-0.0360977318474777i</v>
      </c>
      <c r="BG452" s="20">
        <f t="shared" si="403"/>
        <v>-25.974774197759881</v>
      </c>
      <c r="BH452" s="43">
        <f t="shared" si="404"/>
        <v>-45.902422497720792</v>
      </c>
      <c r="BI452" s="41" t="str">
        <f t="shared" si="409"/>
        <v>0.108216166537603+0.178069706642209i</v>
      </c>
      <c r="BJ452" s="20">
        <f t="shared" si="405"/>
        <v>-13.623145906259671</v>
      </c>
      <c r="BK452" s="43">
        <f t="shared" si="410"/>
        <v>58.71219663434254</v>
      </c>
      <c r="BL452">
        <f t="shared" si="406"/>
        <v>-25.974774197759881</v>
      </c>
      <c r="BM452" s="43">
        <f t="shared" si="407"/>
        <v>-45.902422497720792</v>
      </c>
    </row>
    <row r="453" spans="14:65" x14ac:dyDescent="0.25">
      <c r="N453" s="9">
        <v>35</v>
      </c>
      <c r="O453" s="34">
        <f t="shared" si="408"/>
        <v>223872.11385683404</v>
      </c>
      <c r="P453" s="33" t="str">
        <f t="shared" si="360"/>
        <v>19.1021967526266</v>
      </c>
      <c r="Q453" s="4" t="str">
        <f t="shared" si="361"/>
        <v>1+315.719240182462i</v>
      </c>
      <c r="R453" s="4">
        <f t="shared" si="373"/>
        <v>315.72082386404469</v>
      </c>
      <c r="S453" s="4">
        <f t="shared" si="374"/>
        <v>1.5676289662774878</v>
      </c>
      <c r="T453" s="4" t="str">
        <f t="shared" si="362"/>
        <v>1+5.28892871153659i</v>
      </c>
      <c r="U453" s="4">
        <f t="shared" si="375"/>
        <v>5.382635684840289</v>
      </c>
      <c r="V453" s="4">
        <f t="shared" si="376"/>
        <v>1.3839280684722222</v>
      </c>
      <c r="W453" t="str">
        <f t="shared" si="363"/>
        <v>1-2.93047911765104i</v>
      </c>
      <c r="X453" s="4">
        <f t="shared" si="377"/>
        <v>3.0964024058556765</v>
      </c>
      <c r="Y453" s="4">
        <f t="shared" si="378"/>
        <v>-1.2419457204202471</v>
      </c>
      <c r="Z453" t="str">
        <f t="shared" si="364"/>
        <v>0.949881276637272+2.18027646353237i</v>
      </c>
      <c r="AA453" s="4">
        <f t="shared" si="379"/>
        <v>2.3782093888342279</v>
      </c>
      <c r="AB453" s="4">
        <f t="shared" si="380"/>
        <v>1.1599228282994762</v>
      </c>
      <c r="AC453" s="47" t="str">
        <f t="shared" si="381"/>
        <v>-0.360142690831019-0.223801077472277i</v>
      </c>
      <c r="AD453" s="20">
        <f t="shared" si="382"/>
        <v>-7.4523524047663647</v>
      </c>
      <c r="AE453" s="43">
        <f t="shared" si="383"/>
        <v>-148.14221692385806</v>
      </c>
      <c r="AF453" t="str">
        <f t="shared" si="365"/>
        <v>69.5520360182888</v>
      </c>
      <c r="AG453" t="str">
        <f t="shared" si="366"/>
        <v>1+251.85374816841i</v>
      </c>
      <c r="AH453">
        <f t="shared" si="384"/>
        <v>251.85573343975491</v>
      </c>
      <c r="AI453">
        <f t="shared" si="385"/>
        <v>1.5668257893214188</v>
      </c>
      <c r="AJ453" t="str">
        <f t="shared" si="367"/>
        <v>1+5.28892871153659i</v>
      </c>
      <c r="AK453">
        <f t="shared" si="386"/>
        <v>5.382635684840289</v>
      </c>
      <c r="AL453">
        <f t="shared" si="387"/>
        <v>1.3839280684722222</v>
      </c>
      <c r="AM453" t="str">
        <f t="shared" si="368"/>
        <v>1-0.642035806814126i</v>
      </c>
      <c r="AN453">
        <f t="shared" si="388"/>
        <v>1.1883644126409483</v>
      </c>
      <c r="AO453">
        <f t="shared" si="389"/>
        <v>-0.57075610072801919</v>
      </c>
      <c r="AP453" s="41" t="str">
        <f t="shared" si="390"/>
        <v>1.28808748680734-1.20879883886706i</v>
      </c>
      <c r="AQ453">
        <f t="shared" si="391"/>
        <v>4.9420525965951461</v>
      </c>
      <c r="AR453" s="43">
        <f t="shared" si="392"/>
        <v>-43.181183190279953</v>
      </c>
      <c r="AS453" t="str">
        <f t="shared" si="369"/>
        <v>-0.0000166666666666667</v>
      </c>
      <c r="AT453" t="str">
        <f t="shared" si="370"/>
        <v>0.00478254192000648i</v>
      </c>
      <c r="AU453">
        <f t="shared" si="393"/>
        <v>4.7825419200064802E-3</v>
      </c>
      <c r="AV453">
        <f t="shared" si="394"/>
        <v>1.5707963267948966</v>
      </c>
      <c r="AW453" t="str">
        <f t="shared" si="371"/>
        <v>1+4.86032028341145i</v>
      </c>
      <c r="AX453">
        <f t="shared" si="395"/>
        <v>4.9621278961087603</v>
      </c>
      <c r="AY453">
        <f t="shared" si="396"/>
        <v>1.3678802350501795</v>
      </c>
      <c r="AZ453" t="str">
        <f t="shared" si="372"/>
        <v>1+165.250889635989i</v>
      </c>
      <c r="BA453">
        <f t="shared" si="397"/>
        <v>165.25391531060865</v>
      </c>
      <c r="BB453">
        <f t="shared" si="398"/>
        <v>1.5647449960216004</v>
      </c>
      <c r="BC453" s="41" t="str">
        <f t="shared" si="399"/>
        <v>-0.0227003673736714+0.113815953128758i</v>
      </c>
      <c r="BD453">
        <f t="shared" si="400"/>
        <v>-18.706524633577093</v>
      </c>
      <c r="BE453" s="43">
        <f t="shared" si="401"/>
        <v>101.27951993851417</v>
      </c>
      <c r="BF453" s="41" t="str">
        <f t="shared" si="402"/>
        <v>0.0336475043325569-0.0359096169420439i</v>
      </c>
      <c r="BG453" s="20">
        <f t="shared" si="403"/>
        <v>-26.158877038343455</v>
      </c>
      <c r="BH453" s="43">
        <f t="shared" si="404"/>
        <v>-46.862696985343909</v>
      </c>
      <c r="BI453" s="41" t="str">
        <f t="shared" si="409"/>
        <v>0.108340532826635+0.174045082747354i</v>
      </c>
      <c r="BJ453" s="20">
        <f t="shared" si="405"/>
        <v>-13.764472036981923</v>
      </c>
      <c r="BK453" s="43">
        <f t="shared" si="410"/>
        <v>58.098336748234225</v>
      </c>
      <c r="BL453">
        <f t="shared" si="406"/>
        <v>-26.158877038343455</v>
      </c>
      <c r="BM453" s="43">
        <f t="shared" si="407"/>
        <v>-46.862696985343909</v>
      </c>
    </row>
    <row r="454" spans="14:65" x14ac:dyDescent="0.25">
      <c r="N454" s="9">
        <v>36</v>
      </c>
      <c r="O454" s="34">
        <f t="shared" si="408"/>
        <v>229086.76527677779</v>
      </c>
      <c r="P454" s="33" t="str">
        <f t="shared" si="360"/>
        <v>19.1021967526266</v>
      </c>
      <c r="Q454" s="4" t="str">
        <f t="shared" si="361"/>
        <v>1+323.073286006917i</v>
      </c>
      <c r="R454" s="4">
        <f t="shared" si="373"/>
        <v>323.07483363968043</v>
      </c>
      <c r="S454" s="4">
        <f t="shared" si="374"/>
        <v>1.5677010637392399</v>
      </c>
      <c r="T454" s="4" t="str">
        <f t="shared" si="362"/>
        <v>1+5.41212368718787i</v>
      </c>
      <c r="U454" s="4">
        <f t="shared" si="375"/>
        <v>5.5037335332862938</v>
      </c>
      <c r="V454" s="4">
        <f t="shared" si="376"/>
        <v>1.3880866178485338</v>
      </c>
      <c r="W454" t="str">
        <f t="shared" si="363"/>
        <v>1-2.9987387451174i</v>
      </c>
      <c r="X454" s="4">
        <f t="shared" si="377"/>
        <v>3.1610811538883778</v>
      </c>
      <c r="Y454" s="4">
        <f t="shared" si="378"/>
        <v>-1.2489195991696835</v>
      </c>
      <c r="Z454" t="str">
        <f t="shared" si="364"/>
        <v>0.947519253975022+2.23106162636734i</v>
      </c>
      <c r="AA454" s="4">
        <f t="shared" si="379"/>
        <v>2.4239283647216685</v>
      </c>
      <c r="AB454" s="4">
        <f t="shared" si="380"/>
        <v>1.1691846011668063</v>
      </c>
      <c r="AC454" s="47" t="str">
        <f t="shared" si="381"/>
        <v>-0.36314519416912-0.219596770110789i</v>
      </c>
      <c r="AD454" s="20">
        <f t="shared" si="382"/>
        <v>-7.4449310309828709</v>
      </c>
      <c r="AE454" s="43">
        <f t="shared" si="383"/>
        <v>-148.8383147912561</v>
      </c>
      <c r="AF454" t="str">
        <f t="shared" si="365"/>
        <v>69.5520360182888</v>
      </c>
      <c r="AG454" t="str">
        <f t="shared" si="366"/>
        <v>1+257.720175580375i</v>
      </c>
      <c r="AH454">
        <f t="shared" si="384"/>
        <v>257.72211566177106</v>
      </c>
      <c r="AI454">
        <f t="shared" si="385"/>
        <v>1.5669161688708957</v>
      </c>
      <c r="AJ454" t="str">
        <f t="shared" si="367"/>
        <v>1+5.41212368718787i</v>
      </c>
      <c r="AK454">
        <f t="shared" si="386"/>
        <v>5.5037335332862938</v>
      </c>
      <c r="AL454">
        <f t="shared" si="387"/>
        <v>1.3880866178485338</v>
      </c>
      <c r="AM454" t="str">
        <f t="shared" si="368"/>
        <v>1-0.656990741906214i</v>
      </c>
      <c r="AN454">
        <f t="shared" si="388"/>
        <v>1.1965102736502005</v>
      </c>
      <c r="AO454">
        <f t="shared" si="389"/>
        <v>-0.58127393855164322</v>
      </c>
      <c r="AP454" s="41" t="str">
        <f t="shared" si="390"/>
        <v>1.28803905038141-1.22447233669334i</v>
      </c>
      <c r="AQ454">
        <f t="shared" si="391"/>
        <v>4.9946398193538881</v>
      </c>
      <c r="AR454" s="43">
        <f t="shared" si="392"/>
        <v>-43.550721945756635</v>
      </c>
      <c r="AS454" t="str">
        <f t="shared" si="369"/>
        <v>-0.0000166666666666667</v>
      </c>
      <c r="AT454" t="str">
        <f t="shared" si="370"/>
        <v>0.00489394163203159i</v>
      </c>
      <c r="AU454">
        <f t="shared" si="393"/>
        <v>4.89394163203159E-3</v>
      </c>
      <c r="AV454">
        <f t="shared" si="394"/>
        <v>1.5707963267948966</v>
      </c>
      <c r="AW454" t="str">
        <f t="shared" si="371"/>
        <v>1+4.97353168625494i</v>
      </c>
      <c r="AX454">
        <f t="shared" si="395"/>
        <v>5.0730678523140122</v>
      </c>
      <c r="AY454">
        <f t="shared" si="396"/>
        <v>1.372377546981828</v>
      </c>
      <c r="AZ454" t="str">
        <f t="shared" si="372"/>
        <v>1+169.100077332668i</v>
      </c>
      <c r="BA454">
        <f t="shared" si="397"/>
        <v>169.10303413574312</v>
      </c>
      <c r="BB454">
        <f t="shared" si="398"/>
        <v>1.5648827378781929</v>
      </c>
      <c r="BC454" s="41" t="str">
        <f t="shared" si="399"/>
        <v>-0.0217183811795149+0.111422628168465i</v>
      </c>
      <c r="BD454">
        <f t="shared" si="400"/>
        <v>-18.898586136471412</v>
      </c>
      <c r="BE454" s="43">
        <f t="shared" si="401"/>
        <v>101.02973497272197</v>
      </c>
      <c r="BF454" s="41" t="str">
        <f t="shared" si="402"/>
        <v>0.0323549750135242-0.0356933055820145i</v>
      </c>
      <c r="BG454" s="20">
        <f t="shared" si="403"/>
        <v>-26.34351716745428</v>
      </c>
      <c r="BH454" s="43">
        <f t="shared" si="404"/>
        <v>-47.80857981853417</v>
      </c>
      <c r="BI454" s="41" t="str">
        <f t="shared" si="409"/>
        <v>0.10845980280367+0.170110253129188i</v>
      </c>
      <c r="BJ454" s="20">
        <f t="shared" si="405"/>
        <v>-13.90394631711751</v>
      </c>
      <c r="BK454" s="43">
        <f t="shared" si="410"/>
        <v>57.479013026965276</v>
      </c>
      <c r="BL454">
        <f t="shared" si="406"/>
        <v>-26.34351716745428</v>
      </c>
      <c r="BM454" s="43">
        <f t="shared" si="407"/>
        <v>-47.80857981853417</v>
      </c>
    </row>
    <row r="455" spans="14:65" x14ac:dyDescent="0.25">
      <c r="N455" s="9">
        <v>37</v>
      </c>
      <c r="O455" s="34">
        <f t="shared" si="408"/>
        <v>234422.88153199267</v>
      </c>
      <c r="P455" s="33" t="str">
        <f t="shared" si="360"/>
        <v>19.1021967526266</v>
      </c>
      <c r="Q455" s="4" t="str">
        <f t="shared" si="361"/>
        <v>1+330.598629563995i</v>
      </c>
      <c r="R455" s="4">
        <f t="shared" si="373"/>
        <v>330.60014196849886</v>
      </c>
      <c r="S455" s="4">
        <f t="shared" si="374"/>
        <v>1.5677715200934943</v>
      </c>
      <c r="T455" s="4" t="str">
        <f t="shared" si="362"/>
        <v>1+5.53818824245603i</v>
      </c>
      <c r="U455" s="4">
        <f t="shared" si="375"/>
        <v>5.6277463525711786</v>
      </c>
      <c r="V455" s="4">
        <f t="shared" si="376"/>
        <v>1.3921566916181067</v>
      </c>
      <c r="W455" t="str">
        <f t="shared" si="363"/>
        <v>1-3.06858834355942i</v>
      </c>
      <c r="X455" s="4">
        <f t="shared" si="377"/>
        <v>3.2274191581244516</v>
      </c>
      <c r="Y455" s="4">
        <f t="shared" si="378"/>
        <v>-1.2557662201810442</v>
      </c>
      <c r="Z455" t="str">
        <f t="shared" si="364"/>
        <v>0.945045912614237+2.2830297276082i</v>
      </c>
      <c r="AA455" s="4">
        <f t="shared" si="379"/>
        <v>2.470897916566293</v>
      </c>
      <c r="AB455" s="4">
        <f t="shared" si="380"/>
        <v>1.1783275566789027</v>
      </c>
      <c r="AC455" s="47" t="str">
        <f t="shared" si="381"/>
        <v>-0.366056907330405-0.215406425834397i</v>
      </c>
      <c r="AD455" s="20">
        <f t="shared" si="382"/>
        <v>-7.4376927420944821</v>
      </c>
      <c r="AE455" s="43">
        <f t="shared" si="383"/>
        <v>-149.52528884468683</v>
      </c>
      <c r="AF455" t="str">
        <f t="shared" si="365"/>
        <v>69.5520360182888</v>
      </c>
      <c r="AG455" t="str">
        <f t="shared" si="366"/>
        <v>1+263.723249640764i</v>
      </c>
      <c r="AH455">
        <f t="shared" si="384"/>
        <v>263.72514556083706</v>
      </c>
      <c r="AI455">
        <f t="shared" si="385"/>
        <v>1.5670044911919108</v>
      </c>
      <c r="AJ455" t="str">
        <f t="shared" si="367"/>
        <v>1+5.53818824245603i</v>
      </c>
      <c r="AK455">
        <f t="shared" si="386"/>
        <v>5.6277463525711786</v>
      </c>
      <c r="AL455">
        <f t="shared" si="387"/>
        <v>1.3921566916181067</v>
      </c>
      <c r="AM455" t="str">
        <f t="shared" si="368"/>
        <v>1-0.672294022185963i</v>
      </c>
      <c r="AN455">
        <f t="shared" si="388"/>
        <v>1.2049810173886475</v>
      </c>
      <c r="AO455">
        <f t="shared" si="389"/>
        <v>-0.59188835322455879</v>
      </c>
      <c r="AP455" s="41" t="str">
        <f t="shared" si="390"/>
        <v>1.28799279388958-1.24079504903853i</v>
      </c>
      <c r="AQ455">
        <f t="shared" si="391"/>
        <v>5.0494605509089094</v>
      </c>
      <c r="AR455" s="43">
        <f t="shared" si="392"/>
        <v>-43.930745555443892</v>
      </c>
      <c r="AS455" t="str">
        <f t="shared" si="369"/>
        <v>-0.0000166666666666667</v>
      </c>
      <c r="AT455" t="str">
        <f t="shared" si="370"/>
        <v>0.00500793617668896i</v>
      </c>
      <c r="AU455">
        <f t="shared" si="393"/>
        <v>5.0079361766889596E-3</v>
      </c>
      <c r="AV455">
        <f t="shared" si="394"/>
        <v>1.5707963267948966</v>
      </c>
      <c r="AW455" t="str">
        <f t="shared" si="371"/>
        <v>1+5.08938012143097i</v>
      </c>
      <c r="AX455">
        <f t="shared" si="395"/>
        <v>5.1866935537408336</v>
      </c>
      <c r="AY455">
        <f t="shared" si="396"/>
        <v>1.3767803607382076</v>
      </c>
      <c r="AZ455" t="str">
        <f t="shared" si="372"/>
        <v>1+173.038924128653i</v>
      </c>
      <c r="BA455">
        <f t="shared" si="397"/>
        <v>173.04181362781</v>
      </c>
      <c r="BB455">
        <f t="shared" si="398"/>
        <v>1.5650173445641711</v>
      </c>
      <c r="BC455" s="41" t="str">
        <f t="shared" si="399"/>
        <v>-0.0207772284392229+0.109071264330297i</v>
      </c>
      <c r="BD455">
        <f t="shared" si="400"/>
        <v>-19.090991336150481</v>
      </c>
      <c r="BE455" s="43">
        <f t="shared" si="401"/>
        <v>100.78518472150009</v>
      </c>
      <c r="BF455" s="41" t="str">
        <f t="shared" si="402"/>
        <v>0.0311002991959873-0.0354507411825278i</v>
      </c>
      <c r="BG455" s="20">
        <f t="shared" si="403"/>
        <v>-26.528684078244972</v>
      </c>
      <c r="BH455" s="43">
        <f t="shared" si="404"/>
        <v>-48.740104123186725</v>
      </c>
      <c r="BI455" s="41" t="str">
        <f t="shared" si="409"/>
        <v>0.108574164266689+0.166263284657978i</v>
      </c>
      <c r="BJ455" s="20">
        <f t="shared" si="405"/>
        <v>-14.04153078524158</v>
      </c>
      <c r="BK455" s="43">
        <f t="shared" si="410"/>
        <v>56.854439166056025</v>
      </c>
      <c r="BL455">
        <f t="shared" si="406"/>
        <v>-26.528684078244972</v>
      </c>
      <c r="BM455" s="43">
        <f t="shared" si="407"/>
        <v>-48.740104123186725</v>
      </c>
    </row>
    <row r="456" spans="14:65" x14ac:dyDescent="0.25">
      <c r="N456" s="9">
        <v>38</v>
      </c>
      <c r="O456" s="34">
        <f t="shared" si="408"/>
        <v>239883.29190194907</v>
      </c>
      <c r="P456" s="33" t="str">
        <f t="shared" si="360"/>
        <v>19.1021967526266</v>
      </c>
      <c r="Q456" s="4" t="str">
        <f t="shared" si="361"/>
        <v>1+338.299260890456i</v>
      </c>
      <c r="R456" s="4">
        <f t="shared" si="373"/>
        <v>338.30073886858247</v>
      </c>
      <c r="S456" s="4">
        <f t="shared" si="374"/>
        <v>1.5678403726943428</v>
      </c>
      <c r="T456" s="4" t="str">
        <f t="shared" si="362"/>
        <v>1+5.6671892184369i</v>
      </c>
      <c r="U456" s="4">
        <f t="shared" si="375"/>
        <v>5.7547401016525006</v>
      </c>
      <c r="V456" s="4">
        <f t="shared" si="376"/>
        <v>1.3961399081402914</v>
      </c>
      <c r="W456" t="str">
        <f t="shared" si="363"/>
        <v>1-3.14006494815875i</v>
      </c>
      <c r="X456" s="4">
        <f t="shared" si="377"/>
        <v>3.2954526060399068</v>
      </c>
      <c r="Y456" s="4">
        <f t="shared" si="378"/>
        <v>-1.2624866452008789</v>
      </c>
      <c r="Z456" t="str">
        <f t="shared" si="364"/>
        <v>0.942456006266284+2.33620832143011i</v>
      </c>
      <c r="AA456" s="4">
        <f t="shared" si="379"/>
        <v>2.5191452210753327</v>
      </c>
      <c r="AB456" s="4">
        <f t="shared" si="380"/>
        <v>1.1873514703943757</v>
      </c>
      <c r="AC456" s="47" t="str">
        <f t="shared" si="381"/>
        <v>-0.368878842054485-0.211232431334014i</v>
      </c>
      <c r="AD456" s="20">
        <f t="shared" si="382"/>
        <v>-7.4306410310741118</v>
      </c>
      <c r="AE456" s="43">
        <f t="shared" si="383"/>
        <v>-150.20309647327355</v>
      </c>
      <c r="AF456" t="str">
        <f t="shared" si="365"/>
        <v>69.5520360182888</v>
      </c>
      <c r="AG456" t="str">
        <f t="shared" si="366"/>
        <v>1+269.866153258901i</v>
      </c>
      <c r="AH456">
        <f t="shared" si="384"/>
        <v>269.86800602286417</v>
      </c>
      <c r="AI456">
        <f t="shared" si="385"/>
        <v>1.5670908031086126</v>
      </c>
      <c r="AJ456" t="str">
        <f t="shared" si="367"/>
        <v>1+5.6671892184369i</v>
      </c>
      <c r="AK456">
        <f t="shared" si="386"/>
        <v>5.7547401016525006</v>
      </c>
      <c r="AL456">
        <f t="shared" si="387"/>
        <v>1.3961399081402914</v>
      </c>
      <c r="AM456" t="str">
        <f t="shared" si="368"/>
        <v>1-0.687953761655136i</v>
      </c>
      <c r="AN456">
        <f t="shared" si="388"/>
        <v>1.2137876165851469</v>
      </c>
      <c r="AO456">
        <f t="shared" si="389"/>
        <v>-0.60259540549249191</v>
      </c>
      <c r="AP456" s="41" t="str">
        <f t="shared" si="390"/>
        <v>1.28794861922431-1.25777563155021i</v>
      </c>
      <c r="AQ456">
        <f t="shared" si="391"/>
        <v>5.106537290682712</v>
      </c>
      <c r="AR456" s="43">
        <f t="shared" si="392"/>
        <v>-44.320938274363172</v>
      </c>
      <c r="AS456" t="str">
        <f t="shared" si="369"/>
        <v>-0.0000166666666666667</v>
      </c>
      <c r="AT456" t="str">
        <f t="shared" si="370"/>
        <v>0.00512458599539507i</v>
      </c>
      <c r="AU456">
        <f t="shared" si="393"/>
        <v>5.1245859953950703E-3</v>
      </c>
      <c r="AV456">
        <f t="shared" si="394"/>
        <v>1.5707963267948966</v>
      </c>
      <c r="AW456" t="str">
        <f t="shared" si="371"/>
        <v>1+5.20792701331327i</v>
      </c>
      <c r="AX456">
        <f t="shared" si="395"/>
        <v>5.3030655074209747</v>
      </c>
      <c r="AY456">
        <f t="shared" si="396"/>
        <v>1.3810903276432021</v>
      </c>
      <c r="AZ456" t="str">
        <f t="shared" si="372"/>
        <v>1+177.069518452651i</v>
      </c>
      <c r="BA456">
        <f t="shared" si="397"/>
        <v>177.07234217983822</v>
      </c>
      <c r="BB456">
        <f t="shared" si="398"/>
        <v>1.565148887430259</v>
      </c>
      <c r="BC456" s="41" t="str">
        <f t="shared" si="399"/>
        <v>-0.019875351111349+0.106761673197125i</v>
      </c>
      <c r="BD456">
        <f t="shared" si="400"/>
        <v>-19.283725916367832</v>
      </c>
      <c r="BE456" s="43">
        <f t="shared" si="401"/>
        <v>100.5457786590546</v>
      </c>
      <c r="BF456" s="41" t="str">
        <f t="shared" si="402"/>
        <v>0.0298831243060969-0.0351838036458874i</v>
      </c>
      <c r="BG456" s="20">
        <f t="shared" si="403"/>
        <v>-26.714366947441938</v>
      </c>
      <c r="BH456" s="43">
        <f t="shared" si="404"/>
        <v>-49.657317814218956</v>
      </c>
      <c r="BI456" s="41" t="str">
        <f t="shared" si="409"/>
        <v>0.108683799910411+0.162502281876673i</v>
      </c>
      <c r="BJ456" s="20">
        <f t="shared" si="405"/>
        <v>-14.177188625685119</v>
      </c>
      <c r="BK456" s="43">
        <f t="shared" si="410"/>
        <v>56.224840384691326</v>
      </c>
      <c r="BL456">
        <f t="shared" si="406"/>
        <v>-26.714366947441938</v>
      </c>
      <c r="BM456" s="43">
        <f t="shared" si="407"/>
        <v>-49.657317814218956</v>
      </c>
    </row>
    <row r="457" spans="14:65" x14ac:dyDescent="0.25">
      <c r="N457" s="9">
        <v>39</v>
      </c>
      <c r="O457" s="34">
        <f t="shared" si="408"/>
        <v>245470.89156850305</v>
      </c>
      <c r="P457" s="33" t="str">
        <f t="shared" si="360"/>
        <v>19.1021967526266</v>
      </c>
      <c r="Q457" s="4" t="str">
        <f t="shared" si="361"/>
        <v>1+346.179262962961i</v>
      </c>
      <c r="R457" s="4">
        <f t="shared" si="373"/>
        <v>346.18070729834</v>
      </c>
      <c r="S457" s="4">
        <f t="shared" si="374"/>
        <v>1.5679076580457336</v>
      </c>
      <c r="T457" s="4" t="str">
        <f t="shared" si="362"/>
        <v>1+5.79919501315551i</v>
      </c>
      <c r="U457" s="4">
        <f t="shared" si="375"/>
        <v>5.8847823069853433</v>
      </c>
      <c r="V457" s="4">
        <f t="shared" si="376"/>
        <v>1.4000378735367485</v>
      </c>
      <c r="W457" t="str">
        <f t="shared" si="363"/>
        <v>1-3.21320645675727i</v>
      </c>
      <c r="X457" s="4">
        <f t="shared" si="377"/>
        <v>3.3652185268934036</v>
      </c>
      <c r="Y457" s="4">
        <f t="shared" si="378"/>
        <v>-1.2690820084649546</v>
      </c>
      <c r="Z457" t="str">
        <f t="shared" si="364"/>
        <v>0.939744041392565+2.39062560382741i</v>
      </c>
      <c r="AA457" s="4">
        <f t="shared" si="379"/>
        <v>2.5686980439530056</v>
      </c>
      <c r="AB457" s="4">
        <f t="shared" si="380"/>
        <v>1.1962562846687708</v>
      </c>
      <c r="AC457" s="47" t="str">
        <f t="shared" si="381"/>
        <v>-0.371612129597503-0.207077056528526i</v>
      </c>
      <c r="AD457" s="20">
        <f t="shared" si="382"/>
        <v>-7.4237785779605456</v>
      </c>
      <c r="AE457" s="43">
        <f t="shared" si="383"/>
        <v>-150.87170942868411</v>
      </c>
      <c r="AF457" t="str">
        <f t="shared" si="365"/>
        <v>69.5520360182888</v>
      </c>
      <c r="AG457" t="str">
        <f t="shared" si="366"/>
        <v>1+276.152143483596i</v>
      </c>
      <c r="AH457">
        <f t="shared" si="384"/>
        <v>276.15395407378213</v>
      </c>
      <c r="AI457">
        <f t="shared" si="385"/>
        <v>1.567175150379575</v>
      </c>
      <c r="AJ457" t="str">
        <f t="shared" si="367"/>
        <v>1+5.79919501315551i</v>
      </c>
      <c r="AK457">
        <f t="shared" si="386"/>
        <v>5.8847823069853433</v>
      </c>
      <c r="AL457">
        <f t="shared" si="387"/>
        <v>1.4000378735367485</v>
      </c>
      <c r="AM457" t="str">
        <f t="shared" si="368"/>
        <v>1-0.703978263314884i</v>
      </c>
      <c r="AN457">
        <f t="shared" si="388"/>
        <v>1.2229412885416209</v>
      </c>
      <c r="AO457">
        <f t="shared" si="389"/>
        <v>-0.61339095263036358</v>
      </c>
      <c r="AP457" s="41" t="str">
        <f t="shared" si="390"/>
        <v>1.28790643269312-1.27542308861204i</v>
      </c>
      <c r="AQ457">
        <f t="shared" si="391"/>
        <v>5.165891826677079</v>
      </c>
      <c r="AR457" s="43">
        <f t="shared" si="392"/>
        <v>-44.72097333963233</v>
      </c>
      <c r="AS457" t="str">
        <f t="shared" si="369"/>
        <v>-0.0000166666666666667</v>
      </c>
      <c r="AT457" t="str">
        <f t="shared" si="370"/>
        <v>0.00524395293742787i</v>
      </c>
      <c r="AU457">
        <f t="shared" si="393"/>
        <v>5.2439529374278702E-3</v>
      </c>
      <c r="AV457">
        <f t="shared" si="394"/>
        <v>1.5707963267948966</v>
      </c>
      <c r="AW457" t="str">
        <f t="shared" si="371"/>
        <v>1+5.32923521703309i</v>
      </c>
      <c r="AX457">
        <f t="shared" si="395"/>
        <v>5.4222456600993025</v>
      </c>
      <c r="AY457">
        <f t="shared" si="396"/>
        <v>1.3853090921007167</v>
      </c>
      <c r="AZ457" t="str">
        <f t="shared" si="372"/>
        <v>1+181.193997379125i</v>
      </c>
      <c r="BA457">
        <f t="shared" si="397"/>
        <v>181.19675683142444</v>
      </c>
      <c r="BB457">
        <f t="shared" si="398"/>
        <v>1.5652774362040056</v>
      </c>
      <c r="BC457" s="41" t="str">
        <f t="shared" si="399"/>
        <v>-0.0190112386496892+0.104493626498534i</v>
      </c>
      <c r="BD457">
        <f t="shared" si="400"/>
        <v>-19.476776109211468</v>
      </c>
      <c r="BE457" s="43">
        <f t="shared" si="401"/>
        <v>100.31142656307658</v>
      </c>
      <c r="BF457" s="41" t="str">
        <f t="shared" si="402"/>
        <v>0.028703039482205-0.0348943077319473i</v>
      </c>
      <c r="BG457" s="20">
        <f t="shared" si="403"/>
        <v>-26.900554687172008</v>
      </c>
      <c r="BH457" s="43">
        <f t="shared" si="404"/>
        <v>-50.560282865607498</v>
      </c>
      <c r="BI457" s="41" t="str">
        <f t="shared" si="409"/>
        <v>0.108788887298634+0.158825386459821i</v>
      </c>
      <c r="BJ457" s="20">
        <f t="shared" si="405"/>
        <v>-14.310884282534413</v>
      </c>
      <c r="BK457" s="43">
        <f t="shared" si="410"/>
        <v>55.590453223444285</v>
      </c>
      <c r="BL457">
        <f t="shared" si="406"/>
        <v>-26.900554687172008</v>
      </c>
      <c r="BM457" s="43">
        <f t="shared" si="407"/>
        <v>-50.560282865607498</v>
      </c>
    </row>
    <row r="458" spans="14:65" x14ac:dyDescent="0.25">
      <c r="N458" s="9">
        <v>40</v>
      </c>
      <c r="O458" s="34">
        <f t="shared" si="408"/>
        <v>251188.64315095844</v>
      </c>
      <c r="P458" s="33" t="str">
        <f t="shared" si="360"/>
        <v>19.1021967526266</v>
      </c>
      <c r="Q458" s="4" t="str">
        <f t="shared" si="361"/>
        <v>1+354.242813862916i</v>
      </c>
      <c r="R458" s="4">
        <f t="shared" si="373"/>
        <v>354.24422532134042</v>
      </c>
      <c r="S458" s="4">
        <f t="shared" si="374"/>
        <v>1.5679734118208117</v>
      </c>
      <c r="T458" s="4" t="str">
        <f t="shared" si="362"/>
        <v>1+5.93427561783156i</v>
      </c>
      <c r="U458" s="4">
        <f t="shared" si="375"/>
        <v>6.0179420991224344</v>
      </c>
      <c r="V458" s="4">
        <f t="shared" si="376"/>
        <v>1.4038521805144737</v>
      </c>
      <c r="W458" t="str">
        <f t="shared" si="363"/>
        <v>1-3.288051649951i</v>
      </c>
      <c r="X458" s="4">
        <f t="shared" si="377"/>
        <v>3.4367548141736113</v>
      </c>
      <c r="Y458" s="4">
        <f t="shared" si="378"/>
        <v>-1.2755535109791676</v>
      </c>
      <c r="Z458" t="str">
        <f t="shared" si="364"/>
        <v>0.93690426555198+2.44631042756354i</v>
      </c>
      <c r="AA458" s="4">
        <f t="shared" si="379"/>
        <v>2.6195847592348684</v>
      </c>
      <c r="AB458" s="4">
        <f t="shared" si="380"/>
        <v>1.205042102149682</v>
      </c>
      <c r="AC458" s="47" t="str">
        <f t="shared" si="381"/>
        <v>-0.374258009752775-0.202942451506741i</v>
      </c>
      <c r="AD458" s="20">
        <f t="shared" si="382"/>
        <v>-7.4171073161348637</v>
      </c>
      <c r="AE458" s="43">
        <f t="shared" si="383"/>
        <v>-151.53111319329335</v>
      </c>
      <c r="AF458" t="str">
        <f t="shared" si="365"/>
        <v>69.5520360182888</v>
      </c>
      <c r="AG458" t="str">
        <f t="shared" si="366"/>
        <v>1+282.584553230075i</v>
      </c>
      <c r="AH458">
        <f t="shared" si="384"/>
        <v>282.58632260645794</v>
      </c>
      <c r="AI458">
        <f t="shared" si="385"/>
        <v>1.5672575777220341</v>
      </c>
      <c r="AJ458" t="str">
        <f t="shared" si="367"/>
        <v>1+5.93427561783156i</v>
      </c>
      <c r="AK458">
        <f t="shared" si="386"/>
        <v>6.0179420991224344</v>
      </c>
      <c r="AL458">
        <f t="shared" si="387"/>
        <v>1.4038521805144737</v>
      </c>
      <c r="AM458" t="str">
        <f t="shared" si="368"/>
        <v>1-0.720376023568099i</v>
      </c>
      <c r="AN458">
        <f t="shared" si="388"/>
        <v>1.2324534941862051</v>
      </c>
      <c r="AO458">
        <f t="shared" si="389"/>
        <v>-0.62427065342842902</v>
      </c>
      <c r="AP458" s="41" t="str">
        <f t="shared" si="390"/>
        <v>1.28786614481992-1.29374677812304i</v>
      </c>
      <c r="AQ458">
        <f t="shared" si="391"/>
        <v>5.2275451054551292</v>
      </c>
      <c r="AR458" s="43">
        <f t="shared" si="392"/>
        <v>-45.130513324975269</v>
      </c>
      <c r="AS458" t="str">
        <f t="shared" si="369"/>
        <v>-0.0000166666666666667</v>
      </c>
      <c r="AT458" t="str">
        <f t="shared" si="370"/>
        <v>0.00536610029272003i</v>
      </c>
      <c r="AU458">
        <f t="shared" si="393"/>
        <v>5.36610029272003E-3</v>
      </c>
      <c r="AV458">
        <f t="shared" si="394"/>
        <v>1.5707963267948966</v>
      </c>
      <c r="AW458" t="str">
        <f t="shared" si="371"/>
        <v>1+5.45336905180579i</v>
      </c>
      <c r="AX458">
        <f t="shared" si="395"/>
        <v>5.5442974320641545</v>
      </c>
      <c r="AY458">
        <f t="shared" si="396"/>
        <v>1.38943828998025</v>
      </c>
      <c r="AZ458" t="str">
        <f t="shared" si="372"/>
        <v>1+185.414547761397i</v>
      </c>
      <c r="BA458">
        <f t="shared" si="397"/>
        <v>185.41724440181764</v>
      </c>
      <c r="BB458">
        <f t="shared" si="398"/>
        <v>1.5654030590266685</v>
      </c>
      <c r="BC458" s="41" t="str">
        <f t="shared" si="399"/>
        <v>-0.0181834276157284+0.102266859262125i</v>
      </c>
      <c r="BD458">
        <f t="shared" si="400"/>
        <v>-19.670128678204549</v>
      </c>
      <c r="BE458" s="43">
        <f t="shared" si="401"/>
        <v>100.08203860935402</v>
      </c>
      <c r="BF458" s="41" t="str">
        <f t="shared" si="402"/>
        <v>0.0275595805564967-0.0345840018339788i</v>
      </c>
      <c r="BG458" s="20">
        <f t="shared" si="403"/>
        <v>-27.087235994339402</v>
      </c>
      <c r="BH458" s="43">
        <f t="shared" si="404"/>
        <v>-51.449074583939357</v>
      </c>
      <c r="BI458" s="41" t="str">
        <f t="shared" si="409"/>
        <v>0.108889598856056+0.155230776673836i</v>
      </c>
      <c r="BJ458" s="20">
        <f t="shared" si="405"/>
        <v>-14.442583572749449</v>
      </c>
      <c r="BK458" s="43">
        <f t="shared" si="410"/>
        <v>54.951525284378789</v>
      </c>
      <c r="BL458">
        <f t="shared" si="406"/>
        <v>-27.087235994339402</v>
      </c>
      <c r="BM458" s="43">
        <f t="shared" si="407"/>
        <v>-51.449074583939357</v>
      </c>
    </row>
    <row r="459" spans="14:65" x14ac:dyDescent="0.25">
      <c r="N459" s="9">
        <v>41</v>
      </c>
      <c r="O459" s="34">
        <f t="shared" si="408"/>
        <v>257039.57827688678</v>
      </c>
      <c r="P459" s="33" t="str">
        <f t="shared" si="360"/>
        <v>19.1021967526266</v>
      </c>
      <c r="Q459" s="4" t="str">
        <f t="shared" si="361"/>
        <v>1+362.494188991736i</v>
      </c>
      <c r="R459" s="4">
        <f t="shared" si="373"/>
        <v>362.49556832156782</v>
      </c>
      <c r="S459" s="4">
        <f t="shared" si="374"/>
        <v>1.5680376688808235</v>
      </c>
      <c r="T459" s="4" t="str">
        <f t="shared" si="362"/>
        <v>1+6.07250265398956i</v>
      </c>
      <c r="U459" s="4">
        <f t="shared" si="375"/>
        <v>6.1542902501190389</v>
      </c>
      <c r="V459" s="4">
        <f t="shared" si="376"/>
        <v>1.4075844072938664</v>
      </c>
      <c r="W459" t="str">
        <f t="shared" si="363"/>
        <v>1-3.36464021165202i</v>
      </c>
      <c r="X459" s="4">
        <f t="shared" si="377"/>
        <v>3.5101002484068382</v>
      </c>
      <c r="Y459" s="4">
        <f t="shared" si="378"/>
        <v>-1.2819024149984524</v>
      </c>
      <c r="Z459" t="str">
        <f t="shared" si="364"/>
        <v>0.93393065519924+2.5032923174691i</v>
      </c>
      <c r="AA459" s="4">
        <f t="shared" si="379"/>
        <v>2.6718343690095572</v>
      </c>
      <c r="AB459" s="4">
        <f t="shared" si="380"/>
        <v>1.2137091791630279</v>
      </c>
      <c r="AC459" s="47" t="str">
        <f t="shared" si="381"/>
        <v>-0.3768178201095-0.198830644302228i</v>
      </c>
      <c r="AD459" s="20">
        <f t="shared" si="382"/>
        <v>-7.4106284959024045</v>
      </c>
      <c r="AE459" s="43">
        <f t="shared" si="383"/>
        <v>-152.18130634740925</v>
      </c>
      <c r="AF459" t="str">
        <f t="shared" si="365"/>
        <v>69.5520360182888</v>
      </c>
      <c r="AG459" t="str">
        <f t="shared" si="366"/>
        <v>1+289.166793047122i</v>
      </c>
      <c r="AH459">
        <f t="shared" si="384"/>
        <v>289.16852214782489</v>
      </c>
      <c r="AI459">
        <f t="shared" si="385"/>
        <v>1.567338128835575</v>
      </c>
      <c r="AJ459" t="str">
        <f t="shared" si="367"/>
        <v>1+6.07250265398956i</v>
      </c>
      <c r="AK459">
        <f t="shared" si="386"/>
        <v>6.1542902501190389</v>
      </c>
      <c r="AL459">
        <f t="shared" si="387"/>
        <v>1.4075844072938664</v>
      </c>
      <c r="AM459" t="str">
        <f t="shared" si="368"/>
        <v>1-0.737155736724309i</v>
      </c>
      <c r="AN459">
        <f t="shared" si="388"/>
        <v>1.2423359369291218</v>
      </c>
      <c r="AO459">
        <f t="shared" si="389"/>
        <v>-0.6352299741704297</v>
      </c>
      <c r="AP459" s="41" t="str">
        <f t="shared" si="390"/>
        <v>1.28782767015533-1.31275641646396i</v>
      </c>
      <c r="AQ459">
        <f t="shared" si="391"/>
        <v>5.2915171038801851</v>
      </c>
      <c r="AR459" s="43">
        <f t="shared" si="392"/>
        <v>-45.549210546018038</v>
      </c>
      <c r="AS459" t="str">
        <f t="shared" si="369"/>
        <v>-0.0000166666666666667</v>
      </c>
      <c r="AT459" t="str">
        <f t="shared" si="370"/>
        <v>0.00549109282541611i</v>
      </c>
      <c r="AU459">
        <f t="shared" si="393"/>
        <v>5.49109282541611E-3</v>
      </c>
      <c r="AV459">
        <f t="shared" si="394"/>
        <v>1.5707963267948966</v>
      </c>
      <c r="AW459" t="str">
        <f t="shared" si="371"/>
        <v>1+5.58039433503359i</v>
      </c>
      <c r="AX459">
        <f t="shared" si="395"/>
        <v>5.6692857517040878</v>
      </c>
      <c r="AY459">
        <f t="shared" si="396"/>
        <v>1.393479547129971</v>
      </c>
      <c r="AZ459" t="str">
        <f t="shared" si="372"/>
        <v>1+189.733407391142i</v>
      </c>
      <c r="BA459">
        <f t="shared" si="397"/>
        <v>189.73604264939505</v>
      </c>
      <c r="BB459">
        <f t="shared" si="398"/>
        <v>1.5655258224892625</v>
      </c>
      <c r="BC459" s="41" t="str">
        <f t="shared" si="399"/>
        <v>-0.0173905011831445+0.1000810728109i</v>
      </c>
      <c r="BD459">
        <f t="shared" si="400"/>
        <v>-19.863770901563026</v>
      </c>
      <c r="BE459" s="43">
        <f t="shared" si="401"/>
        <v>99.857525459033013</v>
      </c>
      <c r="BF459" s="41" t="str">
        <f t="shared" si="402"/>
        <v>0.0264522349358936-0.0342545671358402i</v>
      </c>
      <c r="BG459" s="20">
        <f t="shared" si="403"/>
        <v>-27.274399397465437</v>
      </c>
      <c r="BH459" s="43">
        <f t="shared" si="404"/>
        <v>-52.323780888376255</v>
      </c>
      <c r="BI459" s="41" t="str">
        <f t="shared" si="409"/>
        <v>0.108986101877583+0.151716666838404i</v>
      </c>
      <c r="BJ459" s="20">
        <f t="shared" si="405"/>
        <v>-14.572253797682862</v>
      </c>
      <c r="BK459" s="43">
        <f t="shared" si="410"/>
        <v>54.308314913014989</v>
      </c>
      <c r="BL459">
        <f t="shared" si="406"/>
        <v>-27.274399397465437</v>
      </c>
      <c r="BM459" s="43">
        <f t="shared" si="407"/>
        <v>-52.323780888376255</v>
      </c>
    </row>
    <row r="460" spans="14:65" x14ac:dyDescent="0.25">
      <c r="N460" s="9">
        <v>42</v>
      </c>
      <c r="O460" s="34">
        <f t="shared" si="408"/>
        <v>263026.79918953858</v>
      </c>
      <c r="P460" s="33" t="str">
        <f t="shared" si="360"/>
        <v>19.1021967526266</v>
      </c>
      <c r="Q460" s="4" t="str">
        <f t="shared" si="361"/>
        <v>1+370.937763337739i</v>
      </c>
      <c r="R460" s="4">
        <f t="shared" si="373"/>
        <v>370.939111270306</v>
      </c>
      <c r="S460" s="4">
        <f t="shared" si="374"/>
        <v>1.5681004632935891</v>
      </c>
      <c r="T460" s="4" t="str">
        <f t="shared" si="362"/>
        <v>1+6.21394941143379i</v>
      </c>
      <c r="U460" s="4">
        <f t="shared" si="375"/>
        <v>6.2938992117651793</v>
      </c>
      <c r="V460" s="4">
        <f t="shared" si="376"/>
        <v>1.4112361166360985</v>
      </c>
      <c r="W460" t="str">
        <f t="shared" si="363"/>
        <v>1-3.44301275012954i</v>
      </c>
      <c r="X460" s="4">
        <f t="shared" si="377"/>
        <v>3.5852945203364497</v>
      </c>
      <c r="Y460" s="4">
        <f t="shared" si="378"/>
        <v>-1.2881300387099268</v>
      </c>
      <c r="Z460" t="str">
        <f t="shared" si="364"/>
        <v>0.930816902908107+2.56160148609638i</v>
      </c>
      <c r="AA460" s="4">
        <f t="shared" si="379"/>
        <v>2.7254765235295322</v>
      </c>
      <c r="AB460" s="4">
        <f t="shared" si="380"/>
        <v>1.2222579190309719</v>
      </c>
      <c r="AC460" s="47" t="str">
        <f t="shared" si="381"/>
        <v>-0.379292985601239-0.194743539445214i</v>
      </c>
      <c r="AD460" s="20">
        <f t="shared" si="382"/>
        <v>-7.404342745286435</v>
      </c>
      <c r="AE460" s="43">
        <f t="shared" si="383"/>
        <v>-152.82229993857081</v>
      </c>
      <c r="AF460" t="str">
        <f t="shared" si="365"/>
        <v>69.5520360182888</v>
      </c>
      <c r="AG460" t="str">
        <f t="shared" si="366"/>
        <v>1+295.902352925419i</v>
      </c>
      <c r="AH460">
        <f t="shared" si="384"/>
        <v>295.90404266721202</v>
      </c>
      <c r="AI460">
        <f t="shared" si="385"/>
        <v>1.5674168464252809</v>
      </c>
      <c r="AJ460" t="str">
        <f t="shared" si="367"/>
        <v>1+6.21394941143379i</v>
      </c>
      <c r="AK460">
        <f t="shared" si="386"/>
        <v>6.2938992117651793</v>
      </c>
      <c r="AL460">
        <f t="shared" si="387"/>
        <v>1.4112361166360985</v>
      </c>
      <c r="AM460" t="str">
        <f t="shared" si="368"/>
        <v>1-0.754326299609541i</v>
      </c>
      <c r="AN460">
        <f t="shared" si="388"/>
        <v>1.2526005613453248</v>
      </c>
      <c r="AO460">
        <f t="shared" si="389"/>
        <v>-0.64626419560516468</v>
      </c>
      <c r="AP460" s="41" t="str">
        <f t="shared" si="390"/>
        <v>1.2877909270954-1.33246208365344i</v>
      </c>
      <c r="AQ460">
        <f t="shared" si="391"/>
        <v>5.3578267033892022</v>
      </c>
      <c r="AR460" s="43">
        <f t="shared" si="392"/>
        <v>-45.976707516786327</v>
      </c>
      <c r="AS460" t="str">
        <f t="shared" si="369"/>
        <v>-0.0000166666666666667</v>
      </c>
      <c r="AT460" t="str">
        <f t="shared" si="370"/>
        <v>0.00561899680821143i</v>
      </c>
      <c r="AU460">
        <f t="shared" si="393"/>
        <v>5.6189968082114303E-3</v>
      </c>
      <c r="AV460">
        <f t="shared" si="394"/>
        <v>1.5707963267948966</v>
      </c>
      <c r="AW460" t="str">
        <f t="shared" si="371"/>
        <v>1+5.71037841720308i</v>
      </c>
      <c r="AX460">
        <f t="shared" si="395"/>
        <v>5.7972770908124405</v>
      </c>
      <c r="AY460">
        <f t="shared" si="396"/>
        <v>1.3974344780110124</v>
      </c>
      <c r="AZ460" t="str">
        <f t="shared" si="372"/>
        <v>1+194.152866184905i</v>
      </c>
      <c r="BA460">
        <f t="shared" si="397"/>
        <v>194.15544145816165</v>
      </c>
      <c r="BB460">
        <f t="shared" si="398"/>
        <v>1.5656457916677906</v>
      </c>
      <c r="BC460" s="41" t="str">
        <f t="shared" si="399"/>
        <v>-0.0166310885469541+0.0979359376095677i</v>
      </c>
      <c r="BD460">
        <f t="shared" si="400"/>
        <v>-20.057690555646825</v>
      </c>
      <c r="BE460" s="43">
        <f t="shared" si="401"/>
        <v>99.637798338884735</v>
      </c>
      <c r="BF460" s="41" t="str">
        <f t="shared" si="402"/>
        <v>0.0253804463577457-0.033907617125129i</v>
      </c>
      <c r="BG460" s="20">
        <f t="shared" si="403"/>
        <v>-27.462033300933257</v>
      </c>
      <c r="BH460" s="43">
        <f t="shared" si="404"/>
        <v>-53.184501599686023</v>
      </c>
      <c r="BI460" s="41" t="str">
        <f t="shared" si="409"/>
        <v>0.10907855855331+0.148281306788882i</v>
      </c>
      <c r="BJ460" s="20">
        <f t="shared" si="405"/>
        <v>-14.69986385225762</v>
      </c>
      <c r="BK460" s="43">
        <f t="shared" si="410"/>
        <v>53.661090822098508</v>
      </c>
      <c r="BL460">
        <f t="shared" si="406"/>
        <v>-27.462033300933257</v>
      </c>
      <c r="BM460" s="43">
        <f t="shared" si="407"/>
        <v>-53.184501599686023</v>
      </c>
    </row>
    <row r="461" spans="14:65" x14ac:dyDescent="0.25">
      <c r="N461" s="9">
        <v>43</v>
      </c>
      <c r="O461" s="34">
        <f t="shared" si="408"/>
        <v>269153.48039269145</v>
      </c>
      <c r="P461" s="33" t="str">
        <f t="shared" si="360"/>
        <v>19.1021967526266</v>
      </c>
      <c r="Q461" s="4" t="str">
        <f t="shared" si="361"/>
        <v>1+379.578013795806i</v>
      </c>
      <c r="R461" s="4">
        <f t="shared" si="373"/>
        <v>379.57933104578956</v>
      </c>
      <c r="S461" s="4">
        <f t="shared" si="374"/>
        <v>1.5681618283515555</v>
      </c>
      <c r="T461" s="4" t="str">
        <f t="shared" si="362"/>
        <v>1+6.35869088710733i</v>
      </c>
      <c r="U461" s="4">
        <f t="shared" si="375"/>
        <v>6.4368431546668745</v>
      </c>
      <c r="V461" s="4">
        <f t="shared" si="376"/>
        <v>1.41480885496419</v>
      </c>
      <c r="W461" t="str">
        <f t="shared" si="363"/>
        <v>1-3.52321081954085i</v>
      </c>
      <c r="X461" s="4">
        <f t="shared" si="377"/>
        <v>3.6623782544856978</v>
      </c>
      <c r="Y461" s="4">
        <f t="shared" si="378"/>
        <v>-1.2942377511247649</v>
      </c>
      <c r="Z461" t="str">
        <f t="shared" si="364"/>
        <v>0.927556403992501+2.62126884973839i</v>
      </c>
      <c r="AA461" s="4">
        <f t="shared" si="379"/>
        <v>2.7805415417138302</v>
      </c>
      <c r="AB461" s="4">
        <f t="shared" si="380"/>
        <v>1.2306888653589982</v>
      </c>
      <c r="AC461" s="47" t="str">
        <f t="shared" si="381"/>
        <v>-0.381685008388435-0.190682917234271i</v>
      </c>
      <c r="AD461" s="20">
        <f t="shared" si="382"/>
        <v>-7.3982501279686508</v>
      </c>
      <c r="AE461" s="43">
        <f t="shared" si="383"/>
        <v>-153.45411685564466</v>
      </c>
      <c r="AF461" t="str">
        <f t="shared" si="365"/>
        <v>69.5520360182888</v>
      </c>
      <c r="AG461" t="str">
        <f t="shared" si="366"/>
        <v>1+302.794804147968i</v>
      </c>
      <c r="AH461">
        <f t="shared" si="384"/>
        <v>302.79645542675416</v>
      </c>
      <c r="AI461">
        <f t="shared" si="385"/>
        <v>1.5674937722243549</v>
      </c>
      <c r="AJ461" t="str">
        <f t="shared" si="367"/>
        <v>1+6.35869088710733i</v>
      </c>
      <c r="AK461">
        <f t="shared" si="386"/>
        <v>6.4368431546668745</v>
      </c>
      <c r="AL461">
        <f t="shared" si="387"/>
        <v>1.41480885496419</v>
      </c>
      <c r="AM461" t="str">
        <f t="shared" si="368"/>
        <v>1-0.771896816283517i</v>
      </c>
      <c r="AN461">
        <f t="shared" si="388"/>
        <v>1.2632595517108232</v>
      </c>
      <c r="AO461">
        <f t="shared" si="389"/>
        <v>-0.65736842090416603</v>
      </c>
      <c r="AP461" s="41" t="str">
        <f t="shared" si="390"/>
        <v>1.28775583770866-1.35287422869666i</v>
      </c>
      <c r="AQ461">
        <f t="shared" si="391"/>
        <v>5.4264915675906877</v>
      </c>
      <c r="AR461" s="43">
        <f t="shared" si="392"/>
        <v>-46.412637457299951</v>
      </c>
      <c r="AS461" t="str">
        <f t="shared" si="369"/>
        <v>-0.0000166666666666667</v>
      </c>
      <c r="AT461" t="str">
        <f t="shared" si="370"/>
        <v>0.00574988005749067i</v>
      </c>
      <c r="AU461">
        <f t="shared" si="393"/>
        <v>5.74988005749067E-3</v>
      </c>
      <c r="AV461">
        <f t="shared" si="394"/>
        <v>1.5707963267948966</v>
      </c>
      <c r="AW461" t="str">
        <f t="shared" si="371"/>
        <v>1+5.84339021759519i</v>
      </c>
      <c r="AX461">
        <f t="shared" si="395"/>
        <v>5.9283395006601269</v>
      </c>
      <c r="AY461">
        <f t="shared" si="396"/>
        <v>1.4013046844467767</v>
      </c>
      <c r="AZ461" t="str">
        <f t="shared" si="372"/>
        <v>1+198.675267398237i</v>
      </c>
      <c r="BA461">
        <f t="shared" si="397"/>
        <v>198.67778405186868</v>
      </c>
      <c r="BB461">
        <f t="shared" si="398"/>
        <v>1.5657630301576779</v>
      </c>
      <c r="BC461" s="41" t="str">
        <f t="shared" si="399"/>
        <v>-0.0159038642490192+0.0958310959630922i</v>
      </c>
      <c r="BD461">
        <f t="shared" si="400"/>
        <v>-20.251875898636822</v>
      </c>
      <c r="BE461" s="43">
        <f t="shared" si="401"/>
        <v>99.422769114938063</v>
      </c>
      <c r="BF461" s="41" t="str">
        <f t="shared" si="402"/>
        <v>0.0243436194992952-0.0335446974362449i</v>
      </c>
      <c r="BG461" s="20">
        <f t="shared" si="403"/>
        <v>-27.650126026605484</v>
      </c>
      <c r="BH461" s="43">
        <f t="shared" si="404"/>
        <v>-54.031347740706572</v>
      </c>
      <c r="BI461" s="41" t="str">
        <f t="shared" si="409"/>
        <v>0.109167126007423+0.144922981339679i</v>
      </c>
      <c r="BJ461" s="20">
        <f t="shared" si="405"/>
        <v>-14.825384331046145</v>
      </c>
      <c r="BK461" s="43">
        <f t="shared" si="410"/>
        <v>53.010131657638233</v>
      </c>
      <c r="BL461">
        <f t="shared" si="406"/>
        <v>-27.650126026605484</v>
      </c>
      <c r="BM461" s="43">
        <f t="shared" si="407"/>
        <v>-54.031347740706572</v>
      </c>
    </row>
    <row r="462" spans="14:65" x14ac:dyDescent="0.25">
      <c r="N462" s="9">
        <v>44</v>
      </c>
      <c r="O462" s="34">
        <f t="shared" si="408"/>
        <v>275422.87033381703</v>
      </c>
      <c r="P462" s="33" t="str">
        <f t="shared" si="360"/>
        <v>19.1021967526266</v>
      </c>
      <c r="Q462" s="4" t="str">
        <f t="shared" si="361"/>
        <v>1+388.419521541096i</v>
      </c>
      <c r="R462" s="4">
        <f t="shared" si="373"/>
        <v>388.42080880690975</v>
      </c>
      <c r="S462" s="4">
        <f t="shared" si="374"/>
        <v>1.5682217965894387</v>
      </c>
      <c r="T462" s="4" t="str">
        <f t="shared" si="362"/>
        <v>1+6.50680382485643i</v>
      </c>
      <c r="U462" s="4">
        <f t="shared" si="375"/>
        <v>6.583198008199834</v>
      </c>
      <c r="V462" s="4">
        <f t="shared" si="376"/>
        <v>1.41830415157242</v>
      </c>
      <c r="W462" t="str">
        <f t="shared" si="363"/>
        <v>1-3.6052769419639i</v>
      </c>
      <c r="X462" s="4">
        <f t="shared" si="377"/>
        <v>3.7413930331170193</v>
      </c>
      <c r="Y462" s="4">
        <f t="shared" si="378"/>
        <v>-1.3002269671817848</v>
      </c>
      <c r="Z462" t="str">
        <f t="shared" si="364"/>
        <v>0.924142242497081+2.68232604482114i</v>
      </c>
      <c r="AA462" s="4">
        <f t="shared" si="379"/>
        <v>2.8370604320481712</v>
      </c>
      <c r="AB462" s="4">
        <f t="shared" si="380"/>
        <v>1.2390026953268394</v>
      </c>
      <c r="AC462" s="47" t="str">
        <f t="shared" si="381"/>
        <v>-0.383995458112039-0.186650433669687i</v>
      </c>
      <c r="AD462" s="20">
        <f t="shared" si="382"/>
        <v>-7.392350198341207</v>
      </c>
      <c r="AE462" s="43">
        <f t="shared" si="383"/>
        <v>-154.07679121018816</v>
      </c>
      <c r="AF462" t="str">
        <f t="shared" si="365"/>
        <v>69.5520360182888</v>
      </c>
      <c r="AG462" t="str">
        <f t="shared" si="366"/>
        <v>1+309.84780118364i</v>
      </c>
      <c r="AH462">
        <f t="shared" si="384"/>
        <v>309.84941487493001</v>
      </c>
      <c r="AI462">
        <f t="shared" si="385"/>
        <v>1.5675689470162306</v>
      </c>
      <c r="AJ462" t="str">
        <f t="shared" si="367"/>
        <v>1+6.50680382485643i</v>
      </c>
      <c r="AK462">
        <f t="shared" si="386"/>
        <v>6.583198008199834</v>
      </c>
      <c r="AL462">
        <f t="shared" si="387"/>
        <v>1.41830415157242</v>
      </c>
      <c r="AM462" t="str">
        <f t="shared" si="368"/>
        <v>1-0.789876602866749i</v>
      </c>
      <c r="AN462">
        <f t="shared" si="388"/>
        <v>1.2743253304224615</v>
      </c>
      <c r="AO462">
        <f t="shared" si="389"/>
        <v>-0.66853758458926216</v>
      </c>
      <c r="AP462" s="41" t="str">
        <f t="shared" si="390"/>
        <v>1.2877223275708-1.3740036751293i</v>
      </c>
      <c r="AQ462">
        <f t="shared" si="391"/>
        <v>5.4975280239777691</v>
      </c>
      <c r="AR462" s="43">
        <f t="shared" si="392"/>
        <v>-46.856624851648824</v>
      </c>
      <c r="AS462" t="str">
        <f t="shared" si="369"/>
        <v>-0.0000166666666666667</v>
      </c>
      <c r="AT462" t="str">
        <f t="shared" si="370"/>
        <v>0.00588381196928507i</v>
      </c>
      <c r="AU462">
        <f t="shared" si="393"/>
        <v>5.8838119692850698E-3</v>
      </c>
      <c r="AV462">
        <f t="shared" si="394"/>
        <v>1.5707963267948966</v>
      </c>
      <c r="AW462" t="str">
        <f t="shared" si="371"/>
        <v>1+5.97950026082708i</v>
      </c>
      <c r="AX462">
        <f t="shared" si="395"/>
        <v>6.0625426488587371</v>
      </c>
      <c r="AY462">
        <f t="shared" si="396"/>
        <v>1.4050917544812442</v>
      </c>
      <c r="AZ462" t="str">
        <f t="shared" si="372"/>
        <v>1+203.303008868121i</v>
      </c>
      <c r="BA462">
        <f t="shared" si="397"/>
        <v>203.30546823642322</v>
      </c>
      <c r="BB462">
        <f t="shared" si="398"/>
        <v>1.565877600107425</v>
      </c>
      <c r="BC462" s="41" t="str">
        <f t="shared" si="399"/>
        <v>-0.0152075474307705+0.0937661645712272i</v>
      </c>
      <c r="BD462">
        <f t="shared" si="400"/>
        <v>-20.446315654464655</v>
      </c>
      <c r="BE462" s="43">
        <f t="shared" si="401"/>
        <v>99.212350359822125</v>
      </c>
      <c r="BF462" s="41" t="str">
        <f t="shared" si="402"/>
        <v>0.0233411244232021-0.0331672859969316i</v>
      </c>
      <c r="BG462" s="20">
        <f t="shared" si="403"/>
        <v>-27.83866585280586</v>
      </c>
      <c r="BH462" s="43">
        <f t="shared" si="404"/>
        <v>-54.86444085036603</v>
      </c>
      <c r="BI462" s="41" t="str">
        <f t="shared" si="409"/>
        <v>0.10925195634945+0.141640009748629i</v>
      </c>
      <c r="BJ462" s="20">
        <f t="shared" si="405"/>
        <v>-14.948787630486889</v>
      </c>
      <c r="BK462" s="43">
        <f t="shared" si="410"/>
        <v>52.355725508173222</v>
      </c>
      <c r="BL462">
        <f t="shared" si="406"/>
        <v>-27.83866585280586</v>
      </c>
      <c r="BM462" s="43">
        <f t="shared" si="407"/>
        <v>-54.86444085036603</v>
      </c>
    </row>
    <row r="463" spans="14:65" x14ac:dyDescent="0.25">
      <c r="N463" s="9">
        <v>45</v>
      </c>
      <c r="O463" s="34">
        <f t="shared" si="408"/>
        <v>281838.29312644573</v>
      </c>
      <c r="P463" s="33" t="str">
        <f t="shared" si="360"/>
        <v>19.1021967526266</v>
      </c>
      <c r="Q463" s="4" t="str">
        <f t="shared" si="361"/>
        <v>1+397.466974458047i</v>
      </c>
      <c r="R463" s="4">
        <f t="shared" si="373"/>
        <v>397.46823242220728</v>
      </c>
      <c r="S463" s="4">
        <f t="shared" si="374"/>
        <v>1.5682803998014658</v>
      </c>
      <c r="T463" s="4" t="str">
        <f t="shared" si="362"/>
        <v>1+6.65836675612119i</v>
      </c>
      <c r="U463" s="4">
        <f t="shared" si="375"/>
        <v>6.7330415013587892</v>
      </c>
      <c r="V463" s="4">
        <f t="shared" si="376"/>
        <v>1.4217235179188812</v>
      </c>
      <c r="W463" t="str">
        <f t="shared" si="363"/>
        <v>1-3.68925462994304i</v>
      </c>
      <c r="X463" s="4">
        <f t="shared" si="377"/>
        <v>3.8223814206010576</v>
      </c>
      <c r="Y463" s="4">
        <f t="shared" si="378"/>
        <v>-1.3060991430642901</v>
      </c>
      <c r="Z463" t="str">
        <f t="shared" si="364"/>
        <v>0.920567176527572+2.74480544467762i</v>
      </c>
      <c r="AA463" s="4">
        <f t="shared" si="379"/>
        <v>2.8950649138891262</v>
      </c>
      <c r="AB463" s="4">
        <f t="shared" si="380"/>
        <v>1.2472002130149513</v>
      </c>
      <c r="AC463" s="47" t="str">
        <f t="shared" si="381"/>
        <v>-0.386225962548548-0.18264762099048i</v>
      </c>
      <c r="AD463" s="20">
        <f t="shared" si="382"/>
        <v>-7.3866420536581447</v>
      </c>
      <c r="AE463" s="43">
        <f t="shared" si="383"/>
        <v>-154.69036772728069</v>
      </c>
      <c r="AF463" t="str">
        <f t="shared" si="365"/>
        <v>69.5520360182888</v>
      </c>
      <c r="AG463" t="str">
        <f t="shared" si="366"/>
        <v>1+317.065083624819i</v>
      </c>
      <c r="AH463">
        <f t="shared" si="384"/>
        <v>317.06666058419557</v>
      </c>
      <c r="AI463">
        <f t="shared" si="385"/>
        <v>1.567642410656177</v>
      </c>
      <c r="AJ463" t="str">
        <f t="shared" si="367"/>
        <v>1+6.65836675612119i</v>
      </c>
      <c r="AK463">
        <f t="shared" si="386"/>
        <v>6.7330415013587892</v>
      </c>
      <c r="AL463">
        <f t="shared" si="387"/>
        <v>1.4217235179188812</v>
      </c>
      <c r="AM463" t="str">
        <f t="shared" si="368"/>
        <v>1-0.808275192480073i</v>
      </c>
      <c r="AN463">
        <f t="shared" si="388"/>
        <v>1.2858105563335134</v>
      </c>
      <c r="AO463">
        <f t="shared" si="389"/>
        <v>-0.67976646240454386</v>
      </c>
      <c r="AP463" s="41" t="str">
        <f t="shared" si="390"/>
        <v>1.28769032560687-1.39586162675998i</v>
      </c>
      <c r="AQ463">
        <f t="shared" si="391"/>
        <v>5.5709509505439216</v>
      </c>
      <c r="AR463" s="43">
        <f t="shared" si="392"/>
        <v>-47.308286055388074</v>
      </c>
      <c r="AS463" t="str">
        <f t="shared" si="369"/>
        <v>-0.0000166666666666667</v>
      </c>
      <c r="AT463" t="str">
        <f t="shared" si="370"/>
        <v>0.00602086355606703i</v>
      </c>
      <c r="AU463">
        <f t="shared" si="393"/>
        <v>6.0208635560670297E-3</v>
      </c>
      <c r="AV463">
        <f t="shared" si="394"/>
        <v>1.5707963267948966</v>
      </c>
      <c r="AW463" t="str">
        <f t="shared" si="371"/>
        <v>1+6.1187807142453i</v>
      </c>
      <c r="AX463">
        <f t="shared" si="395"/>
        <v>6.1999578570358223</v>
      </c>
      <c r="AY463">
        <f t="shared" si="396"/>
        <v>1.4087972613404127</v>
      </c>
      <c r="AZ463" t="str">
        <f t="shared" si="372"/>
        <v>1+208.03854428434i</v>
      </c>
      <c r="BA463">
        <f t="shared" si="397"/>
        <v>208.04094767123919</v>
      </c>
      <c r="BB463">
        <f t="shared" si="398"/>
        <v>1.5659895622514974</v>
      </c>
      <c r="BC463" s="41" t="str">
        <f t="shared" si="399"/>
        <v>-0.0145409010231815+0.0917407369430847i</v>
      </c>
      <c r="BD463">
        <f t="shared" si="400"/>
        <v>-20.640998997020951</v>
      </c>
      <c r="BE463" s="43">
        <f t="shared" si="401"/>
        <v>99.006455414155567</v>
      </c>
      <c r="BF463" s="41" t="str">
        <f t="shared" si="402"/>
        <v>0.0223723008445693-0.0327767934518139i</v>
      </c>
      <c r="BG463" s="20">
        <f t="shared" si="403"/>
        <v>-28.027641050679097</v>
      </c>
      <c r="BH463" s="43">
        <f t="shared" si="404"/>
        <v>-55.68391231312512</v>
      </c>
      <c r="BI463" s="41" t="str">
        <f t="shared" si="409"/>
        <v>0.109333196736376+0.138430745182429i</v>
      </c>
      <c r="BJ463" s="20">
        <f t="shared" si="405"/>
        <v>-15.070048046477019</v>
      </c>
      <c r="BK463" s="43">
        <f t="shared" si="410"/>
        <v>51.698169358767466</v>
      </c>
      <c r="BL463">
        <f t="shared" si="406"/>
        <v>-28.027641050679097</v>
      </c>
      <c r="BM463" s="43">
        <f t="shared" si="407"/>
        <v>-55.68391231312512</v>
      </c>
    </row>
    <row r="464" spans="14:65" x14ac:dyDescent="0.25">
      <c r="N464" s="9">
        <v>46</v>
      </c>
      <c r="O464" s="34">
        <f t="shared" si="408"/>
        <v>288403.1503126609</v>
      </c>
      <c r="P464" s="33" t="str">
        <f t="shared" si="360"/>
        <v>19.1021967526266</v>
      </c>
      <c r="Q464" s="4" t="str">
        <f t="shared" si="361"/>
        <v>1+406.725169625953i</v>
      </c>
      <c r="R464" s="4">
        <f t="shared" si="373"/>
        <v>406.72639895544063</v>
      </c>
      <c r="S464" s="4">
        <f t="shared" si="374"/>
        <v>1.5683376690582251</v>
      </c>
      <c r="T464" s="4" t="str">
        <f t="shared" si="362"/>
        <v>1+6.81346004157396i</v>
      </c>
      <c r="U464" s="4">
        <f t="shared" si="375"/>
        <v>6.8864532045258988</v>
      </c>
      <c r="V464" s="4">
        <f t="shared" si="376"/>
        <v>1.4250684469961772</v>
      </c>
      <c r="W464" t="str">
        <f t="shared" si="363"/>
        <v>1-3.77518840956004i</v>
      </c>
      <c r="X464" s="4">
        <f t="shared" si="377"/>
        <v>3.9053869882095511</v>
      </c>
      <c r="Y464" s="4">
        <f t="shared" si="378"/>
        <v>-1.3118557717304569</v>
      </c>
      <c r="Z464" t="str">
        <f t="shared" si="364"/>
        <v>0.916823622889733+2.80874017671267i</v>
      </c>
      <c r="AA464" s="4">
        <f t="shared" si="379"/>
        <v>2.9545874391814122</v>
      </c>
      <c r="AB464" s="4">
        <f t="shared" si="380"/>
        <v>1.2552823427953594</v>
      </c>
      <c r="AC464" s="47" t="str">
        <f t="shared" si="381"/>
        <v>-0.388378198690319-0.178675888757554i</v>
      </c>
      <c r="AD464" s="20">
        <f t="shared" si="382"/>
        <v>-7.3811243832979212</v>
      </c>
      <c r="AE464" s="43">
        <f t="shared" si="383"/>
        <v>-155.29490114777903</v>
      </c>
      <c r="AF464" t="str">
        <f t="shared" si="365"/>
        <v>69.5520360182888</v>
      </c>
      <c r="AG464" t="str">
        <f t="shared" si="366"/>
        <v>1+324.450478170189i</v>
      </c>
      <c r="AH464">
        <f t="shared" si="384"/>
        <v>324.45201923376021</v>
      </c>
      <c r="AI464">
        <f t="shared" si="385"/>
        <v>1.5677142020924146</v>
      </c>
      <c r="AJ464" t="str">
        <f t="shared" si="367"/>
        <v>1+6.81346004157396i</v>
      </c>
      <c r="AK464">
        <f t="shared" si="386"/>
        <v>6.8864532045258988</v>
      </c>
      <c r="AL464">
        <f t="shared" si="387"/>
        <v>1.4250684469961772</v>
      </c>
      <c r="AM464" t="str">
        <f t="shared" si="368"/>
        <v>1-0.827102340299236i</v>
      </c>
      <c r="AN464">
        <f t="shared" si="388"/>
        <v>1.2977281230398272</v>
      </c>
      <c r="AO464">
        <f t="shared" si="389"/>
        <v>-0.69104968209794271</v>
      </c>
      <c r="AP464" s="41" t="str">
        <f t="shared" si="390"/>
        <v>1.28765976394058-1.41845967361389i</v>
      </c>
      <c r="AQ464">
        <f t="shared" si="391"/>
        <v>5.6467736680709884</v>
      </c>
      <c r="AR464" s="43">
        <f t="shared" si="392"/>
        <v>-47.767229950540553</v>
      </c>
      <c r="AS464" t="str">
        <f t="shared" si="369"/>
        <v>-0.0000166666666666667</v>
      </c>
      <c r="AT464" t="str">
        <f t="shared" si="370"/>
        <v>0.00616110748440198i</v>
      </c>
      <c r="AU464">
        <f t="shared" si="393"/>
        <v>6.1611074844019802E-3</v>
      </c>
      <c r="AV464">
        <f t="shared" si="394"/>
        <v>1.5707963267948966</v>
      </c>
      <c r="AW464" t="str">
        <f t="shared" si="371"/>
        <v>1+6.26130542618984i</v>
      </c>
      <c r="AX464">
        <f t="shared" si="395"/>
        <v>6.340658139344395</v>
      </c>
      <c r="AY464">
        <f t="shared" si="396"/>
        <v>1.4124227624911641</v>
      </c>
      <c r="AZ464" t="str">
        <f t="shared" si="372"/>
        <v>1+212.884384490455i</v>
      </c>
      <c r="BA464">
        <f t="shared" si="397"/>
        <v>212.88673317019988</v>
      </c>
      <c r="BB464">
        <f t="shared" si="398"/>
        <v>1.5660989759424717</v>
      </c>
      <c r="BC464" s="41" t="str">
        <f t="shared" si="399"/>
        <v>-0.0139027308832498+0.0897543856760727i</v>
      </c>
      <c r="BD464">
        <f t="shared" si="400"/>
        <v>-20.835915534661975</v>
      </c>
      <c r="BE464" s="43">
        <f t="shared" si="401"/>
        <v>98.804998442311458</v>
      </c>
      <c r="BF464" s="41" t="str">
        <f t="shared" si="402"/>
        <v>0.0214364622078734-0.0323745638367075i</v>
      </c>
      <c r="BG464" s="20">
        <f t="shared" si="403"/>
        <v>-28.217039917959902</v>
      </c>
      <c r="BH464" s="43">
        <f t="shared" si="404"/>
        <v>-56.489902705467529</v>
      </c>
      <c r="BI464" s="41" t="str">
        <f t="shared" si="409"/>
        <v>0.109410989444242+0.13529357418328i</v>
      </c>
      <c r="BJ464" s="20">
        <f t="shared" si="405"/>
        <v>-15.189141866590994</v>
      </c>
      <c r="BK464" s="43">
        <f t="shared" si="410"/>
        <v>51.037768491771061</v>
      </c>
      <c r="BL464">
        <f t="shared" si="406"/>
        <v>-28.217039917959902</v>
      </c>
      <c r="BM464" s="43">
        <f t="shared" si="407"/>
        <v>-56.489902705467529</v>
      </c>
    </row>
    <row r="465" spans="14:65" x14ac:dyDescent="0.25">
      <c r="N465" s="9">
        <v>47</v>
      </c>
      <c r="O465" s="34">
        <f t="shared" si="408"/>
        <v>295120.92266663886</v>
      </c>
      <c r="P465" s="33" t="str">
        <f t="shared" si="360"/>
        <v>19.1021967526266</v>
      </c>
      <c r="Q465" s="4" t="str">
        <f t="shared" si="361"/>
        <v>1+416.199015862438i</v>
      </c>
      <c r="R465" s="4">
        <f t="shared" si="373"/>
        <v>416.2002172090518</v>
      </c>
      <c r="S465" s="4">
        <f t="shared" si="374"/>
        <v>1.5683936347231304</v>
      </c>
      <c r="T465" s="4" t="str">
        <f t="shared" si="362"/>
        <v>1+6.97216591372756i</v>
      </c>
      <c r="U465" s="4">
        <f t="shared" si="375"/>
        <v>7.0435145721823034</v>
      </c>
      <c r="V465" s="4">
        <f t="shared" si="376"/>
        <v>1.428340412775474</v>
      </c>
      <c r="W465" t="str">
        <f t="shared" si="363"/>
        <v>1-3.86312384404231i</v>
      </c>
      <c r="X465" s="4">
        <f t="shared" si="377"/>
        <v>3.9904543393463645</v>
      </c>
      <c r="Y465" s="4">
        <f t="shared" si="378"/>
        <v>-1.3174983786563799</v>
      </c>
      <c r="Z465" t="str">
        <f t="shared" si="364"/>
        <v>0.912903641004392+2.87416413996748i</v>
      </c>
      <c r="AA465" s="4">
        <f t="shared" si="379"/>
        <v>3.0156612145985631</v>
      </c>
      <c r="AB465" s="4">
        <f t="shared" si="380"/>
        <v>1.2632501228127577</v>
      </c>
      <c r="AC465" s="47" t="str">
        <f t="shared" si="381"/>
        <v>-0.390453884269044-0.174736525426715i</v>
      </c>
      <c r="AD465" s="20">
        <f t="shared" si="382"/>
        <v>-7.3757955151681074</v>
      </c>
      <c r="AE465" s="43">
        <f t="shared" si="383"/>
        <v>-155.89045564370295</v>
      </c>
      <c r="AF465" t="str">
        <f t="shared" si="365"/>
        <v>69.5520360182888</v>
      </c>
      <c r="AG465" t="str">
        <f t="shared" si="366"/>
        <v>1+332.007900653694i</v>
      </c>
      <c r="AH465">
        <f t="shared" si="384"/>
        <v>332.00940663853652</v>
      </c>
      <c r="AI465">
        <f t="shared" si="385"/>
        <v>1.5677843593867515</v>
      </c>
      <c r="AJ465" t="str">
        <f t="shared" si="367"/>
        <v>1+6.97216591372756i</v>
      </c>
      <c r="AK465">
        <f t="shared" si="386"/>
        <v>7.0435145721823034</v>
      </c>
      <c r="AL465">
        <f t="shared" si="387"/>
        <v>1.428340412775474</v>
      </c>
      <c r="AM465" t="str">
        <f t="shared" si="368"/>
        <v>1-0.846368028727219i</v>
      </c>
      <c r="AN465">
        <f t="shared" si="388"/>
        <v>1.3100911571534244</v>
      </c>
      <c r="AO465">
        <f t="shared" si="389"/>
        <v>-0.70238173506836976</v>
      </c>
      <c r="AP465" s="41" t="str">
        <f t="shared" si="390"/>
        <v>1.28763057775031-1.44180979808115i</v>
      </c>
      <c r="AQ465">
        <f t="shared" si="391"/>
        <v>5.7250078388374597</v>
      </c>
      <c r="AR465" s="43">
        <f t="shared" si="392"/>
        <v>-48.233058645967255</v>
      </c>
      <c r="AS465" t="str">
        <f t="shared" si="369"/>
        <v>-0.0000166666666666667</v>
      </c>
      <c r="AT465" t="str">
        <f t="shared" si="370"/>
        <v>0.00630461811347705i</v>
      </c>
      <c r="AU465">
        <f t="shared" si="393"/>
        <v>6.3046181134770504E-3</v>
      </c>
      <c r="AV465">
        <f t="shared" si="394"/>
        <v>1.5707963267948966</v>
      </c>
      <c r="AW465" t="str">
        <f t="shared" si="371"/>
        <v>1+6.40714996514952i</v>
      </c>
      <c r="AX465">
        <f t="shared" si="395"/>
        <v>6.4847182418294382</v>
      </c>
      <c r="AY465">
        <f t="shared" si="396"/>
        <v>1.4159697987920568</v>
      </c>
      <c r="AZ465" t="str">
        <f t="shared" si="372"/>
        <v>1+217.843098815084i</v>
      </c>
      <c r="BA465">
        <f t="shared" si="397"/>
        <v>217.84539403292067</v>
      </c>
      <c r="BB465">
        <f t="shared" si="398"/>
        <v>1.5662058991824506</v>
      </c>
      <c r="BC465" s="41" t="str">
        <f t="shared" si="399"/>
        <v>-0.0132918848854873+0.0878066646037312i</v>
      </c>
      <c r="BD465">
        <f t="shared" si="400"/>
        <v>-21.031055295032498</v>
      </c>
      <c r="BE465" s="43">
        <f t="shared" si="401"/>
        <v>98.607894482873277</v>
      </c>
      <c r="BF465" s="41" t="str">
        <f t="shared" si="402"/>
        <v>0.0205328995649604-0.0319618754779741i</v>
      </c>
      <c r="BG465" s="20">
        <f t="shared" si="403"/>
        <v>-28.406850810200616</v>
      </c>
      <c r="BH465" s="43">
        <f t="shared" si="404"/>
        <v>-57.28256116082968</v>
      </c>
      <c r="BI465" s="41" t="str">
        <f t="shared" si="409"/>
        <v>0.109485471947994+0.132226916136892i</v>
      </c>
      <c r="BJ465" s="20">
        <f t="shared" si="405"/>
        <v>-15.306047456195071</v>
      </c>
      <c r="BK465" s="43">
        <f t="shared" si="410"/>
        <v>50.374835836906016</v>
      </c>
      <c r="BL465">
        <f t="shared" si="406"/>
        <v>-28.406850810200616</v>
      </c>
      <c r="BM465" s="43">
        <f t="shared" si="407"/>
        <v>-57.28256116082968</v>
      </c>
    </row>
    <row r="466" spans="14:65" x14ac:dyDescent="0.25">
      <c r="N466" s="9">
        <v>48</v>
      </c>
      <c r="O466" s="34">
        <f t="shared" si="408"/>
        <v>301995.17204020242</v>
      </c>
      <c r="P466" s="33" t="str">
        <f t="shared" si="360"/>
        <v>19.1021967526266</v>
      </c>
      <c r="Q466" s="4" t="str">
        <f t="shared" si="361"/>
        <v>1+425.89353632618i</v>
      </c>
      <c r="R466" s="4">
        <f t="shared" si="373"/>
        <v>425.8947103268826</v>
      </c>
      <c r="S466" s="4">
        <f t="shared" si="374"/>
        <v>1.5684483264685154</v>
      </c>
      <c r="T466" s="4" t="str">
        <f t="shared" si="362"/>
        <v>1+7.13456852053615i</v>
      </c>
      <c r="U466" s="4">
        <f t="shared" si="375"/>
        <v>7.2043089865874981</v>
      </c>
      <c r="V466" s="4">
        <f t="shared" si="376"/>
        <v>1.4315408697193133</v>
      </c>
      <c r="W466" t="str">
        <f t="shared" si="363"/>
        <v>1-3.95310755792119i</v>
      </c>
      <c r="X466" s="4">
        <f t="shared" si="377"/>
        <v>4.077629135232093</v>
      </c>
      <c r="Y466" s="4">
        <f t="shared" si="378"/>
        <v>-1.3230285177899406</v>
      </c>
      <c r="Z466" t="str">
        <f t="shared" si="364"/>
        <v>0.908798916064409+2.94111202309336i</v>
      </c>
      <c r="AA466" s="4">
        <f t="shared" si="379"/>
        <v>3.0783202241196679</v>
      </c>
      <c r="AB466" s="4">
        <f t="shared" si="380"/>
        <v>1.2711046985790204</v>
      </c>
      <c r="AC466" s="47" t="str">
        <f t="shared" si="381"/>
        <v>-0.392454769734857-0.170830700356838i</v>
      </c>
      <c r="AD466" s="20">
        <f t="shared" si="382"/>
        <v>-7.3706534592997244</v>
      </c>
      <c r="AE466" s="43">
        <f t="shared" si="383"/>
        <v>-156.47710424823822</v>
      </c>
      <c r="AF466" t="str">
        <f t="shared" si="365"/>
        <v>69.5520360182888</v>
      </c>
      <c r="AG466" t="str">
        <f t="shared" si="366"/>
        <v>1+339.74135812077i</v>
      </c>
      <c r="AH466">
        <f t="shared" si="384"/>
        <v>339.74282982536255</v>
      </c>
      <c r="AI466">
        <f t="shared" si="385"/>
        <v>1.5678529197347495</v>
      </c>
      <c r="AJ466" t="str">
        <f t="shared" si="367"/>
        <v>1+7.13456852053615i</v>
      </c>
      <c r="AK466">
        <f t="shared" si="386"/>
        <v>7.2043089865874981</v>
      </c>
      <c r="AL466">
        <f t="shared" si="387"/>
        <v>1.4315408697193133</v>
      </c>
      <c r="AM466" t="str">
        <f t="shared" si="368"/>
        <v>1-0.86608247268704i</v>
      </c>
      <c r="AN466">
        <f t="shared" si="388"/>
        <v>1.3229130166022622</v>
      </c>
      <c r="AO466">
        <f t="shared" si="389"/>
        <v>-0.71375698882527938</v>
      </c>
      <c r="AP466" s="41" t="str">
        <f t="shared" si="390"/>
        <v>1.28760270513168-1.4659243812729i</v>
      </c>
      <c r="AQ466">
        <f t="shared" si="391"/>
        <v>5.8056633724598896</v>
      </c>
      <c r="AR466" s="43">
        <f t="shared" si="392"/>
        <v>-48.705368220315549</v>
      </c>
      <c r="AS466" t="str">
        <f t="shared" si="369"/>
        <v>-0.0000166666666666667</v>
      </c>
      <c r="AT466" t="str">
        <f t="shared" si="370"/>
        <v>0.00645147153452738i</v>
      </c>
      <c r="AU466">
        <f t="shared" si="393"/>
        <v>6.4514715345273801E-3</v>
      </c>
      <c r="AV466">
        <f t="shared" si="394"/>
        <v>1.5707963267948966</v>
      </c>
      <c r="AW466" t="str">
        <f t="shared" si="371"/>
        <v>1+6.55639165982938i</v>
      </c>
      <c r="AX466">
        <f t="shared" si="395"/>
        <v>6.6322146826742774</v>
      </c>
      <c r="AY466">
        <f t="shared" si="396"/>
        <v>1.4194398937307127</v>
      </c>
      <c r="AZ466" t="str">
        <f t="shared" si="372"/>
        <v>1+222.917316434199i</v>
      </c>
      <c r="BA466">
        <f t="shared" si="397"/>
        <v>222.91955940703096</v>
      </c>
      <c r="BB466">
        <f t="shared" si="398"/>
        <v>1.5663103886537659</v>
      </c>
      <c r="BC466" s="41" t="str">
        <f t="shared" si="399"/>
        <v>-0.0127072519762121+0.0858971108171443i</v>
      </c>
      <c r="BD466">
        <f t="shared" si="400"/>
        <v>-21.226408710219772</v>
      </c>
      <c r="BE466" s="43">
        <f t="shared" si="401"/>
        <v>98.41505949408851</v>
      </c>
      <c r="BF466" s="41" t="str">
        <f t="shared" si="402"/>
        <v>0.0196608852478088-0.0315399420919247i</v>
      </c>
      <c r="BG466" s="20">
        <f t="shared" si="403"/>
        <v>-28.597062169519507</v>
      </c>
      <c r="BH466" s="43">
        <f t="shared" si="404"/>
        <v>-58.062044754149696</v>
      </c>
      <c r="BI466" s="41" t="str">
        <f t="shared" si="409"/>
        <v>0.109556777008391+0.129229222742058i</v>
      </c>
      <c r="BJ466" s="20">
        <f t="shared" si="405"/>
        <v>-15.420745337759909</v>
      </c>
      <c r="BK466" s="43">
        <f t="shared" si="410"/>
        <v>49.709691273773011</v>
      </c>
      <c r="BL466">
        <f t="shared" si="406"/>
        <v>-28.597062169519507</v>
      </c>
      <c r="BM466" s="43">
        <f t="shared" si="407"/>
        <v>-58.062044754149696</v>
      </c>
    </row>
    <row r="467" spans="14:65" x14ac:dyDescent="0.25">
      <c r="N467" s="9">
        <v>49</v>
      </c>
      <c r="O467" s="34">
        <f t="shared" si="408"/>
        <v>309029.54325135931</v>
      </c>
      <c r="P467" s="33" t="str">
        <f t="shared" ref="P467:P530" si="411">COMPLEX(Adc,0)</f>
        <v>19.1021967526266</v>
      </c>
      <c r="Q467" s="4" t="str">
        <f t="shared" ref="Q467:Q530" si="412">IMSUM(COMPLEX(1,0),IMDIV(COMPLEX(0,2*PI()*O467),COMPLEX(wp_lf,0)))</f>
        <v>1+435.813871180248i</v>
      </c>
      <c r="R467" s="4">
        <f t="shared" si="373"/>
        <v>435.81501845750313</v>
      </c>
      <c r="S467" s="4">
        <f t="shared" si="374"/>
        <v>1.5685017732913578</v>
      </c>
      <c r="T467" s="4" t="str">
        <f t="shared" ref="T467:T530" si="413">IMSUM(COMPLEX(1,0),IMDIV(COMPLEX(0,2*PI()*O467),COMPLEX(wz_esr,0)))</f>
        <v>1+7.3007539700115i</v>
      </c>
      <c r="U467" s="4">
        <f t="shared" si="375"/>
        <v>7.3689218024510668</v>
      </c>
      <c r="V467" s="4">
        <f t="shared" si="376"/>
        <v>1.4346712523587917</v>
      </c>
      <c r="W467" t="str">
        <f t="shared" ref="W467:W530" si="414">IMSUB(COMPLEX(1,0),IMDIV(COMPLEX(0,2*PI()*O467),COMPLEX(wz_rhp,0)))</f>
        <v>1-4.04518726175283i</v>
      </c>
      <c r="X467" s="4">
        <f t="shared" si="377"/>
        <v>4.1669581210575375</v>
      </c>
      <c r="Y467" s="4">
        <f t="shared" si="378"/>
        <v>-1.3284477677127187</v>
      </c>
      <c r="Z467" t="str">
        <f t="shared" ref="Z467:Z530" si="415">IMSUM(COMPLEX(1,0),IMDIV(COMPLEX(0,2*PI()*O467),COMPLEX(Q*(wsl/2),0)),IMDIV(IMPOWER(COMPLEX(0,2*PI()*O467),2),IMPOWER(COMPLEX(wsl/2,0),2)))</f>
        <v>0.904500741397856+3.00961932274411i</v>
      </c>
      <c r="AA467" s="4">
        <f t="shared" si="379"/>
        <v>3.1425992520561681</v>
      </c>
      <c r="AB467" s="4">
        <f t="shared" si="380"/>
        <v>1.2788473167015013</v>
      </c>
      <c r="AC467" s="47" t="str">
        <f t="shared" si="381"/>
        <v>-0.394382630698434-0.16695946620055i</v>
      </c>
      <c r="AD467" s="20">
        <f t="shared" si="382"/>
        <v>-7.3656959486946434</v>
      </c>
      <c r="AE467" s="43">
        <f t="shared" si="383"/>
        <v>-157.05492830161376</v>
      </c>
      <c r="AF467" t="str">
        <f t="shared" ref="AF467:AF530" si="416">COMPLEX($B$72,0)</f>
        <v>69.5520360182888</v>
      </c>
      <c r="AG467" t="str">
        <f t="shared" ref="AG467:AG530" si="417">IMSUM(COMPLEX(1,0),IMDIV(COMPLEX(0,2*PI()*O467),COMPLEX(wp_lf_DCM,0)))</f>
        <v>1+347.654950952929i</v>
      </c>
      <c r="AH467">
        <f t="shared" si="384"/>
        <v>347.6563891575754</v>
      </c>
      <c r="AI467">
        <f t="shared" si="385"/>
        <v>1.5679199194854332</v>
      </c>
      <c r="AJ467" t="str">
        <f t="shared" ref="AJ467:AJ530" si="418">IMSUM(COMPLEX(1,0),IMDIV(COMPLEX(0,2*PI()*O467),COMPLEX(wz1_dcm,0)))</f>
        <v>1+7.3007539700115i</v>
      </c>
      <c r="AK467">
        <f t="shared" si="386"/>
        <v>7.3689218024510668</v>
      </c>
      <c r="AL467">
        <f t="shared" si="387"/>
        <v>1.4346712523587917</v>
      </c>
      <c r="AM467" t="str">
        <f t="shared" ref="AM467:AM530" si="419">IMSUB(COMPLEX(1,0),IMDIV(COMPLEX(0,2*PI()*O467),COMPLEX(wz2_dcm,0)))</f>
        <v>1-0.886256125037834i</v>
      </c>
      <c r="AN467">
        <f t="shared" si="388"/>
        <v>1.3362072889963881</v>
      </c>
      <c r="AO467">
        <f t="shared" si="389"/>
        <v>-0.7251697001987627</v>
      </c>
      <c r="AP467" s="41" t="str">
        <f t="shared" si="390"/>
        <v>1.2875760869663-1.49081620958862i</v>
      </c>
      <c r="AQ467">
        <f t="shared" si="391"/>
        <v>5.8887483395380151</v>
      </c>
      <c r="AR467" s="43">
        <f t="shared" si="392"/>
        <v>-49.183749504256362</v>
      </c>
      <c r="AS467" t="str">
        <f t="shared" ref="AS467:AS530" si="420">COMPLEX(Adc_ea,0)</f>
        <v>-0.0000166666666666667</v>
      </c>
      <c r="AT467" t="str">
        <f t="shared" ref="AT467:AT530" si="421">COMPLEX(0,2*PI()*O467*wp0_ea)</f>
        <v>0.00660174561118062i</v>
      </c>
      <c r="AU467">
        <f t="shared" si="393"/>
        <v>6.60174561118062E-3</v>
      </c>
      <c r="AV467">
        <f t="shared" si="394"/>
        <v>1.5707963267948966</v>
      </c>
      <c r="AW467" t="str">
        <f t="shared" ref="AW467:AW530" si="422">IMSUM(COMPLEX(1,0),IMDIV(COMPLEX(0,2*PI()*O467),COMPLEX(wp1_ea,0)))</f>
        <v>1+6.70910964015138i</v>
      </c>
      <c r="AX467">
        <f t="shared" si="395"/>
        <v>6.7832257933502529</v>
      </c>
      <c r="AY467">
        <f t="shared" si="396"/>
        <v>1.4228345527426778</v>
      </c>
      <c r="AZ467" t="str">
        <f t="shared" ref="AZ467:AZ530" si="423">IMSUM(COMPLEX(1,0),IMDIV(COMPLEX(0,2*PI()*O467),COMPLEX(wz_ea,0)))</f>
        <v>1+228.109727765147i</v>
      </c>
      <c r="BA467">
        <f t="shared" si="397"/>
        <v>228.11191968218029</v>
      </c>
      <c r="BB467">
        <f t="shared" si="398"/>
        <v>1.566412499748987</v>
      </c>
      <c r="BC467" s="41" t="str">
        <f t="shared" si="399"/>
        <v>-0.0121477611977628+0.0840252465647133i</v>
      </c>
      <c r="BD467">
        <f t="shared" si="400"/>
        <v>-21.421966602250361</v>
      </c>
      <c r="BE467" s="43">
        <f t="shared" si="401"/>
        <v>98.226410394614476</v>
      </c>
      <c r="BF467" s="41" t="str">
        <f t="shared" si="402"/>
        <v>0.0188196763320842-0.031109914060166i</v>
      </c>
      <c r="BG467" s="20">
        <f t="shared" si="403"/>
        <v>-28.787662550945001</v>
      </c>
      <c r="BH467" s="43">
        <f t="shared" si="404"/>
        <v>-58.828517906999281</v>
      </c>
      <c r="BI467" s="41" t="str">
        <f t="shared" si="409"/>
        <v>0.109625032764939+0.126298977482009i</v>
      </c>
      <c r="BJ467" s="20">
        <f t="shared" si="405"/>
        <v>-15.533218262712317</v>
      </c>
      <c r="BK467" s="43">
        <f t="shared" si="410"/>
        <v>49.042660890358114</v>
      </c>
      <c r="BL467">
        <f t="shared" si="406"/>
        <v>-28.787662550945001</v>
      </c>
      <c r="BM467" s="43">
        <f t="shared" si="407"/>
        <v>-58.828517906999281</v>
      </c>
    </row>
    <row r="468" spans="14:65" x14ac:dyDescent="0.25">
      <c r="N468" s="9">
        <v>50</v>
      </c>
      <c r="O468" s="34">
        <f t="shared" si="408"/>
        <v>316227.7660168382</v>
      </c>
      <c r="P468" s="33" t="str">
        <f t="shared" si="411"/>
        <v>19.1021967526266</v>
      </c>
      <c r="Q468" s="4" t="str">
        <f t="shared" si="412"/>
        <v>1+445.965280317494i</v>
      </c>
      <c r="R468" s="4">
        <f t="shared" ref="R468:R531" si="424">IMABS(Q468)</f>
        <v>445.96640147959687</v>
      </c>
      <c r="S468" s="4">
        <f t="shared" ref="S468:S531" si="425">IMARGUMENT(Q468)</f>
        <v>1.5685540035286483</v>
      </c>
      <c r="T468" s="4" t="str">
        <f t="shared" si="413"/>
        <v>1+7.47081037587866i</v>
      </c>
      <c r="U468" s="4">
        <f t="shared" ref="U468:U531" si="426">IMABS(T468)</f>
        <v>7.537440392622436</v>
      </c>
      <c r="V468" s="4">
        <f t="shared" ref="V468:V531" si="427">IMARGUMENT(T468)</f>
        <v>1.437732974930914</v>
      </c>
      <c r="W468" t="str">
        <f t="shared" si="414"/>
        <v>1-4.13941177741504i</v>
      </c>
      <c r="X468" s="4">
        <f t="shared" ref="X468:X531" si="428">IMABS(W468)</f>
        <v>4.2584891526223636</v>
      </c>
      <c r="Y468" s="4">
        <f t="shared" ref="Y468:Y531" si="429">IMARGUMENT(W468)</f>
        <v>-1.3337577280064428</v>
      </c>
      <c r="Z468" t="str">
        <f t="shared" si="415"/>
        <v>0.9+3.07972236239679i</v>
      </c>
      <c r="AA468" s="4">
        <f t="shared" ref="AA468:AA531" si="430">IMABS(Z468)</f>
        <v>3.2085339065446803</v>
      </c>
      <c r="AB468" s="4">
        <f t="shared" ref="AB468:AB531" si="431">IMARGUMENT(Z468)</f>
        <v>1.2864793187629247</v>
      </c>
      <c r="AC468" s="47" t="str">
        <f t="shared" ref="AC468:AC531" si="432">(IMDIV(IMPRODUCT(P468,T468,W468),IMPRODUCT(Q468,Z468)))</f>
        <v>-0.396239260839033-0.163123761627054i</v>
      </c>
      <c r="AD468" s="20">
        <f t="shared" ref="AD468:AD531" si="433">20*LOG(IMABS(AC468))</f>
        <v>-7.3609204775007679</v>
      </c>
      <c r="AE468" s="43">
        <f t="shared" ref="AE468:AE531" si="434">(180/PI())*IMARGUMENT(AC468)</f>
        <v>-157.6240169139181</v>
      </c>
      <c r="AF468" t="str">
        <f t="shared" si="416"/>
        <v>69.5520360182888</v>
      </c>
      <c r="AG468" t="str">
        <f t="shared" si="417"/>
        <v>1+355.752875041841i</v>
      </c>
      <c r="AH468">
        <f t="shared" ref="AH468:AH531" si="435">IMABS(AG468)</f>
        <v>355.75428050908363</v>
      </c>
      <c r="AI468">
        <f t="shared" ref="AI468:AI531" si="436">IMARGUMENT(AG468)</f>
        <v>1.5679853941605497</v>
      </c>
      <c r="AJ468" t="str">
        <f t="shared" si="418"/>
        <v>1+7.47081037587866i</v>
      </c>
      <c r="AK468">
        <f t="shared" ref="AK468:AK531" si="437">IMABS(AJ468)</f>
        <v>7.537440392622436</v>
      </c>
      <c r="AL468">
        <f t="shared" ref="AL468:AL531" si="438">IMARGUMENT(AJ468)</f>
        <v>1.437732974930914</v>
      </c>
      <c r="AM468" t="str">
        <f t="shared" si="419"/>
        <v>1-0.906899682117111i</v>
      </c>
      <c r="AN468">
        <f t="shared" ref="AN468:AN531" si="439">IMABS(AM468)</f>
        <v>1.3499877901018649</v>
      </c>
      <c r="AO468">
        <f t="shared" ref="AO468:AO531" si="440">IMARGUMENT(AM468)</f>
        <v>-0.73661402923003272</v>
      </c>
      <c r="AP468" s="41" t="str">
        <f t="shared" ref="AP468:AP531" si="441">(IMDIV(IMPRODUCT(AF468,AJ468,AM468),IMPRODUCT(AG468)))</f>
        <v>1.28755066679633-1.51649848149821i</v>
      </c>
      <c r="AQ468">
        <f t="shared" ref="AQ468:AQ531" si="442">20*LOG(IMABS(AP468))</f>
        <v>5.9742688937219413</v>
      </c>
      <c r="AR468" s="43">
        <f t="shared" ref="AR468:AR531" si="443">(180/PI())*IMARGUMENT(AP468)</f>
        <v>-49.667788898233766</v>
      </c>
      <c r="AS468" t="str">
        <f t="shared" si="420"/>
        <v>-0.0000166666666666667</v>
      </c>
      <c r="AT468" t="str">
        <f t="shared" si="421"/>
        <v>0.00675552002074135i</v>
      </c>
      <c r="AU468">
        <f t="shared" ref="AU468:AU531" si="444">IMABS(AT468)</f>
        <v>6.7555200207413497E-3</v>
      </c>
      <c r="AV468">
        <f t="shared" ref="AV468:AV531" si="445">IMARGUMENT(AT468)</f>
        <v>1.5707963267948966</v>
      </c>
      <c r="AW468" t="str">
        <f t="shared" si="422"/>
        <v>1+6.86538487921015i</v>
      </c>
      <c r="AX468">
        <f t="shared" ref="AX468:AX531" si="446">IMABS(AW468)</f>
        <v>6.9378317606934923</v>
      </c>
      <c r="AY468">
        <f t="shared" ref="AY468:AY531" si="447">IMARGUMENT(AW468)</f>
        <v>1.426155262606827</v>
      </c>
      <c r="AZ468" t="str">
        <f t="shared" si="423"/>
        <v>1+233.423085893145i</v>
      </c>
      <c r="BA468">
        <f t="shared" ref="BA468:BA531" si="448">IMABS(AZ468)</f>
        <v>233.42522791651837</v>
      </c>
      <c r="BB468">
        <f t="shared" ref="BB468:BB531" si="449">IMARGUMENT(AZ468)</f>
        <v>1.5665122866002457</v>
      </c>
      <c r="BC468" s="41" t="str">
        <f t="shared" ref="BC468:BC531" si="450">IMPRODUCT(AS468,IMDIV(AZ468,IMPRODUCT(AT468,AW468)))</f>
        <v>-0.0116123806891192+0.082190581035127i</v>
      </c>
      <c r="BD468">
        <f t="shared" ref="BD468:BD531" si="451">20*LOG(IMABS(BC468))</f>
        <v>-21.617720168940057</v>
      </c>
      <c r="BE468" s="43">
        <f t="shared" ref="BE468:BE531" si="452">(180/PI())*IMARGUMENT(BC468)</f>
        <v>98.041865099839313</v>
      </c>
      <c r="BF468" s="41" t="str">
        <f t="shared" ref="BF468:BF531" si="453">IMPRODUCT(AC468,BC468)</f>
        <v>0.0180085178896012-0.0306728798578349i</v>
      </c>
      <c r="BG468" s="20">
        <f t="shared" ref="BG468:BG531" si="454">20*LOG(IMABS(BF468))</f>
        <v>-28.978640646440816</v>
      </c>
      <c r="BH468" s="43">
        <f t="shared" ref="BH468:BH531" si="455">(180/PI())*IMARGUMENT(BF468)</f>
        <v>-59.582151814078763</v>
      </c>
      <c r="BI468" s="41" t="str">
        <f t="shared" si="409"/>
        <v>0.109690362833857+0.123434695097784i</v>
      </c>
      <c r="BJ468" s="20">
        <f t="shared" ref="BJ468:BJ531" si="456">20*LOG(IMABS(BI468))</f>
        <v>-15.643451275218128</v>
      </c>
      <c r="BK468" s="43">
        <f t="shared" si="410"/>
        <v>48.374076201605675</v>
      </c>
      <c r="BL468">
        <f t="shared" ref="BL468:BL531" si="457">IF($B$31=0,BJ468,BG468)</f>
        <v>-28.978640646440816</v>
      </c>
      <c r="BM468" s="43">
        <f t="shared" ref="BM468:BM531" si="458">IF($B$31=0,BK468,BH468)</f>
        <v>-59.582151814078763</v>
      </c>
    </row>
    <row r="469" spans="14:65" x14ac:dyDescent="0.25">
      <c r="N469" s="9">
        <v>51</v>
      </c>
      <c r="O469" s="34">
        <f t="shared" si="408"/>
        <v>323593.65692962846</v>
      </c>
      <c r="P469" s="33" t="str">
        <f t="shared" si="411"/>
        <v>19.1021967526266</v>
      </c>
      <c r="Q469" s="4" t="str">
        <f t="shared" si="412"/>
        <v>1+456.353146149414i</v>
      </c>
      <c r="R469" s="4">
        <f t="shared" si="424"/>
        <v>456.3542417908136</v>
      </c>
      <c r="S469" s="4">
        <f t="shared" si="425"/>
        <v>1.5686050448724096</v>
      </c>
      <c r="T469" s="4" t="str">
        <f t="shared" si="413"/>
        <v>1+7.64482790429497i</v>
      </c>
      <c r="U469" s="4">
        <f t="shared" si="426"/>
        <v>7.7099541948241832</v>
      </c>
      <c r="V469" s="4">
        <f t="shared" si="427"/>
        <v>1.4407274310721221</v>
      </c>
      <c r="W469" t="str">
        <f t="shared" si="414"/>
        <v>1-4.23583106399323i</v>
      </c>
      <c r="X469" s="4">
        <f t="shared" si="428"/>
        <v>4.3522712234751664</v>
      </c>
      <c r="Y469" s="4">
        <f t="shared" si="429"/>
        <v>-1.338960015819769</v>
      </c>
      <c r="Z469" t="str">
        <f t="shared" si="415"/>
        <v>0.89528714519491+3.15145831161096i</v>
      </c>
      <c r="AA469" s="4">
        <f t="shared" si="430"/>
        <v>3.2761606435236126</v>
      </c>
      <c r="AB469" s="4">
        <f t="shared" si="431"/>
        <v>1.2940021353681999</v>
      </c>
      <c r="AC469" s="47" t="str">
        <f t="shared" si="432"/>
        <v>-0.398026465277264-0.159324414329351i</v>
      </c>
      <c r="AD469" s="20">
        <f t="shared" si="433"/>
        <v>-7.3563243366016051</v>
      </c>
      <c r="AE469" s="43">
        <f t="shared" si="434"/>
        <v>-158.18446644571725</v>
      </c>
      <c r="AF469" t="str">
        <f t="shared" si="416"/>
        <v>69.5520360182888</v>
      </c>
      <c r="AG469" t="str">
        <f t="shared" si="417"/>
        <v>1+364.039424014047i</v>
      </c>
      <c r="AH469">
        <f t="shared" si="435"/>
        <v>364.04079748907139</v>
      </c>
      <c r="AI469">
        <f t="shared" si="436"/>
        <v>1.5680493784733915</v>
      </c>
      <c r="AJ469" t="str">
        <f t="shared" si="418"/>
        <v>1+7.64482790429497i</v>
      </c>
      <c r="AK469">
        <f t="shared" si="437"/>
        <v>7.7099541948241832</v>
      </c>
      <c r="AL469">
        <f t="shared" si="438"/>
        <v>1.4407274310721221</v>
      </c>
      <c r="AM469" t="str">
        <f t="shared" si="419"/>
        <v>1-0.928024089412082i</v>
      </c>
      <c r="AN469">
        <f t="shared" si="439"/>
        <v>1.3642685624645625</v>
      </c>
      <c r="AO469">
        <f t="shared" si="440"/>
        <v>-0.74808405366446862</v>
      </c>
      <c r="AP469" s="41" t="str">
        <f t="shared" si="441"/>
        <v>1.28752639070479-1.54298481454229i</v>
      </c>
      <c r="AQ469">
        <f t="shared" si="442"/>
        <v>6.0622292027596654</v>
      </c>
      <c r="AR469" s="43">
        <f t="shared" si="443"/>
        <v>-50.157069221491653</v>
      </c>
      <c r="AS469" t="str">
        <f t="shared" si="420"/>
        <v>-0.0000166666666666667</v>
      </c>
      <c r="AT469" t="str">
        <f t="shared" si="421"/>
        <v>0.00691287629643696i</v>
      </c>
      <c r="AU469">
        <f t="shared" si="444"/>
        <v>6.9128762964369601E-3</v>
      </c>
      <c r="AV469">
        <f t="shared" si="445"/>
        <v>1.5707963267948966</v>
      </c>
      <c r="AW469" t="str">
        <f t="shared" si="422"/>
        <v>1+7.02530023620599i</v>
      </c>
      <c r="AX469">
        <f t="shared" si="446"/>
        <v>7.096114669932831</v>
      </c>
      <c r="AY469">
        <f t="shared" si="447"/>
        <v>1.4294034909125841</v>
      </c>
      <c r="AZ469" t="str">
        <f t="shared" si="423"/>
        <v>1+238.860208031004i</v>
      </c>
      <c r="BA469">
        <f t="shared" si="448"/>
        <v>238.86230129640487</v>
      </c>
      <c r="BB469">
        <f t="shared" si="449"/>
        <v>1.5666098021078976</v>
      </c>
      <c r="BC469" s="41" t="str">
        <f t="shared" si="450"/>
        <v>-0.0111001166688192+0.0803926120284032i</v>
      </c>
      <c r="BD469">
        <f t="shared" si="451"/>
        <v>-21.813660970103406</v>
      </c>
      <c r="BE469" s="43">
        <f t="shared" si="452"/>
        <v>97.861342554050026</v>
      </c>
      <c r="BF469" s="41" t="str">
        <f t="shared" si="453"/>
        <v>0.0172266460296874-0.0302298676128247i</v>
      </c>
      <c r="BG469" s="20">
        <f t="shared" si="454"/>
        <v>-29.169985306705012</v>
      </c>
      <c r="BH469" s="43">
        <f t="shared" si="455"/>
        <v>-60.323123891667251</v>
      </c>
      <c r="BI469" s="41" t="str">
        <f t="shared" si="409"/>
        <v>0.109752886410209+0.120634921063896i</v>
      </c>
      <c r="BJ469" s="20">
        <f t="shared" si="456"/>
        <v>-15.751431767343755</v>
      </c>
      <c r="BK469" s="43">
        <f t="shared" si="410"/>
        <v>47.704273332558365</v>
      </c>
      <c r="BL469">
        <f t="shared" si="457"/>
        <v>-29.169985306705012</v>
      </c>
      <c r="BM469" s="43">
        <f t="shared" si="458"/>
        <v>-60.323123891667251</v>
      </c>
    </row>
    <row r="470" spans="14:65" x14ac:dyDescent="0.25">
      <c r="N470" s="9">
        <v>52</v>
      </c>
      <c r="O470" s="34">
        <f t="shared" si="408"/>
        <v>331131.12148259126</v>
      </c>
      <c r="P470" s="33" t="str">
        <f t="shared" si="411"/>
        <v>19.1021967526266</v>
      </c>
      <c r="Q470" s="4" t="str">
        <f t="shared" si="412"/>
        <v>1+466.982976459972i</v>
      </c>
      <c r="R470" s="4">
        <f t="shared" si="424"/>
        <v>466.98404716158637</v>
      </c>
      <c r="S470" s="4">
        <f t="shared" si="425"/>
        <v>1.5686549243843733</v>
      </c>
      <c r="T470" s="4" t="str">
        <f t="shared" si="413"/>
        <v>1+7.82289882165743i</v>
      </c>
      <c r="U470" s="4">
        <f t="shared" si="426"/>
        <v>7.8865547594554366</v>
      </c>
      <c r="V470" s="4">
        <f t="shared" si="427"/>
        <v>1.4436559935641942</v>
      </c>
      <c r="W470" t="str">
        <f t="shared" si="414"/>
        <v>1-4.33449624426942i</v>
      </c>
      <c r="X470" s="4">
        <f t="shared" si="428"/>
        <v>4.4483544925720242</v>
      </c>
      <c r="Y470" s="4">
        <f t="shared" si="429"/>
        <v>-1.3440562626306514</v>
      </c>
      <c r="Z470" t="str">
        <f t="shared" si="415"/>
        <v>0.890352180385681+3.22486520573644i</v>
      </c>
      <c r="AA470" s="4">
        <f t="shared" si="430"/>
        <v>3.3455167912128418</v>
      </c>
      <c r="AB470" s="4">
        <f t="shared" si="431"/>
        <v>1.3014172803711064</v>
      </c>
      <c r="AC470" s="47" t="str">
        <f t="shared" si="432"/>
        <v>-0.399746054407954-0.155562144270859i</v>
      </c>
      <c r="AD470" s="20">
        <f t="shared" si="433"/>
        <v>-7.3519046467130975</v>
      </c>
      <c r="AE470" s="43">
        <f t="shared" si="434"/>
        <v>-158.73638000716545</v>
      </c>
      <c r="AF470" t="str">
        <f t="shared" si="416"/>
        <v>69.5520360182888</v>
      </c>
      <c r="AG470" t="str">
        <f t="shared" si="417"/>
        <v>1+372.518991507498i</v>
      </c>
      <c r="AH470">
        <f t="shared" si="435"/>
        <v>372.52033371852787</v>
      </c>
      <c r="AI470">
        <f t="shared" si="436"/>
        <v>1.5681119063471918</v>
      </c>
      <c r="AJ470" t="str">
        <f t="shared" si="418"/>
        <v>1+7.82289882165743i</v>
      </c>
      <c r="AK470">
        <f t="shared" si="437"/>
        <v>7.8865547594554366</v>
      </c>
      <c r="AL470">
        <f t="shared" si="438"/>
        <v>1.4436559935641942</v>
      </c>
      <c r="AM470" t="str">
        <f t="shared" si="419"/>
        <v>1-0.949640547363115i</v>
      </c>
      <c r="AN470">
        <f t="shared" si="439"/>
        <v>1.3790638742263233</v>
      </c>
      <c r="AO470">
        <f t="shared" si="440"/>
        <v>-0.75957378396255415</v>
      </c>
      <c r="AP470" s="41" t="str">
        <f t="shared" si="441"/>
        <v>1.28750320720124-1.57028925255464i</v>
      </c>
      <c r="AQ470">
        <f t="shared" si="442"/>
        <v>6.1526313890148998</v>
      </c>
      <c r="AR470" s="43">
        <f t="shared" si="443"/>
        <v>-50.651170587750052</v>
      </c>
      <c r="AS470" t="str">
        <f t="shared" si="420"/>
        <v>-0.0000166666666666667</v>
      </c>
      <c r="AT470" t="str">
        <f t="shared" si="421"/>
        <v>0.00707389787064768i</v>
      </c>
      <c r="AU470">
        <f t="shared" si="444"/>
        <v>7.0738978706476798E-3</v>
      </c>
      <c r="AV470">
        <f t="shared" si="445"/>
        <v>1.5707963267948966</v>
      </c>
      <c r="AW470" t="str">
        <f t="shared" si="422"/>
        <v>1+7.18894050037794i</v>
      </c>
      <c r="AX470">
        <f t="shared" si="446"/>
        <v>7.2581585486936158</v>
      </c>
      <c r="AY470">
        <f t="shared" si="447"/>
        <v>1.432580685594435</v>
      </c>
      <c r="AZ470" t="str">
        <f t="shared" si="423"/>
        <v>1+244.42397701285i</v>
      </c>
      <c r="BA470">
        <f t="shared" si="448"/>
        <v>244.42602263011648</v>
      </c>
      <c r="BB470">
        <f t="shared" si="449"/>
        <v>1.5667050979685333</v>
      </c>
      <c r="BC470" s="41" t="str">
        <f t="shared" si="450"/>
        <v>-0.0106100124055003+0.0786308275198493i</v>
      </c>
      <c r="BD470">
        <f t="shared" si="451"/>
        <v>-22.009780914129145</v>
      </c>
      <c r="BE470" s="43">
        <f t="shared" si="452"/>
        <v>97.684762758708032</v>
      </c>
      <c r="BF470" s="41" t="str">
        <f t="shared" si="453"/>
        <v>0.016473290731098-0.0297818467753521i</v>
      </c>
      <c r="BG470" s="20">
        <f t="shared" si="454"/>
        <v>-29.361685560842243</v>
      </c>
      <c r="BH470" s="43">
        <f t="shared" si="455"/>
        <v>-61.051617248457454</v>
      </c>
      <c r="BI470" s="41" t="str">
        <f t="shared" si="409"/>
        <v>0.10981271837337+0.117898231066522i</v>
      </c>
      <c r="BJ470" s="20">
        <f t="shared" si="456"/>
        <v>-15.857149525114263</v>
      </c>
      <c r="BK470" s="43">
        <f t="shared" si="410"/>
        <v>47.033592170958087</v>
      </c>
      <c r="BL470">
        <f t="shared" si="457"/>
        <v>-29.361685560842243</v>
      </c>
      <c r="BM470" s="43">
        <f t="shared" si="458"/>
        <v>-61.051617248457454</v>
      </c>
    </row>
    <row r="471" spans="14:65" x14ac:dyDescent="0.25">
      <c r="N471" s="9">
        <v>53</v>
      </c>
      <c r="O471" s="34">
        <f t="shared" si="408"/>
        <v>338844.15613920329</v>
      </c>
      <c r="P471" s="33" t="str">
        <f t="shared" si="411"/>
        <v>19.1021967526266</v>
      </c>
      <c r="Q471" s="4" t="str">
        <f t="shared" si="412"/>
        <v>1+477.860407325898i</v>
      </c>
      <c r="R471" s="4">
        <f t="shared" si="424"/>
        <v>477.86145365542211</v>
      </c>
      <c r="S471" s="4">
        <f t="shared" si="425"/>
        <v>1.5687036685103235</v>
      </c>
      <c r="T471" s="4" t="str">
        <f t="shared" si="413"/>
        <v>1+8.00511754352343i</v>
      </c>
      <c r="U471" s="4">
        <f t="shared" si="426"/>
        <v>8.0673357984917526</v>
      </c>
      <c r="V471" s="4">
        <f t="shared" si="427"/>
        <v>1.4465200141288932</v>
      </c>
      <c r="W471" t="str">
        <f t="shared" si="414"/>
        <v>1-4.43545963182815i</v>
      </c>
      <c r="X471" s="4">
        <f t="shared" si="428"/>
        <v>4.5467903124706668</v>
      </c>
      <c r="Y471" s="4">
        <f t="shared" si="429"/>
        <v>-1.349048111199062</v>
      </c>
      <c r="Z471" t="str">
        <f t="shared" si="415"/>
        <v>0.885184637850311+3.29998196608014i</v>
      </c>
      <c r="AA471" s="4">
        <f t="shared" si="430"/>
        <v>3.4166405751176598</v>
      </c>
      <c r="AB471" s="4">
        <f t="shared" si="431"/>
        <v>1.3087263452916373</v>
      </c>
      <c r="AC471" s="47" t="str">
        <f t="shared" si="432"/>
        <v>-0.401399838185234-0.151837567129283i</v>
      </c>
      <c r="AD471" s="20">
        <f t="shared" si="433"/>
        <v>-7.3476583890895686</v>
      </c>
      <c r="AE471" s="43">
        <f t="shared" si="434"/>
        <v>-159.27986697613437</v>
      </c>
      <c r="AF471" t="str">
        <f t="shared" si="416"/>
        <v>69.5520360182888</v>
      </c>
      <c r="AG471" t="str">
        <f t="shared" si="417"/>
        <v>1+381.196073501116i</v>
      </c>
      <c r="AH471">
        <f t="shared" si="435"/>
        <v>381.19738515979918</v>
      </c>
      <c r="AI471">
        <f t="shared" si="436"/>
        <v>1.5681730109330996</v>
      </c>
      <c r="AJ471" t="str">
        <f t="shared" si="418"/>
        <v>1+8.00511754352343i</v>
      </c>
      <c r="AK471">
        <f t="shared" si="437"/>
        <v>8.0673357984917526</v>
      </c>
      <c r="AL471">
        <f t="shared" si="438"/>
        <v>1.4465200141288932</v>
      </c>
      <c r="AM471" t="str">
        <f t="shared" si="419"/>
        <v>1-0.971760517302336i</v>
      </c>
      <c r="AN471">
        <f t="shared" si="439"/>
        <v>1.3943882181758793</v>
      </c>
      <c r="AO471">
        <f t="shared" si="440"/>
        <v>-0.77107717873797821</v>
      </c>
      <c r="AP471" s="41" t="str">
        <f t="shared" si="441"/>
        <v>1.28748106711253-1.59842627311047i</v>
      </c>
      <c r="AQ471">
        <f t="shared" si="442"/>
        <v>6.245475479868964</v>
      </c>
      <c r="AR471" s="43">
        <f t="shared" si="443"/>
        <v>-51.14967130254027</v>
      </c>
      <c r="AS471" t="str">
        <f t="shared" si="420"/>
        <v>-0.0000166666666666667</v>
      </c>
      <c r="AT471" t="str">
        <f t="shared" si="421"/>
        <v>0.00723867011914353i</v>
      </c>
      <c r="AU471">
        <f t="shared" si="444"/>
        <v>7.2386701191435301E-3</v>
      </c>
      <c r="AV471">
        <f t="shared" si="445"/>
        <v>1.5707963267948966</v>
      </c>
      <c r="AW471" t="str">
        <f t="shared" si="422"/>
        <v>1+7.35639243596005i</v>
      </c>
      <c r="AX471">
        <f t="shared" si="446"/>
        <v>7.4240494120022014</v>
      </c>
      <c r="AY471">
        <f t="shared" si="447"/>
        <v>1.435688274529398</v>
      </c>
      <c r="AZ471" t="str">
        <f t="shared" si="423"/>
        <v>1+250.117342822642i</v>
      </c>
      <c r="BA471">
        <f t="shared" si="448"/>
        <v>250.11934187635117</v>
      </c>
      <c r="BB471">
        <f t="shared" si="449"/>
        <v>1.5667982247023522</v>
      </c>
      <c r="BC471" s="41" t="str">
        <f t="shared" si="450"/>
        <v>-0.0101411471808723+0.0769047071217692i</v>
      </c>
      <c r="BD471">
        <f t="shared" si="451"/>
        <v>-22.206072244924368</v>
      </c>
      <c r="BE471" s="43">
        <f t="shared" si="452"/>
        <v>97.512046797080814</v>
      </c>
      <c r="BF471" s="41" t="str">
        <f t="shared" si="453"/>
        <v>0.0157476784675743-0.0293297298785173i</v>
      </c>
      <c r="BG471" s="20">
        <f t="shared" si="454"/>
        <v>-29.553730634013942</v>
      </c>
      <c r="BH471" s="43">
        <f t="shared" si="455"/>
        <v>-61.767820179053452</v>
      </c>
      <c r="BI471" s="41" t="str">
        <f t="shared" si="409"/>
        <v>0.109869969395127+0.115223230484498i</v>
      </c>
      <c r="BJ471" s="20">
        <f t="shared" si="456"/>
        <v>-15.960596765055424</v>
      </c>
      <c r="BK471" s="43">
        <f t="shared" si="410"/>
        <v>46.362375494540458</v>
      </c>
      <c r="BL471">
        <f t="shared" si="457"/>
        <v>-29.553730634013942</v>
      </c>
      <c r="BM471" s="43">
        <f t="shared" si="458"/>
        <v>-61.767820179053452</v>
      </c>
    </row>
    <row r="472" spans="14:65" x14ac:dyDescent="0.25">
      <c r="N472" s="9">
        <v>54</v>
      </c>
      <c r="O472" s="34">
        <f t="shared" si="408"/>
        <v>346736.85045253241</v>
      </c>
      <c r="P472" s="33" t="str">
        <f t="shared" si="411"/>
        <v>19.1021967526266</v>
      </c>
      <c r="Q472" s="4" t="str">
        <f t="shared" si="412"/>
        <v>1+488.991206105018i</v>
      </c>
      <c r="R472" s="4">
        <f t="shared" si="424"/>
        <v>488.99222861722473</v>
      </c>
      <c r="S472" s="4">
        <f t="shared" si="425"/>
        <v>1.5687513030941143</v>
      </c>
      <c r="T472" s="4" t="str">
        <f t="shared" si="413"/>
        <v>1+8.19158068467125i</v>
      </c>
      <c r="U472" s="4">
        <f t="shared" si="426"/>
        <v>8.2523932355092668</v>
      </c>
      <c r="V472" s="4">
        <f t="shared" si="427"/>
        <v>1.4493208232679391</v>
      </c>
      <c r="W472" t="str">
        <f t="shared" si="414"/>
        <v>1-4.53877475879392i</v>
      </c>
      <c r="X472" s="4">
        <f t="shared" si="428"/>
        <v>4.6476312580781194</v>
      </c>
      <c r="Y472" s="4">
        <f t="shared" si="429"/>
        <v>-1.3539372127044638</v>
      </c>
      <c r="Z472" t="str">
        <f t="shared" si="415"/>
        <v>0.879773556538258+3.37684842054267i</v>
      </c>
      <c r="AA472" s="4">
        <f t="shared" si="430"/>
        <v>3.4895711435798957</v>
      </c>
      <c r="AB472" s="4">
        <f t="shared" si="431"/>
        <v>1.3159309939327066</v>
      </c>
      <c r="AC472" s="47" t="str">
        <f t="shared" si="432"/>
        <v>-0.40298962084938-0.148151197898586i</v>
      </c>
      <c r="AD472" s="20">
        <f t="shared" si="433"/>
        <v>-7.3435824339442028</v>
      </c>
      <c r="AE472" s="43">
        <f t="shared" si="434"/>
        <v>-159.81504253573397</v>
      </c>
      <c r="AF472" t="str">
        <f t="shared" si="416"/>
        <v>69.5520360182888</v>
      </c>
      <c r="AG472" t="str">
        <f t="shared" si="417"/>
        <v>1+390.075270698632i</v>
      </c>
      <c r="AH472">
        <f t="shared" si="435"/>
        <v>390.07655250041756</v>
      </c>
      <c r="AI472">
        <f t="shared" si="436"/>
        <v>1.568232724627749</v>
      </c>
      <c r="AJ472" t="str">
        <f t="shared" si="418"/>
        <v>1+8.19158068467125i</v>
      </c>
      <c r="AK472">
        <f t="shared" si="437"/>
        <v>8.2523932355092668</v>
      </c>
      <c r="AL472">
        <f t="shared" si="438"/>
        <v>1.4493208232679391</v>
      </c>
      <c r="AM472" t="str">
        <f t="shared" si="419"/>
        <v>1-0.994395727530601i</v>
      </c>
      <c r="AN472">
        <f t="shared" si="439"/>
        <v>1.4102563110765054</v>
      </c>
      <c r="AO472">
        <f t="shared" si="440"/>
        <v>-0.78258816052722147</v>
      </c>
      <c r="AP472" s="41" t="str">
        <f t="shared" si="441"/>
        <v>1.28745992347856-1.62741079520451i</v>
      </c>
      <c r="AQ472">
        <f t="shared" si="442"/>
        <v>6.3407593683401329</v>
      </c>
      <c r="AR472" s="43">
        <f t="shared" si="443"/>
        <v>-51.652148776909343</v>
      </c>
      <c r="AS472" t="str">
        <f t="shared" si="420"/>
        <v>-0.0000166666666666667</v>
      </c>
      <c r="AT472" t="str">
        <f t="shared" si="421"/>
        <v>0.00740728040635166i</v>
      </c>
      <c r="AU472">
        <f t="shared" si="444"/>
        <v>7.4072804063516602E-3</v>
      </c>
      <c r="AV472">
        <f t="shared" si="445"/>
        <v>1.5707963267948966</v>
      </c>
      <c r="AW472" t="str">
        <f t="shared" si="422"/>
        <v>1+7.52774482818507i</v>
      </c>
      <c r="AX472">
        <f t="shared" si="446"/>
        <v>7.5938753083170312</v>
      </c>
      <c r="AY472">
        <f t="shared" si="447"/>
        <v>1.4387276651933347</v>
      </c>
      <c r="AZ472" t="str">
        <f t="shared" si="423"/>
        <v>1+255.943324158292i</v>
      </c>
      <c r="BA472">
        <f t="shared" si="448"/>
        <v>255.94527770833463</v>
      </c>
      <c r="BB472">
        <f t="shared" si="449"/>
        <v>1.5668892316799161</v>
      </c>
      <c r="BC472" s="41" t="str">
        <f t="shared" si="450"/>
        <v>-0.00969263524943757+0.07521372344767i</v>
      </c>
      <c r="BD472">
        <f t="shared" si="451"/>
        <v>-22.40252752923012</v>
      </c>
      <c r="BE472" s="43">
        <f t="shared" si="452"/>
        <v>97.343116855466405</v>
      </c>
      <c r="BF472" s="41" t="str">
        <f t="shared" si="453"/>
        <v>0.0150490346313875-0.0288743743718484i</v>
      </c>
      <c r="BG472" s="20">
        <f t="shared" si="454"/>
        <v>-29.74610996317432</v>
      </c>
      <c r="BH472" s="43">
        <f t="shared" si="455"/>
        <v>-62.471925680267489</v>
      </c>
      <c r="BI472" s="41" t="str">
        <f t="shared" si="409"/>
        <v>0.109924746049718+0.112608553873389i</v>
      </c>
      <c r="BJ472" s="20">
        <f t="shared" si="456"/>
        <v>-16.061768160890008</v>
      </c>
      <c r="BK472" s="43">
        <f t="shared" si="410"/>
        <v>45.69096807855707</v>
      </c>
      <c r="BL472">
        <f t="shared" si="457"/>
        <v>-29.74610996317432</v>
      </c>
      <c r="BM472" s="43">
        <f t="shared" si="458"/>
        <v>-62.471925680267489</v>
      </c>
    </row>
    <row r="473" spans="14:65" x14ac:dyDescent="0.25">
      <c r="N473" s="9">
        <v>55</v>
      </c>
      <c r="O473" s="34">
        <f t="shared" si="408"/>
        <v>354813.38923357555</v>
      </c>
      <c r="P473" s="33" t="str">
        <f t="shared" si="411"/>
        <v>19.1021967526266</v>
      </c>
      <c r="Q473" s="4" t="str">
        <f t="shared" si="412"/>
        <v>1+500.381274494176i</v>
      </c>
      <c r="R473" s="4">
        <f t="shared" si="424"/>
        <v>500.38227373121032</v>
      </c>
      <c r="S473" s="4">
        <f t="shared" si="425"/>
        <v>1.5687978533913667</v>
      </c>
      <c r="T473" s="4" t="str">
        <f t="shared" si="413"/>
        <v>1+8.38238711032643i</v>
      </c>
      <c r="U473" s="4">
        <f t="shared" si="426"/>
        <v>8.4418252568604313</v>
      </c>
      <c r="V473" s="4">
        <f t="shared" si="427"/>
        <v>1.4520597301450391</v>
      </c>
      <c r="W473" t="str">
        <f t="shared" si="414"/>
        <v>1-4.64449640421456i</v>
      </c>
      <c r="X473" s="4">
        <f t="shared" si="428"/>
        <v>4.7509311559695302</v>
      </c>
      <c r="Y473" s="4">
        <f t="shared" si="429"/>
        <v>-1.3587252240620917</v>
      </c>
      <c r="Z473" t="str">
        <f t="shared" si="415"/>
        <v>0.874107458820584+3.45550532473563i</v>
      </c>
      <c r="AA473" s="4">
        <f t="shared" si="430"/>
        <v>3.564348593900724</v>
      </c>
      <c r="AB473" s="4">
        <f t="shared" si="431"/>
        <v>1.3230329572030211</v>
      </c>
      <c r="AC473" s="47" t="str">
        <f t="shared" si="432"/>
        <v>-0.40451719608268-0.144503454612884i</v>
      </c>
      <c r="AD473" s="20">
        <f t="shared" si="433"/>
        <v>-7.3396735666929303</v>
      </c>
      <c r="AE473" s="43">
        <f t="shared" si="434"/>
        <v>-160.34202723146322</v>
      </c>
      <c r="AF473" t="str">
        <f t="shared" si="416"/>
        <v>69.5520360182888</v>
      </c>
      <c r="AG473" t="str">
        <f t="shared" si="417"/>
        <v>1+399.161290967926i</v>
      </c>
      <c r="AH473">
        <f t="shared" si="435"/>
        <v>399.16254359243334</v>
      </c>
      <c r="AI473">
        <f t="shared" si="436"/>
        <v>1.5682910790904272</v>
      </c>
      <c r="AJ473" t="str">
        <f t="shared" si="418"/>
        <v>1+8.38238711032643i</v>
      </c>
      <c r="AK473">
        <f t="shared" si="437"/>
        <v>8.4418252568604313</v>
      </c>
      <c r="AL473">
        <f t="shared" si="438"/>
        <v>1.4520597301450391</v>
      </c>
      <c r="AM473" t="str">
        <f t="shared" si="419"/>
        <v>1-1.01755817953598i</v>
      </c>
      <c r="AN473">
        <f t="shared" si="439"/>
        <v>1.4266830933113974</v>
      </c>
      <c r="AO473">
        <f t="shared" si="440"/>
        <v>-0.79410063179094958</v>
      </c>
      <c r="AP473" s="41" t="str">
        <f t="shared" si="441"/>
        <v>1.28743973145264-1.65725818716306i</v>
      </c>
      <c r="AQ473">
        <f t="shared" si="442"/>
        <v>6.4384787841666338</v>
      </c>
      <c r="AR473" s="43">
        <f t="shared" si="443"/>
        <v>-52.158180451976747</v>
      </c>
      <c r="AS473" t="str">
        <f t="shared" si="420"/>
        <v>-0.0000166666666666667</v>
      </c>
      <c r="AT473" t="str">
        <f t="shared" si="421"/>
        <v>0.00757981813167818i</v>
      </c>
      <c r="AU473">
        <f t="shared" si="444"/>
        <v>7.57981813167818E-3</v>
      </c>
      <c r="AV473">
        <f t="shared" si="445"/>
        <v>1.5707963267948966</v>
      </c>
      <c r="AW473" t="str">
        <f t="shared" si="422"/>
        <v>1+7.70308853035943i</v>
      </c>
      <c r="AX473">
        <f t="shared" si="446"/>
        <v>7.7677263666117256</v>
      </c>
      <c r="AY473">
        <f t="shared" si="447"/>
        <v>1.4417002443721556</v>
      </c>
      <c r="AZ473" t="str">
        <f t="shared" si="423"/>
        <v>1+261.905010032221i</v>
      </c>
      <c r="BA473">
        <f t="shared" si="448"/>
        <v>261.90691911436363</v>
      </c>
      <c r="BB473">
        <f t="shared" si="449"/>
        <v>1.5669781671482959</v>
      </c>
      <c r="BC473" s="41" t="str">
        <f t="shared" si="450"/>
        <v>-0.00926362479882712+0.073557343383656i</v>
      </c>
      <c r="BD473">
        <f t="shared" si="451"/>
        <v>-22.599139644308082</v>
      </c>
      <c r="BE473" s="43">
        <f t="shared" si="452"/>
        <v>97.177896241238685</v>
      </c>
      <c r="BF473" s="41" t="str">
        <f t="shared" si="453"/>
        <v>0.014376585760268-0.0284165845111793i</v>
      </c>
      <c r="BG473" s="20">
        <f t="shared" si="454"/>
        <v>-29.938813211001012</v>
      </c>
      <c r="BH473" s="43">
        <f t="shared" si="455"/>
        <v>-63.164130990224514</v>
      </c>
      <c r="BI473" s="41" t="str">
        <f t="shared" si="409"/>
        <v>0.109977150925248+0.110052864452887i</v>
      </c>
      <c r="BJ473" s="20">
        <f t="shared" si="456"/>
        <v>-16.160660860141455</v>
      </c>
      <c r="BK473" s="43">
        <f t="shared" si="410"/>
        <v>45.019715789262143</v>
      </c>
      <c r="BL473">
        <f t="shared" si="457"/>
        <v>-29.938813211001012</v>
      </c>
      <c r="BM473" s="43">
        <f t="shared" si="458"/>
        <v>-63.164130990224514</v>
      </c>
    </row>
    <row r="474" spans="14:65" x14ac:dyDescent="0.25">
      <c r="N474" s="9">
        <v>56</v>
      </c>
      <c r="O474" s="34">
        <f t="shared" si="408"/>
        <v>363078.05477010203</v>
      </c>
      <c r="P474" s="33" t="str">
        <f t="shared" si="411"/>
        <v>19.1021967526266</v>
      </c>
      <c r="Q474" s="4" t="str">
        <f t="shared" si="412"/>
        <v>1+512.036651658405i</v>
      </c>
      <c r="R474" s="4">
        <f t="shared" si="424"/>
        <v>512.03762815007144</v>
      </c>
      <c r="S474" s="4">
        <f t="shared" si="425"/>
        <v>1.5688433440828577</v>
      </c>
      <c r="T474" s="4" t="str">
        <f t="shared" si="413"/>
        <v>1+8.57763798858159i</v>
      </c>
      <c r="U474" s="4">
        <f t="shared" si="426"/>
        <v>8.6357323640301651</v>
      </c>
      <c r="V474" s="4">
        <f t="shared" si="427"/>
        <v>1.454738022506906</v>
      </c>
      <c r="W474" t="str">
        <f t="shared" si="414"/>
        <v>1-4.75268062310594i</v>
      </c>
      <c r="X474" s="4">
        <f t="shared" si="428"/>
        <v>4.8567451142968858</v>
      </c>
      <c r="Y474" s="4">
        <f t="shared" si="429"/>
        <v>-1.3634138054118969</v>
      </c>
      <c r="Z474" t="str">
        <f t="shared" si="415"/>
        <v>0.868174326144359+3.53599438359082i</v>
      </c>
      <c r="AA474" s="4">
        <f t="shared" si="430"/>
        <v>3.6410139990615296</v>
      </c>
      <c r="AB474" s="4">
        <f t="shared" si="431"/>
        <v>1.3300340281511731</v>
      </c>
      <c r="AC474" s="47" t="str">
        <f t="shared" si="432"/>
        <v>-0.405984342579661-0.140894662159039i</v>
      </c>
      <c r="AD474" s="20">
        <f t="shared" si="433"/>
        <v>-7.3359285121343767</v>
      </c>
      <c r="AE474" s="43">
        <f t="shared" si="434"/>
        <v>-160.86094654810401</v>
      </c>
      <c r="AF474" t="str">
        <f t="shared" si="416"/>
        <v>69.5520360182888</v>
      </c>
      <c r="AG474" t="str">
        <f t="shared" si="417"/>
        <v>1+408.458951837219i</v>
      </c>
      <c r="AH474">
        <f t="shared" si="435"/>
        <v>408.46017594859796</v>
      </c>
      <c r="AI474">
        <f t="shared" si="436"/>
        <v>1.568348105259852</v>
      </c>
      <c r="AJ474" t="str">
        <f t="shared" si="418"/>
        <v>1+8.57763798858159i</v>
      </c>
      <c r="AK474">
        <f t="shared" si="437"/>
        <v>8.6357323640301651</v>
      </c>
      <c r="AL474">
        <f t="shared" si="438"/>
        <v>1.454738022506906</v>
      </c>
      <c r="AM474" t="str">
        <f t="shared" si="419"/>
        <v>1-1.04126015435713i</v>
      </c>
      <c r="AN474">
        <f t="shared" si="439"/>
        <v>1.4436837288865711</v>
      </c>
      <c r="AO474">
        <f t="shared" si="440"/>
        <v>-0.80560849104484678</v>
      </c>
      <c r="AP474" s="41" t="str">
        <f t="shared" si="441"/>
        <v>1.28742044820645-1.68798427479417i</v>
      </c>
      <c r="AQ474">
        <f t="shared" si="442"/>
        <v>6.5386272755100237</v>
      </c>
      <c r="AR474" s="43">
        <f t="shared" si="443"/>
        <v>-52.667344728648168</v>
      </c>
      <c r="AS474" t="str">
        <f t="shared" si="420"/>
        <v>-0.0000166666666666667</v>
      </c>
      <c r="AT474" t="str">
        <f t="shared" si="421"/>
        <v>0.00775637477690889i</v>
      </c>
      <c r="AU474">
        <f t="shared" si="444"/>
        <v>7.7563747769088904E-3</v>
      </c>
      <c r="AV474">
        <f t="shared" si="445"/>
        <v>1.5707963267948966</v>
      </c>
      <c r="AW474" t="str">
        <f t="shared" si="422"/>
        <v>1+7.88251651203509i</v>
      </c>
      <c r="AX474">
        <f t="shared" si="446"/>
        <v>7.9456948445372495</v>
      </c>
      <c r="AY474">
        <f t="shared" si="447"/>
        <v>1.4446073779241868</v>
      </c>
      <c r="AZ474" t="str">
        <f t="shared" si="423"/>
        <v>1+268.005561409193i</v>
      </c>
      <c r="BA474">
        <f t="shared" si="448"/>
        <v>268.00742703562662</v>
      </c>
      <c r="BB474">
        <f t="shared" si="449"/>
        <v>1.5670650782566233</v>
      </c>
      <c r="BC474" s="41" t="str">
        <f t="shared" si="450"/>
        <v>-0.00885329691419164+0.0719350292715837i</v>
      </c>
      <c r="BD474">
        <f t="shared" si="451"/>
        <v>-22.795901765998604</v>
      </c>
      <c r="BE474" s="43">
        <f t="shared" si="452"/>
        <v>97.016309397926406</v>
      </c>
      <c r="BF474" s="41" t="str">
        <f t="shared" si="453"/>
        <v>0.013729561573991-0.0279571132895539i</v>
      </c>
      <c r="BG474" s="20">
        <f t="shared" si="454"/>
        <v>-30.131830278132977</v>
      </c>
      <c r="BH474" s="43">
        <f t="shared" si="455"/>
        <v>-63.844637150177626</v>
      </c>
      <c r="BI474" s="41" t="str">
        <f t="shared" si="409"/>
        <v>0.110027282735918+0.107554853597806i</v>
      </c>
      <c r="BJ474" s="20">
        <f t="shared" si="456"/>
        <v>-16.257274490488573</v>
      </c>
      <c r="BK474" s="43">
        <f t="shared" si="410"/>
        <v>44.348964669278402</v>
      </c>
      <c r="BL474">
        <f t="shared" si="457"/>
        <v>-30.131830278132977</v>
      </c>
      <c r="BM474" s="43">
        <f t="shared" si="458"/>
        <v>-63.844637150177626</v>
      </c>
    </row>
    <row r="475" spans="14:65" x14ac:dyDescent="0.25">
      <c r="N475" s="9">
        <v>57</v>
      </c>
      <c r="O475" s="34">
        <f t="shared" si="408"/>
        <v>371535.2290971732</v>
      </c>
      <c r="P475" s="33" t="str">
        <f t="shared" si="411"/>
        <v>19.1021967526266</v>
      </c>
      <c r="Q475" s="4" t="str">
        <f t="shared" si="412"/>
        <v>1+523.963517432947i</v>
      </c>
      <c r="R475" s="4">
        <f t="shared" si="424"/>
        <v>523.96447169699024</v>
      </c>
      <c r="S475" s="4">
        <f t="shared" si="425"/>
        <v>1.5688877992876</v>
      </c>
      <c r="T475" s="4" t="str">
        <f t="shared" si="413"/>
        <v>1+8.77743684403672i</v>
      </c>
      <c r="U475" s="4">
        <f t="shared" si="426"/>
        <v>8.8342174272005156</v>
      </c>
      <c r="V475" s="4">
        <f t="shared" si="427"/>
        <v>1.457356966640333</v>
      </c>
      <c r="W475" t="str">
        <f t="shared" si="414"/>
        <v>1-4.86338477617283i</v>
      </c>
      <c r="X475" s="4">
        <f t="shared" si="428"/>
        <v>4.9651295533056992</v>
      </c>
      <c r="Y475" s="4">
        <f t="shared" si="429"/>
        <v>-1.368004617773785</v>
      </c>
      <c r="Z475" t="str">
        <f t="shared" si="415"/>
        <v>0.861961573539711+3.61835827347259i</v>
      </c>
      <c r="AA475" s="4">
        <f t="shared" si="430"/>
        <v>3.7196094350706495</v>
      </c>
      <c r="AB475" s="4">
        <f t="shared" si="431"/>
        <v>1.3369360572143674</v>
      </c>
      <c r="AC475" s="47" t="str">
        <f t="shared" si="432"/>
        <v>-0.407392820015569-0.137325056147718i</v>
      </c>
      <c r="AD475" s="20">
        <f t="shared" si="433"/>
        <v>-7.3323439566776223</v>
      </c>
      <c r="AE475" s="43">
        <f t="shared" si="434"/>
        <v>-161.37193050635759</v>
      </c>
      <c r="AF475" t="str">
        <f t="shared" si="416"/>
        <v>69.5520360182888</v>
      </c>
      <c r="AG475" t="str">
        <f t="shared" si="417"/>
        <v>1+417.973183049368i</v>
      </c>
      <c r="AH475">
        <f t="shared" si="435"/>
        <v>417.9743792966508</v>
      </c>
      <c r="AI475">
        <f t="shared" si="436"/>
        <v>1.5684038333705688</v>
      </c>
      <c r="AJ475" t="str">
        <f t="shared" si="418"/>
        <v>1+8.77743684403672i</v>
      </c>
      <c r="AK475">
        <f t="shared" si="437"/>
        <v>8.8342174272005156</v>
      </c>
      <c r="AL475">
        <f t="shared" si="438"/>
        <v>1.457356966640333</v>
      </c>
      <c r="AM475" t="str">
        <f t="shared" si="419"/>
        <v>1-1.06551421909483i</v>
      </c>
      <c r="AN475">
        <f t="shared" si="439"/>
        <v>1.4612736058292661</v>
      </c>
      <c r="AO475">
        <f t="shared" si="440"/>
        <v>-0.81710564901588734</v>
      </c>
      <c r="AP475" s="41" t="str">
        <f t="shared" si="441"/>
        <v>1.28740203283912-1.71960534978022i</v>
      </c>
      <c r="AQ475">
        <f t="shared" si="442"/>
        <v>6.641196201341919</v>
      </c>
      <c r="AR475" s="43">
        <f t="shared" si="443"/>
        <v>-53.179221896702579</v>
      </c>
      <c r="AS475" t="str">
        <f t="shared" si="420"/>
        <v>-0.0000166666666666667</v>
      </c>
      <c r="AT475" t="str">
        <f t="shared" si="421"/>
        <v>0.00793704395471406i</v>
      </c>
      <c r="AU475">
        <f t="shared" si="444"/>
        <v>7.9370439547140608E-3</v>
      </c>
      <c r="AV475">
        <f t="shared" si="445"/>
        <v>1.5707963267948966</v>
      </c>
      <c r="AW475" t="str">
        <f t="shared" si="422"/>
        <v>1+8.06612390830284i</v>
      </c>
      <c r="AX475">
        <f t="shared" si="446"/>
        <v>8.1278751776891038</v>
      </c>
      <c r="AY475">
        <f t="shared" si="447"/>
        <v>1.4474504105901271</v>
      </c>
      <c r="AZ475" t="str">
        <f t="shared" si="423"/>
        <v>1+274.248212882296i</v>
      </c>
      <c r="BA475">
        <f t="shared" si="448"/>
        <v>274.25003604217289</v>
      </c>
      <c r="BB475">
        <f t="shared" si="449"/>
        <v>1.5671500110810637</v>
      </c>
      <c r="BC475" s="41" t="str">
        <f t="shared" si="450"/>
        <v>-0.00846086454970675+0.0703462400084627i</v>
      </c>
      <c r="BD475">
        <f t="shared" si="451"/>
        <v>-22.992807357146567</v>
      </c>
      <c r="BE475" s="43">
        <f t="shared" si="452"/>
        <v>96.858281917532722</v>
      </c>
      <c r="BF475" s="41" t="str">
        <f t="shared" si="453"/>
        <v>0.0131071968276178-0.0274966643951929i</v>
      </c>
      <c r="BG475" s="20">
        <f t="shared" si="454"/>
        <v>-30.325151313824197</v>
      </c>
      <c r="BH475" s="43">
        <f t="shared" si="455"/>
        <v>-64.513648588824779</v>
      </c>
      <c r="BI475" s="41" t="str">
        <f t="shared" si="409"/>
        <v>0.110075236434607+0.105113240332925i</v>
      </c>
      <c r="BJ475" s="20">
        <f t="shared" si="456"/>
        <v>-16.351611155804644</v>
      </c>
      <c r="BK475" s="43">
        <f t="shared" si="410"/>
        <v>43.679060020830121</v>
      </c>
      <c r="BL475">
        <f t="shared" si="457"/>
        <v>-30.325151313824197</v>
      </c>
      <c r="BM475" s="43">
        <f t="shared" si="458"/>
        <v>-64.513648588824779</v>
      </c>
    </row>
    <row r="476" spans="14:65" x14ac:dyDescent="0.25">
      <c r="N476" s="9">
        <v>58</v>
      </c>
      <c r="O476" s="34">
        <f t="shared" si="408"/>
        <v>380189.39632056188</v>
      </c>
      <c r="P476" s="33" t="str">
        <f t="shared" si="411"/>
        <v>19.1021967526266</v>
      </c>
      <c r="Q476" s="4" t="str">
        <f t="shared" si="412"/>
        <v>1+536.168195599909i</v>
      </c>
      <c r="R476" s="4">
        <f t="shared" si="424"/>
        <v>536.16912814228908</v>
      </c>
      <c r="S476" s="4">
        <f t="shared" si="425"/>
        <v>1.5689312425756288</v>
      </c>
      <c r="T476" s="4" t="str">
        <f t="shared" si="413"/>
        <v>1+8.98188961268967i</v>
      </c>
      <c r="U476" s="4">
        <f t="shared" si="426"/>
        <v>9.0373857400546207</v>
      </c>
      <c r="V476" s="4">
        <f t="shared" si="427"/>
        <v>1.4599178073625958</v>
      </c>
      <c r="W476" t="str">
        <f t="shared" si="414"/>
        <v>1-4.97666756022256i</v>
      </c>
      <c r="X476" s="4">
        <f t="shared" si="428"/>
        <v>5.0761422364795461</v>
      </c>
      <c r="Y476" s="4">
        <f t="shared" si="429"/>
        <v>-1.3724993208627252</v>
      </c>
      <c r="Z476" t="str">
        <f t="shared" si="415"/>
        <v>0.855456022925407+3.70264066480558i</v>
      </c>
      <c r="AA476" s="4">
        <f t="shared" si="430"/>
        <v>3.8001780089663248</v>
      </c>
      <c r="AB476" s="4">
        <f t="shared" si="431"/>
        <v>1.3437409476838083</v>
      </c>
      <c r="AC476" s="47" t="str">
        <f t="shared" si="432"/>
        <v>-0.408744365395754-0.133794786815483i</v>
      </c>
      <c r="AD476" s="20">
        <f t="shared" si="433"/>
        <v>-7.3289165687311151</v>
      </c>
      <c r="AE476" s="43">
        <f t="shared" si="434"/>
        <v>-161.87511327912739</v>
      </c>
      <c r="AF476" t="str">
        <f t="shared" si="416"/>
        <v>69.5520360182888</v>
      </c>
      <c r="AG476" t="str">
        <f t="shared" si="417"/>
        <v>1+427.709029175699i</v>
      </c>
      <c r="AH476">
        <f t="shared" si="435"/>
        <v>427.71019819314449</v>
      </c>
      <c r="AI476">
        <f t="shared" si="436"/>
        <v>1.5684582929689741</v>
      </c>
      <c r="AJ476" t="str">
        <f t="shared" si="418"/>
        <v>1+8.98188961268967i</v>
      </c>
      <c r="AK476">
        <f t="shared" si="437"/>
        <v>9.0373857400546207</v>
      </c>
      <c r="AL476">
        <f t="shared" si="438"/>
        <v>1.4599178073625958</v>
      </c>
      <c r="AM476" t="str">
        <f t="shared" si="419"/>
        <v>1-1.09033323357524i</v>
      </c>
      <c r="AN476">
        <f t="shared" si="439"/>
        <v>1.4794683370179436</v>
      </c>
      <c r="AO476">
        <f t="shared" si="440"/>
        <v>-0.82858604471983999</v>
      </c>
      <c r="AP476" s="41" t="str">
        <f t="shared" si="441"/>
        <v>1.28738444629059-1.75213817831742i</v>
      </c>
      <c r="AQ476">
        <f t="shared" si="442"/>
        <v>6.7461747344855389</v>
      </c>
      <c r="AR476" s="43">
        <f t="shared" si="443"/>
        <v>-53.693395057430799</v>
      </c>
      <c r="AS476" t="str">
        <f t="shared" si="420"/>
        <v>-0.0000166666666666667</v>
      </c>
      <c r="AT476" t="str">
        <f t="shared" si="421"/>
        <v>0.00812192145828323i</v>
      </c>
      <c r="AU476">
        <f t="shared" si="444"/>
        <v>8.1219214582832298E-3</v>
      </c>
      <c r="AV476">
        <f t="shared" si="445"/>
        <v>1.5707963267948966</v>
      </c>
      <c r="AW476" t="str">
        <f t="shared" si="422"/>
        <v>1+8.25400807023454i</v>
      </c>
      <c r="AX476">
        <f t="shared" si="446"/>
        <v>8.314364030008365</v>
      </c>
      <c r="AY476">
        <f t="shared" si="447"/>
        <v>1.4502306658472437</v>
      </c>
      <c r="AZ476" t="str">
        <f t="shared" si="423"/>
        <v>1+280.636274387974i</v>
      </c>
      <c r="BA476">
        <f t="shared" si="448"/>
        <v>280.63805604793208</v>
      </c>
      <c r="BB476">
        <f t="shared" si="449"/>
        <v>1.5672330106492203</v>
      </c>
      <c r="BC476" s="41" t="str">
        <f t="shared" si="450"/>
        <v>-0.00808557150988297+0.0687904320664371i</v>
      </c>
      <c r="BD476">
        <f t="shared" si="451"/>
        <v>-23.189850156393938</v>
      </c>
      <c r="BE476" s="43">
        <f t="shared" si="452"/>
        <v>96.703740550287691</v>
      </c>
      <c r="BF476" s="41" t="str">
        <f t="shared" si="453"/>
        <v>0.012508732988943-0.0270358941838494i</v>
      </c>
      <c r="BG476" s="20">
        <f t="shared" si="454"/>
        <v>-30.518766725125065</v>
      </c>
      <c r="BH476" s="43">
        <f t="shared" si="455"/>
        <v>-65.1713727288397</v>
      </c>
      <c r="BI476" s="41" t="str">
        <f t="shared" si="409"/>
        <v>0.110121103325362+0.102726770831922i</v>
      </c>
      <c r="BJ476" s="20">
        <f t="shared" si="456"/>
        <v>-16.443675421908392</v>
      </c>
      <c r="BK476" s="43">
        <f t="shared" si="410"/>
        <v>43.010345492856771</v>
      </c>
      <c r="BL476">
        <f t="shared" si="457"/>
        <v>-30.518766725125065</v>
      </c>
      <c r="BM476" s="43">
        <f t="shared" si="458"/>
        <v>-65.1713727288397</v>
      </c>
    </row>
    <row r="477" spans="14:65" x14ac:dyDescent="0.25">
      <c r="N477" s="9">
        <v>59</v>
      </c>
      <c r="O477" s="34">
        <f t="shared" si="408"/>
        <v>389045.14499428123</v>
      </c>
      <c r="P477" s="33" t="str">
        <f t="shared" si="411"/>
        <v>19.1021967526266</v>
      </c>
      <c r="Q477" s="4" t="str">
        <f t="shared" si="412"/>
        <v>1+548.657157241204i</v>
      </c>
      <c r="R477" s="4">
        <f t="shared" si="424"/>
        <v>548.65806855636345</v>
      </c>
      <c r="S477" s="4">
        <f t="shared" si="425"/>
        <v>1.5689736969804939</v>
      </c>
      <c r="T477" s="4" t="str">
        <f t="shared" si="413"/>
        <v>1+9.19110469810464i</v>
      </c>
      <c r="U477" s="4">
        <f t="shared" si="426"/>
        <v>9.2453450758487747</v>
      </c>
      <c r="V477" s="4">
        <f t="shared" si="427"/>
        <v>1.4624217680425613</v>
      </c>
      <c r="W477" t="str">
        <f t="shared" si="414"/>
        <v>1-5.09258903928671i</v>
      </c>
      <c r="X477" s="4">
        <f t="shared" si="428"/>
        <v>5.1898423023308844</v>
      </c>
      <c r="Y477" s="4">
        <f t="shared" si="429"/>
        <v>-1.376899571057163</v>
      </c>
      <c r="Z477" t="str">
        <f t="shared" si="415"/>
        <v>0.848643875156379+3.78888624522931i</v>
      </c>
      <c r="AA477" s="4">
        <f t="shared" si="430"/>
        <v>3.882763887506977</v>
      </c>
      <c r="AB477" s="4">
        <f t="shared" si="431"/>
        <v>1.350450651387356</v>
      </c>
      <c r="AC477" s="47" t="str">
        <f t="shared" si="432"/>
        <v>-0.410040689767729-0.130303922933304i</v>
      </c>
      <c r="AD477" s="20">
        <f t="shared" si="433"/>
        <v>-7.3256430173645972</v>
      </c>
      <c r="AE477" s="43">
        <f t="shared" si="434"/>
        <v>-162.37063282725859</v>
      </c>
      <c r="AF477" t="str">
        <f t="shared" si="416"/>
        <v>69.5520360182888</v>
      </c>
      <c r="AG477" t="str">
        <f t="shared" si="417"/>
        <v>1+437.671652290698i</v>
      </c>
      <c r="AH477">
        <f t="shared" si="435"/>
        <v>437.67279469812792</v>
      </c>
      <c r="AI477">
        <f t="shared" si="436"/>
        <v>1.5685115129289751</v>
      </c>
      <c r="AJ477" t="str">
        <f t="shared" si="418"/>
        <v>1+9.19110469810464i</v>
      </c>
      <c r="AK477">
        <f t="shared" si="437"/>
        <v>9.2453450758487747</v>
      </c>
      <c r="AL477">
        <f t="shared" si="438"/>
        <v>1.4624217680425613</v>
      </c>
      <c r="AM477" t="str">
        <f t="shared" si="419"/>
        <v>1-1.11573035716836i</v>
      </c>
      <c r="AN477">
        <f t="shared" si="439"/>
        <v>1.4982837614774567</v>
      </c>
      <c r="AO477">
        <f t="shared" si="440"/>
        <v>-0.84004366135665953</v>
      </c>
      <c r="AP477" s="41" t="str">
        <f t="shared" si="441"/>
        <v>1.28736765125866-1.78560001000686i</v>
      </c>
      <c r="AQ477">
        <f t="shared" si="442"/>
        <v>6.8535498751887065</v>
      </c>
      <c r="AR477" s="43">
        <f t="shared" si="443"/>
        <v>-54.209451034064713</v>
      </c>
      <c r="AS477" t="str">
        <f t="shared" si="420"/>
        <v>-0.0000166666666666667</v>
      </c>
      <c r="AT477" t="str">
        <f t="shared" si="421"/>
        <v>0.00831110531211591i</v>
      </c>
      <c r="AU477">
        <f t="shared" si="444"/>
        <v>8.3111053121159104E-3</v>
      </c>
      <c r="AV477">
        <f t="shared" si="445"/>
        <v>1.5707963267948966</v>
      </c>
      <c r="AW477" t="str">
        <f t="shared" si="422"/>
        <v>1+8.4462686164998i</v>
      </c>
      <c r="AX477">
        <f t="shared" si="446"/>
        <v>8.5052603453433129</v>
      </c>
      <c r="AY477">
        <f t="shared" si="447"/>
        <v>1.4529494458045875</v>
      </c>
      <c r="AZ477" t="str">
        <f t="shared" si="423"/>
        <v>1+287.173132960993i</v>
      </c>
      <c r="BA477">
        <f t="shared" si="448"/>
        <v>287.17487406566778</v>
      </c>
      <c r="BB477">
        <f t="shared" si="449"/>
        <v>1.5673141209639863</v>
      </c>
      <c r="BC477" s="41" t="str">
        <f t="shared" si="450"/>
        <v>-0.00772669144304697+0.0672670604375803i</v>
      </c>
      <c r="BD477">
        <f t="shared" si="451"/>
        <v>-23.387024167333447</v>
      </c>
      <c r="BE477" s="43">
        <f t="shared" si="452"/>
        <v>96.552613212018201</v>
      </c>
      <c r="BF477" s="41" t="str">
        <f t="shared" si="453"/>
        <v>0.0119334197481378-0.0265754136541487i</v>
      </c>
      <c r="BG477" s="20">
        <f t="shared" si="454"/>
        <v>-30.712667184698045</v>
      </c>
      <c r="BH477" s="43">
        <f t="shared" si="455"/>
        <v>-65.818019615240289</v>
      </c>
      <c r="BI477" s="41" t="str">
        <f t="shared" si="409"/>
        <v>0.11016497117544+0.100394217920627i</v>
      </c>
      <c r="BJ477" s="20">
        <f t="shared" si="456"/>
        <v>-16.533474292144714</v>
      </c>
      <c r="BK477" s="43">
        <f t="shared" si="410"/>
        <v>42.343162177953509</v>
      </c>
      <c r="BL477">
        <f t="shared" si="457"/>
        <v>-30.712667184698045</v>
      </c>
      <c r="BM477" s="43">
        <f t="shared" si="458"/>
        <v>-65.818019615240289</v>
      </c>
    </row>
    <row r="478" spans="14:65" x14ac:dyDescent="0.25">
      <c r="N478" s="9">
        <v>60</v>
      </c>
      <c r="O478" s="34">
        <f t="shared" si="408"/>
        <v>398107.17055349716</v>
      </c>
      <c r="P478" s="33" t="str">
        <f t="shared" si="411"/>
        <v>19.1021967526266</v>
      </c>
      <c r="Q478" s="4" t="str">
        <f t="shared" si="412"/>
        <v>1+561.437024169603i</v>
      </c>
      <c r="R478" s="4">
        <f t="shared" si="424"/>
        <v>561.43791474073009</v>
      </c>
      <c r="S478" s="4">
        <f t="shared" si="425"/>
        <v>1.5690151850114702</v>
      </c>
      <c r="T478" s="4" t="str">
        <f t="shared" si="413"/>
        <v>1+9.40519302888917i</v>
      </c>
      <c r="U478" s="4">
        <f t="shared" si="426"/>
        <v>9.4582057447840207</v>
      </c>
      <c r="V478" s="4">
        <f t="shared" si="427"/>
        <v>1.464870050650068</v>
      </c>
      <c r="W478" t="str">
        <f t="shared" si="414"/>
        <v>1-5.21121067646785i</v>
      </c>
      <c r="X478" s="4">
        <f t="shared" si="428"/>
        <v>5.3062902968582959</v>
      </c>
      <c r="Y478" s="4">
        <f t="shared" si="429"/>
        <v>-1.3812070195142041</v>
      </c>
      <c r="Z478" t="str">
        <f t="shared" si="415"/>
        <v>0.841510680753889+3.87714074329208i</v>
      </c>
      <c r="AA478" s="4">
        <f t="shared" si="430"/>
        <v>3.9674123265824464</v>
      </c>
      <c r="AB478" s="4">
        <f t="shared" si="431"/>
        <v>1.3570671645889458</v>
      </c>
      <c r="AC478" s="47" t="str">
        <f t="shared" si="432"/>
        <v>-0.411283475277052-0.126852455699516i</v>
      </c>
      <c r="AD478" s="20">
        <f t="shared" si="433"/>
        <v>-7.3225199893545518</v>
      </c>
      <c r="AE478" s="43">
        <f t="shared" si="434"/>
        <v>-162.85863055447066</v>
      </c>
      <c r="AF478" t="str">
        <f t="shared" si="416"/>
        <v>69.5520360182888</v>
      </c>
      <c r="AG478" t="str">
        <f t="shared" si="417"/>
        <v>1+447.866334709009i</v>
      </c>
      <c r="AH478">
        <f t="shared" si="435"/>
        <v>447.86745111213662</v>
      </c>
      <c r="AI478">
        <f t="shared" si="436"/>
        <v>1.5685635214672924</v>
      </c>
      <c r="AJ478" t="str">
        <f t="shared" si="418"/>
        <v>1+9.40519302888917i</v>
      </c>
      <c r="AK478">
        <f t="shared" si="437"/>
        <v>9.4582057447840207</v>
      </c>
      <c r="AL478">
        <f t="shared" si="438"/>
        <v>1.464870050650068</v>
      </c>
      <c r="AM478" t="str">
        <f t="shared" si="419"/>
        <v>1-1.14171905576528i</v>
      </c>
      <c r="AN478">
        <f t="shared" si="439"/>
        <v>1.5177359461703352</v>
      </c>
      <c r="AO478">
        <f t="shared" si="440"/>
        <v>-0.85147254192262067</v>
      </c>
      <c r="AP478" s="41" t="str">
        <f t="shared" si="441"/>
        <v>1.28735161211997-1.82000858700171i</v>
      </c>
      <c r="AQ478">
        <f t="shared" si="442"/>
        <v>6.9633064750151172</v>
      </c>
      <c r="AR478" s="43">
        <f t="shared" si="443"/>
        <v>-54.726981264332217</v>
      </c>
      <c r="AS478" t="str">
        <f t="shared" si="420"/>
        <v>-0.0000166666666666667</v>
      </c>
      <c r="AT478" t="str">
        <f t="shared" si="421"/>
        <v>0.00850469582399554i</v>
      </c>
      <c r="AU478">
        <f t="shared" si="444"/>
        <v>8.5046958239955398E-3</v>
      </c>
      <c r="AV478">
        <f t="shared" si="445"/>
        <v>1.5707963267948966</v>
      </c>
      <c r="AW478" t="str">
        <f t="shared" si="422"/>
        <v>1+8.64300748618508i</v>
      </c>
      <c r="AX478">
        <f t="shared" si="446"/>
        <v>8.7006654002007995</v>
      </c>
      <c r="AY478">
        <f t="shared" si="447"/>
        <v>1.4556080311362134</v>
      </c>
      <c r="AZ478" t="str">
        <f t="shared" si="423"/>
        <v>1+293.862254530293i</v>
      </c>
      <c r="BA478">
        <f t="shared" si="448"/>
        <v>293.86395600281895</v>
      </c>
      <c r="BB478">
        <f t="shared" si="449"/>
        <v>1.5673933850268524</v>
      </c>
      <c r="BC478" s="41" t="str">
        <f t="shared" si="450"/>
        <v>-0.0073835268490524+0.0657755795075741i</v>
      </c>
      <c r="BD478">
        <f t="shared" si="451"/>
        <v>-23.584323648019762</v>
      </c>
      <c r="BE478" s="43">
        <f t="shared" si="452"/>
        <v>96.404828989309934</v>
      </c>
      <c r="BF478" s="41" t="str">
        <f t="shared" si="453"/>
        <v>0.0113805163678742-0.0261157904157115i</v>
      </c>
      <c r="BG478" s="20">
        <f t="shared" si="454"/>
        <v>-30.906843637374322</v>
      </c>
      <c r="BH478" s="43">
        <f t="shared" si="455"/>
        <v>-66.453801565160759</v>
      </c>
      <c r="BI478" s="41" t="str">
        <f t="shared" si="409"/>
        <v>0.11020692432654+0.0981143805848338i</v>
      </c>
      <c r="BJ478" s="20">
        <f t="shared" si="456"/>
        <v>-16.621017173004638</v>
      </c>
      <c r="BK478" s="43">
        <f t="shared" si="410"/>
        <v>41.677847724977688</v>
      </c>
      <c r="BL478">
        <f t="shared" si="457"/>
        <v>-30.906843637374322</v>
      </c>
      <c r="BM478" s="43">
        <f t="shared" si="458"/>
        <v>-66.453801565160759</v>
      </c>
    </row>
    <row r="479" spans="14:65" x14ac:dyDescent="0.25">
      <c r="N479" s="9">
        <v>61</v>
      </c>
      <c r="O479" s="34">
        <f t="shared" si="408"/>
        <v>407380.27780411334</v>
      </c>
      <c r="P479" s="33" t="str">
        <f t="shared" si="411"/>
        <v>19.1021967526266</v>
      </c>
      <c r="Q479" s="4" t="str">
        <f t="shared" si="412"/>
        <v>1+574.514572439715i</v>
      </c>
      <c r="R479" s="4">
        <f t="shared" si="424"/>
        <v>574.51544273899947</v>
      </c>
      <c r="S479" s="4">
        <f t="shared" si="425"/>
        <v>1.5690557286654891</v>
      </c>
      <c r="T479" s="4" t="str">
        <f t="shared" si="413"/>
        <v>1+9.6242681175101i</v>
      </c>
      <c r="U479" s="4">
        <f t="shared" si="426"/>
        <v>9.6760806527085848</v>
      </c>
      <c r="V479" s="4">
        <f t="shared" si="427"/>
        <v>1.4672638358312704</v>
      </c>
      <c r="W479" t="str">
        <f t="shared" si="414"/>
        <v>1-5.33259536652821i</v>
      </c>
      <c r="X479" s="4">
        <f t="shared" si="428"/>
        <v>5.4255482066900971</v>
      </c>
      <c r="Y479" s="4">
        <f t="shared" si="429"/>
        <v>-1.3854233104250282</v>
      </c>
      <c r="Z479" t="str">
        <f t="shared" si="415"/>
        <v>0.834041309256244+3.96745095269699i</v>
      </c>
      <c r="AA479" s="4">
        <f t="shared" si="430"/>
        <v>4.0541697013817917</v>
      </c>
      <c r="AB479" s="4">
        <f t="shared" si="431"/>
        <v>1.3635925241032014</v>
      </c>
      <c r="AC479" s="47" t="str">
        <f t="shared" si="432"/>
        <v>-0.412474372547767-0.123440302597773i</v>
      </c>
      <c r="AD479" s="20">
        <f t="shared" si="433"/>
        <v>-7.3195442047219093</v>
      </c>
      <c r="AE479" s="43">
        <f t="shared" si="434"/>
        <v>-163.33925098115014</v>
      </c>
      <c r="AF479" t="str">
        <f t="shared" si="416"/>
        <v>69.5520360182888</v>
      </c>
      <c r="AG479" t="str">
        <f t="shared" si="417"/>
        <v>1+458.298481786196i</v>
      </c>
      <c r="AH479">
        <f t="shared" si="435"/>
        <v>458.29957277694706</v>
      </c>
      <c r="AI479">
        <f t="shared" si="436"/>
        <v>1.5686143461584152</v>
      </c>
      <c r="AJ479" t="str">
        <f t="shared" si="418"/>
        <v>1+9.6242681175101i</v>
      </c>
      <c r="AK479">
        <f t="shared" si="437"/>
        <v>9.6760806527085848</v>
      </c>
      <c r="AL479">
        <f t="shared" si="438"/>
        <v>1.4672638358312704</v>
      </c>
      <c r="AM479" t="str">
        <f t="shared" si="419"/>
        <v>1-1.16831310891801i</v>
      </c>
      <c r="AN479">
        <f t="shared" si="439"/>
        <v>1.5378411883122607</v>
      </c>
      <c r="AO479">
        <f t="shared" si="440"/>
        <v>-0.86286680444145891</v>
      </c>
      <c r="AP479" s="41" t="str">
        <f t="shared" si="441"/>
        <v>1.28733629485441-1.85538215341558i</v>
      </c>
      <c r="AQ479">
        <f t="shared" si="442"/>
        <v>7.07542727075211</v>
      </c>
      <c r="AR479" s="43">
        <f t="shared" si="443"/>
        <v>-55.245582669678157</v>
      </c>
      <c r="AS479" t="str">
        <f t="shared" si="420"/>
        <v>-0.0000166666666666667</v>
      </c>
      <c r="AT479" t="str">
        <f t="shared" si="421"/>
        <v>0.00870279563817405i</v>
      </c>
      <c r="AU479">
        <f t="shared" si="444"/>
        <v>8.7027956381740493E-3</v>
      </c>
      <c r="AV479">
        <f t="shared" si="445"/>
        <v>1.5707963267948966</v>
      </c>
      <c r="AW479" t="str">
        <f t="shared" si="422"/>
        <v>1+8.8443289928433i</v>
      </c>
      <c r="AX479">
        <f t="shared" si="446"/>
        <v>8.9006828577165127</v>
      </c>
      <c r="AY479">
        <f t="shared" si="447"/>
        <v>1.4582076810495439</v>
      </c>
      <c r="AZ479" t="str">
        <f t="shared" si="423"/>
        <v>1+300.707185756672i</v>
      </c>
      <c r="BA479">
        <f t="shared" si="448"/>
        <v>300.70884849917144</v>
      </c>
      <c r="BB479">
        <f t="shared" si="449"/>
        <v>1.5674708448606878</v>
      </c>
      <c r="BC479" s="41" t="str">
        <f t="shared" si="450"/>
        <v>-0.00705540810300065+0.0643154438622151i</v>
      </c>
      <c r="BD479">
        <f t="shared" si="451"/>
        <v>-23.781743100832298</v>
      </c>
      <c r="BE479" s="43">
        <f t="shared" si="452"/>
        <v>96.260318142625096</v>
      </c>
      <c r="BF479" s="41" t="str">
        <f t="shared" si="453"/>
        <v>0.0108492928824155-0.0256575506410131i</v>
      </c>
      <c r="BG479" s="20">
        <f t="shared" si="454"/>
        <v>-31.101287305554219</v>
      </c>
      <c r="BH479" s="43">
        <f t="shared" si="455"/>
        <v>-67.078932838525105</v>
      </c>
      <c r="BI479" s="41" t="str">
        <f t="shared" si="409"/>
        <v>0.110247043804953+0.0958860834828719i</v>
      </c>
      <c r="BJ479" s="20">
        <f t="shared" si="456"/>
        <v>-16.706315830080179</v>
      </c>
      <c r="BK479" s="43">
        <f t="shared" si="410"/>
        <v>41.014735472946924</v>
      </c>
      <c r="BL479">
        <f t="shared" si="457"/>
        <v>-31.101287305554219</v>
      </c>
      <c r="BM479" s="43">
        <f t="shared" si="458"/>
        <v>-67.078932838525105</v>
      </c>
    </row>
    <row r="480" spans="14:65" x14ac:dyDescent="0.25">
      <c r="N480" s="9">
        <v>62</v>
      </c>
      <c r="O480" s="34">
        <f t="shared" si="408"/>
        <v>416869.38347033598</v>
      </c>
      <c r="P480" s="33" t="str">
        <f t="shared" si="411"/>
        <v>19.1021967526266</v>
      </c>
      <c r="Q480" s="4" t="str">
        <f t="shared" si="412"/>
        <v>1+587.896735940736i</v>
      </c>
      <c r="R480" s="4">
        <f t="shared" si="424"/>
        <v>587.89758642961908</v>
      </c>
      <c r="S480" s="4">
        <f t="shared" si="425"/>
        <v>1.5690953494387996</v>
      </c>
      <c r="T480" s="4" t="str">
        <f t="shared" si="413"/>
        <v>1+9.84844612047919i</v>
      </c>
      <c r="U480" s="4">
        <f t="shared" si="426"/>
        <v>9.8990853611826992</v>
      </c>
      <c r="V480" s="4">
        <f t="shared" si="427"/>
        <v>1.469604283007774</v>
      </c>
      <c r="W480" t="str">
        <f t="shared" si="414"/>
        <v>1-5.45680746923715i</v>
      </c>
      <c r="X480" s="4">
        <f t="shared" si="428"/>
        <v>5.5476794929341722</v>
      </c>
      <c r="Y480" s="4">
        <f t="shared" si="429"/>
        <v>-1.3895500794040336</v>
      </c>
      <c r="Z480" t="str">
        <f t="shared" si="415"/>
        <v>0.826219917125062+4.05986475711243i</v>
      </c>
      <c r="AA480" s="4">
        <f t="shared" si="430"/>
        <v>4.1430835373544808</v>
      </c>
      <c r="AB480" s="4">
        <f t="shared" si="431"/>
        <v>1.3700288036227004</v>
      </c>
      <c r="AC480" s="47" t="str">
        <f t="shared" si="432"/>
        <v>-0.413614998368004-0.120067311202988i</v>
      </c>
      <c r="AD480" s="20">
        <f t="shared" si="433"/>
        <v>-7.3167124308670868</v>
      </c>
      <c r="AE480" s="43">
        <f t="shared" si="434"/>
        <v>-163.81264143661122</v>
      </c>
      <c r="AF480" t="str">
        <f t="shared" si="416"/>
        <v>69.5520360182888</v>
      </c>
      <c r="AG480" t="str">
        <f t="shared" si="417"/>
        <v>1+468.973624784724i</v>
      </c>
      <c r="AH480">
        <f t="shared" si="435"/>
        <v>468.97469094155082</v>
      </c>
      <c r="AI480">
        <f t="shared" si="436"/>
        <v>1.5686640139492167</v>
      </c>
      <c r="AJ480" t="str">
        <f t="shared" si="418"/>
        <v>1+9.84844612047919i</v>
      </c>
      <c r="AK480">
        <f t="shared" si="437"/>
        <v>9.8990853611826992</v>
      </c>
      <c r="AL480">
        <f t="shared" si="438"/>
        <v>1.469604283007774</v>
      </c>
      <c r="AM480" t="str">
        <f t="shared" si="419"/>
        <v>1-1.19552661714555i</v>
      </c>
      <c r="AN480">
        <f t="shared" si="439"/>
        <v>1.5586160182365261</v>
      </c>
      <c r="AO480">
        <f t="shared" si="440"/>
        <v>-0.87422065672118632</v>
      </c>
      <c r="AP480" s="41" t="str">
        <f t="shared" si="441"/>
        <v>1.28732166697294-1.89173946499683i</v>
      </c>
      <c r="AQ480">
        <f t="shared" si="442"/>
        <v>7.1898929279496464</v>
      </c>
      <c r="AR480" s="43">
        <f t="shared" si="443"/>
        <v>-55.76485849592521</v>
      </c>
      <c r="AS480" t="str">
        <f t="shared" si="420"/>
        <v>-0.0000166666666666667</v>
      </c>
      <c r="AT480" t="str">
        <f t="shared" si="421"/>
        <v>0.00890550978979501i</v>
      </c>
      <c r="AU480">
        <f t="shared" si="444"/>
        <v>8.9055097897950096E-3</v>
      </c>
      <c r="AV480">
        <f t="shared" si="445"/>
        <v>1.5707963267948966</v>
      </c>
      <c r="AW480" t="str">
        <f t="shared" si="422"/>
        <v>1+9.05033987980207i</v>
      </c>
      <c r="AX480">
        <f t="shared" si="446"/>
        <v>9.1054188228733199</v>
      </c>
      <c r="AY480">
        <f t="shared" si="447"/>
        <v>1.4607496332861707</v>
      </c>
      <c r="AZ480" t="str">
        <f t="shared" si="423"/>
        <v>1+307.71155591327i</v>
      </c>
      <c r="BA480">
        <f t="shared" si="448"/>
        <v>307.71318080733153</v>
      </c>
      <c r="BB480">
        <f t="shared" si="449"/>
        <v>1.5675465415320016</v>
      </c>
      <c r="BC480" s="41" t="str">
        <f t="shared" si="450"/>
        <v>-0.00674169249649768+0.0628861090305403i</v>
      </c>
      <c r="BD480">
        <f t="shared" si="451"/>
        <v>-23.979277262683382</v>
      </c>
      <c r="BE480" s="43">
        <f t="shared" si="452"/>
        <v>96.119012107532015</v>
      </c>
      <c r="BF480" s="41" t="str">
        <f t="shared" si="453"/>
        <v>0.0103390311542514-0.0252011809930252i</v>
      </c>
      <c r="BG480" s="20">
        <f t="shared" si="454"/>
        <v>-31.295989693550471</v>
      </c>
      <c r="BH480" s="43">
        <f t="shared" si="455"/>
        <v>-67.693629329079158</v>
      </c>
      <c r="BI480" s="41" t="str">
        <f t="shared" si="409"/>
        <v>0.110285407430356+0.0937081764631349i</v>
      </c>
      <c r="BJ480" s="20">
        <f t="shared" si="456"/>
        <v>-16.789384334733747</v>
      </c>
      <c r="BK480" s="43">
        <f t="shared" si="410"/>
        <v>40.354153611606897</v>
      </c>
      <c r="BL480">
        <f t="shared" si="457"/>
        <v>-31.295989693550471</v>
      </c>
      <c r="BM480" s="43">
        <f t="shared" si="458"/>
        <v>-67.693629329079158</v>
      </c>
    </row>
    <row r="481" spans="14:65" x14ac:dyDescent="0.25">
      <c r="N481" s="9">
        <v>63</v>
      </c>
      <c r="O481" s="34">
        <f t="shared" si="408"/>
        <v>426579.51880159322</v>
      </c>
      <c r="P481" s="33" t="str">
        <f t="shared" si="411"/>
        <v>19.1021967526266</v>
      </c>
      <c r="Q481" s="4" t="str">
        <f t="shared" si="412"/>
        <v>1+601.590610072883i</v>
      </c>
      <c r="R481" s="4">
        <f t="shared" si="424"/>
        <v>601.59144120230269</v>
      </c>
      <c r="S481" s="4">
        <f t="shared" si="425"/>
        <v>1.5691340683383621</v>
      </c>
      <c r="T481" s="4" t="str">
        <f t="shared" si="413"/>
        <v>1+10.0778458999409i</v>
      </c>
      <c r="U481" s="4">
        <f t="shared" si="426"/>
        <v>10.127338148939019</v>
      </c>
      <c r="V481" s="4">
        <f t="shared" si="427"/>
        <v>1.4718925304975317</v>
      </c>
      <c r="W481" t="str">
        <f t="shared" si="414"/>
        <v>1-5.58391284349565i</v>
      </c>
      <c r="X481" s="4">
        <f t="shared" si="428"/>
        <v>5.6727491257551366</v>
      </c>
      <c r="Y481" s="4">
        <f t="shared" si="429"/>
        <v>-1.393588952005324</v>
      </c>
      <c r="Z481" t="str">
        <f t="shared" si="415"/>
        <v>0.818029914139001+4.15443115556076i</v>
      </c>
      <c r="AA481" s="4">
        <f t="shared" si="430"/>
        <v>4.234202542004831</v>
      </c>
      <c r="AB481" s="4">
        <f t="shared" si="431"/>
        <v>1.3763781102546055</v>
      </c>
      <c r="AC481" s="47" t="str">
        <f t="shared" si="432"/>
        <v>-0.414706933661313-0.116733262920437i</v>
      </c>
      <c r="AD481" s="20">
        <f t="shared" si="433"/>
        <v>-7.3140214954053917</v>
      </c>
      <c r="AE481" s="43">
        <f t="shared" si="434"/>
        <v>-164.27895176938662</v>
      </c>
      <c r="AF481" t="str">
        <f t="shared" si="416"/>
        <v>69.5520360182888</v>
      </c>
      <c r="AG481" t="str">
        <f t="shared" si="417"/>
        <v>1+479.897423806712i</v>
      </c>
      <c r="AH481">
        <f t="shared" si="435"/>
        <v>479.89846569489993</v>
      </c>
      <c r="AI481">
        <f t="shared" si="436"/>
        <v>1.5687125511732365</v>
      </c>
      <c r="AJ481" t="str">
        <f t="shared" si="418"/>
        <v>1+10.0778458999409i</v>
      </c>
      <c r="AK481">
        <f t="shared" si="437"/>
        <v>10.127338148939019</v>
      </c>
      <c r="AL481">
        <f t="shared" si="438"/>
        <v>1.4718925304975317</v>
      </c>
      <c r="AM481" t="str">
        <f t="shared" si="419"/>
        <v>1-1.22337400941015i</v>
      </c>
      <c r="AN481">
        <f t="shared" si="439"/>
        <v>1.5800772028291103</v>
      </c>
      <c r="AO481">
        <f t="shared" si="440"/>
        <v>-0.88552841054887421</v>
      </c>
      <c r="AP481" s="41" t="str">
        <f t="shared" si="441"/>
        <v>1.28730769744873-1.92909979907412i</v>
      </c>
      <c r="AQ481">
        <f t="shared" si="442"/>
        <v>7.306682093628643</v>
      </c>
      <c r="AR481" s="43">
        <f t="shared" si="443"/>
        <v>-56.284419120465799</v>
      </c>
      <c r="AS481" t="str">
        <f t="shared" si="420"/>
        <v>-0.0000166666666666667</v>
      </c>
      <c r="AT481" t="str">
        <f t="shared" si="421"/>
        <v>0.00911294576058489i</v>
      </c>
      <c r="AU481">
        <f t="shared" si="444"/>
        <v>9.1129457605848892E-3</v>
      </c>
      <c r="AV481">
        <f t="shared" si="445"/>
        <v>1.5707963267948966</v>
      </c>
      <c r="AW481" t="str">
        <f t="shared" si="422"/>
        <v>1+9.26114937676049i</v>
      </c>
      <c r="AX481">
        <f t="shared" si="446"/>
        <v>9.3149818989985818</v>
      </c>
      <c r="AY481">
        <f t="shared" si="447"/>
        <v>1.4632351041525498</v>
      </c>
      <c r="AZ481" t="str">
        <f t="shared" si="423"/>
        <v>1+314.879078809857i</v>
      </c>
      <c r="BA481">
        <f t="shared" si="448"/>
        <v>314.88066671700267</v>
      </c>
      <c r="BB481">
        <f t="shared" si="449"/>
        <v>1.567620515172699</v>
      </c>
      <c r="BC481" s="41" t="str">
        <f t="shared" si="450"/>
        <v>-0.00644176329773813+0.0614870321682068i</v>
      </c>
      <c r="BD481">
        <f t="shared" si="451"/>
        <v>-24.176921095566382</v>
      </c>
      <c r="BE481" s="43">
        <f t="shared" si="452"/>
        <v>95.980843494192939</v>
      </c>
      <c r="BF481" s="41" t="str">
        <f t="shared" si="453"/>
        <v>0.00984902579686562-0.0247471305217055i</v>
      </c>
      <c r="BG481" s="20">
        <f t="shared" si="454"/>
        <v>-31.490942590971763</v>
      </c>
      <c r="BH481" s="43">
        <f t="shared" si="455"/>
        <v>-68.298108275193698</v>
      </c>
      <c r="BI481" s="41" t="str">
        <f t="shared" si="409"/>
        <v>0.110322089923031+0.09157953408676i</v>
      </c>
      <c r="BJ481" s="20">
        <f t="shared" si="456"/>
        <v>-16.870239001937723</v>
      </c>
      <c r="BK481" s="43">
        <f t="shared" si="410"/>
        <v>39.696424373727076</v>
      </c>
      <c r="BL481">
        <f t="shared" si="457"/>
        <v>-31.490942590971763</v>
      </c>
      <c r="BM481" s="43">
        <f t="shared" si="458"/>
        <v>-68.298108275193698</v>
      </c>
    </row>
    <row r="482" spans="14:65" x14ac:dyDescent="0.25">
      <c r="N482" s="9">
        <v>64</v>
      </c>
      <c r="O482" s="34">
        <f t="shared" si="408"/>
        <v>436515.83224016649</v>
      </c>
      <c r="P482" s="33" t="str">
        <f t="shared" si="411"/>
        <v>19.1021967526266</v>
      </c>
      <c r="Q482" s="4" t="str">
        <f t="shared" si="412"/>
        <v>1+615.603455509484i</v>
      </c>
      <c r="R482" s="4">
        <f t="shared" si="424"/>
        <v>615.60426772011351</v>
      </c>
      <c r="S482" s="4">
        <f t="shared" si="425"/>
        <v>1.5691719058929847</v>
      </c>
      <c r="T482" s="4" t="str">
        <f t="shared" si="413"/>
        <v>1+10.3125890866949i</v>
      </c>
      <c r="U482" s="4">
        <f t="shared" si="426"/>
        <v>10.360960074771967</v>
      </c>
      <c r="V482" s="4">
        <f t="shared" si="427"/>
        <v>1.4741296956555843</v>
      </c>
      <c r="W482" t="str">
        <f t="shared" si="414"/>
        <v>1-5.71397888225558i</v>
      </c>
      <c r="X482" s="4">
        <f t="shared" si="428"/>
        <v>5.8008236196994245</v>
      </c>
      <c r="Y482" s="4">
        <f t="shared" si="429"/>
        <v>-1.3975415423602218</v>
      </c>
      <c r="Z482" t="str">
        <f t="shared" si="415"/>
        <v>0.809453928203676+4.25120028839815i</v>
      </c>
      <c r="AA482" s="4">
        <f t="shared" si="430"/>
        <v>4.3275766375606652</v>
      </c>
      <c r="AB482" s="4">
        <f t="shared" si="431"/>
        <v>1.3826425812625982</v>
      </c>
      <c r="AC482" s="47" t="str">
        <f t="shared" si="432"/>
        <v>-0.415751721724464-0.113437876645383i</v>
      </c>
      <c r="AD482" s="20">
        <f t="shared" si="433"/>
        <v>-7.3114682978020449</v>
      </c>
      <c r="AE482" s="43">
        <f t="shared" si="434"/>
        <v>-164.73833407506325</v>
      </c>
      <c r="AF482" t="str">
        <f t="shared" si="416"/>
        <v>69.5520360182888</v>
      </c>
      <c r="AG482" t="str">
        <f t="shared" si="417"/>
        <v>1+491.075670794994i</v>
      </c>
      <c r="AH482">
        <f t="shared" si="435"/>
        <v>491.07668896696094</v>
      </c>
      <c r="AI482">
        <f t="shared" si="436"/>
        <v>1.5687599835646375</v>
      </c>
      <c r="AJ482" t="str">
        <f t="shared" si="418"/>
        <v>1+10.3125890866949i</v>
      </c>
      <c r="AK482">
        <f t="shared" si="437"/>
        <v>10.360960074771967</v>
      </c>
      <c r="AL482">
        <f t="shared" si="438"/>
        <v>1.4741296956555843</v>
      </c>
      <c r="AM482" t="str">
        <f t="shared" si="419"/>
        <v>1-1.25187005076782i</v>
      </c>
      <c r="AN482">
        <f t="shared" si="439"/>
        <v>1.6022417495526149</v>
      </c>
      <c r="AO482">
        <f t="shared" si="440"/>
        <v>-0.89678449524216663</v>
      </c>
      <c r="AP482" s="41" t="str">
        <f t="shared" si="441"/>
        <v>1.28729435665135-1.9674829647786i</v>
      </c>
      <c r="AQ482">
        <f t="shared" si="442"/>
        <v>7.4257714576254097</v>
      </c>
      <c r="AR482" s="43">
        <f t="shared" si="443"/>
        <v>-56.803882821442699</v>
      </c>
      <c r="AS482" t="str">
        <f t="shared" si="420"/>
        <v>-0.0000166666666666667</v>
      </c>
      <c r="AT482" t="str">
        <f t="shared" si="421"/>
        <v>0.00932521353584112i</v>
      </c>
      <c r="AU482">
        <f t="shared" si="444"/>
        <v>9.3252135358411203E-3</v>
      </c>
      <c r="AV482">
        <f t="shared" si="445"/>
        <v>1.5707963267948966</v>
      </c>
      <c r="AW482" t="str">
        <f t="shared" si="422"/>
        <v>1+9.47686925770427i</v>
      </c>
      <c r="AX482">
        <f t="shared" si="446"/>
        <v>9.5294832455711003</v>
      </c>
      <c r="AY482">
        <f t="shared" si="447"/>
        <v>1.4656652885781922</v>
      </c>
      <c r="AZ482" t="str">
        <f t="shared" si="423"/>
        <v>1+322.213554761945i</v>
      </c>
      <c r="BA482">
        <f t="shared" si="448"/>
        <v>322.21510652408728</v>
      </c>
      <c r="BB482">
        <f t="shared" si="449"/>
        <v>1.567692805001343</v>
      </c>
      <c r="BC482" s="41" t="str">
        <f t="shared" si="450"/>
        <v>-0.00615502883149871+0.060117672684628i</v>
      </c>
      <c r="BD482">
        <f t="shared" si="451"/>
        <v>-24.37466977743561</v>
      </c>
      <c r="BE482" s="43">
        <f t="shared" si="452"/>
        <v>95.845746085248209</v>
      </c>
      <c r="BF482" s="41" t="str">
        <f t="shared" si="453"/>
        <v>0.00937858497216565-0.0242958125233655i</v>
      </c>
      <c r="BG482" s="20">
        <f t="shared" si="454"/>
        <v>-31.686138075237665</v>
      </c>
      <c r="BH482" s="43">
        <f t="shared" si="455"/>
        <v>-68.892587989814999</v>
      </c>
      <c r="BI482" s="41" t="str">
        <f t="shared" si="409"/>
        <v>0.110357163009327+0.0894990551556295i</v>
      </c>
      <c r="BJ482" s="20">
        <f t="shared" si="456"/>
        <v>-16.948898319810187</v>
      </c>
      <c r="BK482" s="43">
        <f t="shared" si="410"/>
        <v>39.041863263805446</v>
      </c>
      <c r="BL482">
        <f t="shared" si="457"/>
        <v>-31.686138075237665</v>
      </c>
      <c r="BM482" s="43">
        <f t="shared" si="458"/>
        <v>-68.892587989814999</v>
      </c>
    </row>
    <row r="483" spans="14:65" x14ac:dyDescent="0.25">
      <c r="N483" s="9">
        <v>65</v>
      </c>
      <c r="O483" s="34">
        <f t="shared" si="408"/>
        <v>446683.59215096442</v>
      </c>
      <c r="P483" s="33" t="str">
        <f t="shared" si="411"/>
        <v>19.1021967526266</v>
      </c>
      <c r="Q483" s="4" t="str">
        <f t="shared" si="412"/>
        <v>1+629.942702046674i</v>
      </c>
      <c r="R483" s="4">
        <f t="shared" si="424"/>
        <v>629.94349576915602</v>
      </c>
      <c r="S483" s="4">
        <f t="shared" si="425"/>
        <v>1.5692088821642065</v>
      </c>
      <c r="T483" s="4" t="str">
        <f t="shared" si="413"/>
        <v>1+10.5528001446859i</v>
      </c>
      <c r="U483" s="4">
        <f t="shared" si="426"/>
        <v>10.60007504188922</v>
      </c>
      <c r="V483" s="4">
        <f t="shared" si="427"/>
        <v>1.4763168750328475</v>
      </c>
      <c r="W483" t="str">
        <f t="shared" si="414"/>
        <v>1-5.84707454825238i</v>
      </c>
      <c r="X483" s="4">
        <f t="shared" si="428"/>
        <v>5.9319710697896006</v>
      </c>
      <c r="Y483" s="4">
        <f t="shared" si="429"/>
        <v>-1.4014094519296463</v>
      </c>
      <c r="Z483" t="str">
        <f t="shared" si="415"/>
        <v>0.800473768503111+4.35022346389976i</v>
      </c>
      <c r="AA483" s="4">
        <f t="shared" si="430"/>
        <v>4.4232569945601856</v>
      </c>
      <c r="AB483" s="4">
        <f t="shared" si="431"/>
        <v>1.3888243810095118</v>
      </c>
      <c r="AC483" s="47" t="str">
        <f t="shared" si="432"/>
        <v>-0.41675086671279-0.110180812332469i</v>
      </c>
      <c r="AD483" s="20">
        <f t="shared" si="433"/>
        <v>-7.3090498199020759</v>
      </c>
      <c r="AE483" s="43">
        <f t="shared" si="434"/>
        <v>-165.19094244115064</v>
      </c>
      <c r="AF483" t="str">
        <f t="shared" si="416"/>
        <v>69.5520360182888</v>
      </c>
      <c r="AG483" t="str">
        <f t="shared" si="417"/>
        <v>1+502.51429260409i</v>
      </c>
      <c r="AH483">
        <f t="shared" si="435"/>
        <v>502.51528759967982</v>
      </c>
      <c r="AI483">
        <f t="shared" si="436"/>
        <v>1.5688063362718474</v>
      </c>
      <c r="AJ483" t="str">
        <f t="shared" si="418"/>
        <v>1+10.5528001446859i</v>
      </c>
      <c r="AK483">
        <f t="shared" si="437"/>
        <v>10.60007504188922</v>
      </c>
      <c r="AL483">
        <f t="shared" si="438"/>
        <v>1.4763168750328475</v>
      </c>
      <c r="AM483" t="str">
        <f t="shared" si="419"/>
        <v>1-1.28102985019686i</v>
      </c>
      <c r="AN483">
        <f t="shared" si="439"/>
        <v>1.6251269110735289</v>
      </c>
      <c r="AO483">
        <f t="shared" si="440"/>
        <v>-0.90798347048343464</v>
      </c>
      <c r="AP483" s="41" t="str">
        <f t="shared" si="441"/>
        <v>1.28728161628389-2.00690931354767i</v>
      </c>
      <c r="AQ483">
        <f t="shared" si="442"/>
        <v>7.547135821974269</v>
      </c>
      <c r="AR483" s="43">
        <f t="shared" si="443"/>
        <v>-57.322876504775664</v>
      </c>
      <c r="AS483" t="str">
        <f t="shared" si="420"/>
        <v>-0.0000166666666666667</v>
      </c>
      <c r="AT483" t="str">
        <f t="shared" si="421"/>
        <v>0.00954242566274787i</v>
      </c>
      <c r="AU483">
        <f t="shared" si="444"/>
        <v>9.5424256627478707E-3</v>
      </c>
      <c r="AV483">
        <f t="shared" si="445"/>
        <v>1.5707963267948966</v>
      </c>
      <c r="AW483" t="str">
        <f t="shared" si="422"/>
        <v>1+9.69761390016973i</v>
      </c>
      <c r="AX483">
        <f t="shared" si="446"/>
        <v>9.7490366373691071</v>
      </c>
      <c r="AY483">
        <f t="shared" si="447"/>
        <v>1.4680413601990849</v>
      </c>
      <c r="AZ483" t="str">
        <f t="shared" si="423"/>
        <v>1+329.718872605771i</v>
      </c>
      <c r="BA483">
        <f t="shared" si="448"/>
        <v>329.72038904565892</v>
      </c>
      <c r="BB483">
        <f t="shared" si="449"/>
        <v>1.5677634493439339</v>
      </c>
      <c r="BC483" s="41" t="str">
        <f t="shared" si="450"/>
        <v>-0.00588092157992871+0.0587774928172046i</v>
      </c>
      <c r="BD483">
        <f t="shared" si="451"/>
        <v>-24.572518693411347</v>
      </c>
      <c r="BE483" s="43">
        <f t="shared" si="452"/>
        <v>95.713654832227192</v>
      </c>
      <c r="BF483" s="41" t="str">
        <f t="shared" si="453"/>
        <v>0.00892703107097071-0.0238476063578347i</v>
      </c>
      <c r="BG483" s="20">
        <f t="shared" si="454"/>
        <v>-31.881568513313429</v>
      </c>
      <c r="BH483" s="43">
        <f t="shared" si="455"/>
        <v>-69.477287608923433</v>
      </c>
      <c r="BI483" s="41" t="str">
        <f t="shared" si="409"/>
        <v>0.11039069552518+0.0874656622458483i</v>
      </c>
      <c r="BJ483" s="20">
        <f t="shared" si="456"/>
        <v>-17.025382871437067</v>
      </c>
      <c r="BK483" s="43">
        <f t="shared" si="410"/>
        <v>38.390778327451478</v>
      </c>
      <c r="BL483">
        <f t="shared" si="457"/>
        <v>-31.881568513313429</v>
      </c>
      <c r="BM483" s="43">
        <f t="shared" si="458"/>
        <v>-69.477287608923433</v>
      </c>
    </row>
    <row r="484" spans="14:65" x14ac:dyDescent="0.25">
      <c r="N484" s="9">
        <v>66</v>
      </c>
      <c r="O484" s="34">
        <f t="shared" ref="O484:O518" si="459">10^(5+(N484/100))</f>
        <v>457088.18961487547</v>
      </c>
      <c r="P484" s="33" t="str">
        <f t="shared" si="411"/>
        <v>19.1021967526266</v>
      </c>
      <c r="Q484" s="4" t="str">
        <f t="shared" si="412"/>
        <v>1+644.615952542763i</v>
      </c>
      <c r="R484" s="4">
        <f t="shared" si="424"/>
        <v>644.61672819793762</v>
      </c>
      <c r="S484" s="4">
        <f t="shared" si="425"/>
        <v>1.5692450167569312</v>
      </c>
      <c r="T484" s="4" t="str">
        <f t="shared" si="413"/>
        <v>1+10.7986064369963i</v>
      </c>
      <c r="U484" s="4">
        <f t="shared" si="426"/>
        <v>10.844809863761464</v>
      </c>
      <c r="V484" s="4">
        <f t="shared" si="427"/>
        <v>1.4784551445512746</v>
      </c>
      <c r="W484" t="str">
        <f t="shared" si="414"/>
        <v>1-5.98327041056979i</v>
      </c>
      <c r="X484" s="4">
        <f t="shared" si="428"/>
        <v>6.0662611884092144</v>
      </c>
      <c r="Y484" s="4">
        <f t="shared" si="429"/>
        <v>-1.4051942683653145</v>
      </c>
      <c r="Z484" t="str">
        <f t="shared" si="415"/>
        <v>0.791070386914596+4.45155318546392i</v>
      </c>
      <c r="AA484" s="4">
        <f t="shared" si="430"/>
        <v>4.5212960664025514</v>
      </c>
      <c r="AB484" s="4">
        <f t="shared" si="431"/>
        <v>1.3949256980954898</v>
      </c>
      <c r="AC484" s="47" t="str">
        <f t="shared" si="432"/>
        <v>-0.417705832354532-0.106961674466008i</v>
      </c>
      <c r="AD484" s="20">
        <f t="shared" si="433"/>
        <v>-7.3067631354466789</v>
      </c>
      <c r="AE484" s="43">
        <f t="shared" si="434"/>
        <v>-165.63693270843396</v>
      </c>
      <c r="AF484" t="str">
        <f t="shared" si="416"/>
        <v>69.5520360182888</v>
      </c>
      <c r="AG484" t="str">
        <f t="shared" si="417"/>
        <v>1+514.219354142684i</v>
      </c>
      <c r="AH484">
        <f t="shared" si="435"/>
        <v>514.22032648945242</v>
      </c>
      <c r="AI484">
        <f t="shared" si="436"/>
        <v>1.5688516338708882</v>
      </c>
      <c r="AJ484" t="str">
        <f t="shared" si="418"/>
        <v>1+10.7986064369963i</v>
      </c>
      <c r="AK484">
        <f t="shared" si="437"/>
        <v>10.844809863761464</v>
      </c>
      <c r="AL484">
        <f t="shared" si="438"/>
        <v>1.4784551445512746</v>
      </c>
      <c r="AM484" t="str">
        <f t="shared" si="419"/>
        <v>1-1.31086886860891i</v>
      </c>
      <c r="AN484">
        <f t="shared" si="439"/>
        <v>1.6487501905043114</v>
      </c>
      <c r="AO484">
        <f t="shared" si="440"/>
        <v>-0.91912003837071776</v>
      </c>
      <c r="AP484" s="41" t="str">
        <f t="shared" si="441"/>
        <v>1.28726944932297-2.0473997499166i</v>
      </c>
      <c r="AQ484">
        <f t="shared" si="442"/>
        <v>7.6707481776797533</v>
      </c>
      <c r="AR484" s="43">
        <f t="shared" si="443"/>
        <v>-57.841036385357697</v>
      </c>
      <c r="AS484" t="str">
        <f t="shared" si="420"/>
        <v>-0.0000166666666666667</v>
      </c>
      <c r="AT484" t="str">
        <f t="shared" si="421"/>
        <v>0.00976469731004991i</v>
      </c>
      <c r="AU484">
        <f t="shared" si="444"/>
        <v>9.7646973100499104E-3</v>
      </c>
      <c r="AV484">
        <f t="shared" si="445"/>
        <v>1.5707963267948966</v>
      </c>
      <c r="AW484" t="str">
        <f t="shared" si="422"/>
        <v>1+9.92350034588808i</v>
      </c>
      <c r="AX484">
        <f t="shared" si="446"/>
        <v>9.9737585249915099</v>
      </c>
      <c r="AY484">
        <f t="shared" si="447"/>
        <v>1.4703644714642179</v>
      </c>
      <c r="AZ484" t="str">
        <f t="shared" si="423"/>
        <v>1+337.399011760195i</v>
      </c>
      <c r="BA484">
        <f t="shared" si="448"/>
        <v>337.40049368185015</v>
      </c>
      <c r="BB484">
        <f t="shared" si="449"/>
        <v>1.567832485654215</v>
      </c>
      <c r="BC484" s="41" t="str">
        <f t="shared" si="450"/>
        <v>-0.00561889730485185+0.0574659581558458i</v>
      </c>
      <c r="BD484">
        <f t="shared" si="451"/>
        <v>-24.770463427302531</v>
      </c>
      <c r="BE484" s="43">
        <f t="shared" si="452"/>
        <v>95.584505850608053</v>
      </c>
      <c r="BF484" s="41" t="str">
        <f t="shared" si="453"/>
        <v>0.00849370128478059-0.0234028592191588i</v>
      </c>
      <c r="BG484" s="20">
        <f t="shared" si="454"/>
        <v>-32.07722656274921</v>
      </c>
      <c r="BH484" s="43">
        <f t="shared" si="455"/>
        <v>-70.052426857825935</v>
      </c>
      <c r="BI484" s="41" t="str">
        <f t="shared" si="409"/>
        <v>0.110422753517578+0.0854783012468532i</v>
      </c>
      <c r="BJ484" s="20">
        <f t="shared" si="456"/>
        <v>-17.099715249622754</v>
      </c>
      <c r="BK484" s="43">
        <f t="shared" si="410"/>
        <v>37.743469465250236</v>
      </c>
      <c r="BL484">
        <f t="shared" si="457"/>
        <v>-32.07722656274921</v>
      </c>
      <c r="BM484" s="43">
        <f t="shared" si="458"/>
        <v>-70.052426857825935</v>
      </c>
    </row>
    <row r="485" spans="14:65" x14ac:dyDescent="0.25">
      <c r="N485" s="9">
        <v>67</v>
      </c>
      <c r="O485" s="34">
        <f t="shared" si="459"/>
        <v>467735.14128719864</v>
      </c>
      <c r="P485" s="33" t="str">
        <f t="shared" si="411"/>
        <v>19.1021967526266</v>
      </c>
      <c r="Q485" s="4" t="str">
        <f t="shared" si="412"/>
        <v>1+659.630986949392i</v>
      </c>
      <c r="R485" s="4">
        <f t="shared" si="424"/>
        <v>659.63174494851967</v>
      </c>
      <c r="S485" s="4">
        <f t="shared" si="425"/>
        <v>1.5692803288298203</v>
      </c>
      <c r="T485" s="4" t="str">
        <f t="shared" si="413"/>
        <v>1+11.0501382933762i</v>
      </c>
      <c r="U485" s="4">
        <f t="shared" si="426"/>
        <v>11.095294331505544</v>
      </c>
      <c r="V485" s="4">
        <f t="shared" si="427"/>
        <v>1.4805455596938188</v>
      </c>
      <c r="W485" t="str">
        <f t="shared" si="414"/>
        <v>1-6.12263868205685i</v>
      </c>
      <c r="X485" s="4">
        <f t="shared" si="428"/>
        <v>6.2037653430008817</v>
      </c>
      <c r="Y485" s="4">
        <f t="shared" si="429"/>
        <v>-1.4088975644739306</v>
      </c>
      <c r="Z485" t="str">
        <f t="shared" si="415"/>
        <v>0.781223837605045+4.5552431794503i</v>
      </c>
      <c r="AA485" s="4">
        <f t="shared" si="430"/>
        <v>4.6217476249110385</v>
      </c>
      <c r="AB485" s="4">
        <f t="shared" si="431"/>
        <v>1.400948742686146</v>
      </c>
      <c r="AC485" s="47" t="str">
        <f t="shared" si="432"/>
        <v>-0.418618040876196-0.103780015423884i</v>
      </c>
      <c r="AD485" s="20">
        <f t="shared" si="433"/>
        <v>-7.3046054186633373</v>
      </c>
      <c r="AE485" s="43">
        <f t="shared" si="434"/>
        <v>-166.07646224825282</v>
      </c>
      <c r="AF485" t="str">
        <f t="shared" si="416"/>
        <v>69.5520360182888</v>
      </c>
      <c r="AG485" t="str">
        <f t="shared" si="417"/>
        <v>1+526.197061589344i</v>
      </c>
      <c r="AH485">
        <f t="shared" si="435"/>
        <v>526.19801180283821</v>
      </c>
      <c r="AI485">
        <f t="shared" si="436"/>
        <v>1.568895900378402</v>
      </c>
      <c r="AJ485" t="str">
        <f t="shared" si="418"/>
        <v>1+11.0501382933762i</v>
      </c>
      <c r="AK485">
        <f t="shared" si="437"/>
        <v>11.095294331505544</v>
      </c>
      <c r="AL485">
        <f t="shared" si="438"/>
        <v>1.4805455596938188</v>
      </c>
      <c r="AM485" t="str">
        <f t="shared" si="419"/>
        <v>1-1.3414029270465i</v>
      </c>
      <c r="AN485">
        <f t="shared" si="439"/>
        <v>1.673129347267843</v>
      </c>
      <c r="AO485">
        <f t="shared" si="440"/>
        <v>-0.93018905462788692</v>
      </c>
      <c r="AP485" s="41" t="str">
        <f t="shared" si="441"/>
        <v>1.28725782996147-2.0889757426031i</v>
      </c>
      <c r="AQ485">
        <f t="shared" si="442"/>
        <v>7.7965797881795931</v>
      </c>
      <c r="AR485" s="43">
        <f t="shared" si="443"/>
        <v>-58.358008619211425</v>
      </c>
      <c r="AS485" t="str">
        <f t="shared" si="420"/>
        <v>-0.0000166666666666667</v>
      </c>
      <c r="AT485" t="str">
        <f t="shared" si="421"/>
        <v>0.0099921463291168i</v>
      </c>
      <c r="AU485">
        <f t="shared" si="444"/>
        <v>9.9921463291168001E-3</v>
      </c>
      <c r="AV485">
        <f t="shared" si="445"/>
        <v>1.5707963267948966</v>
      </c>
      <c r="AW485" t="str">
        <f t="shared" si="422"/>
        <v>1+10.1546483628429i</v>
      </c>
      <c r="AX485">
        <f t="shared" si="446"/>
        <v>10.203768096786009</v>
      </c>
      <c r="AY485">
        <f t="shared" si="447"/>
        <v>1.4726357537632324</v>
      </c>
      <c r="AZ485" t="str">
        <f t="shared" si="423"/>
        <v>1+345.258044336659i</v>
      </c>
      <c r="BA485">
        <f t="shared" si="448"/>
        <v>345.25949252580205</v>
      </c>
      <c r="BB485">
        <f t="shared" si="449"/>
        <v>1.5678999505335183</v>
      </c>
      <c r="BC485" s="41" t="str">
        <f t="shared" si="450"/>
        <v>-0.00536843419213611+0.0561825381208294i</v>
      </c>
      <c r="BD485">
        <f t="shared" si="451"/>
        <v>-24.968499753439247</v>
      </c>
      <c r="BE485" s="43">
        <f t="shared" si="452"/>
        <v>95.458236413641146</v>
      </c>
      <c r="BF485" s="41" t="str">
        <f t="shared" si="453"/>
        <v>0.00807794807681743-0.0229618878563318i</v>
      </c>
      <c r="BG485" s="20">
        <f t="shared" si="454"/>
        <v>-32.273105172102589</v>
      </c>
      <c r="BH485" s="43">
        <f t="shared" si="455"/>
        <v>-70.618225834611678</v>
      </c>
      <c r="BI485" s="41" t="str">
        <f t="shared" si="409"/>
        <v>0.110453400343826+0.0835359409062798i</v>
      </c>
      <c r="BJ485" s="20">
        <f t="shared" si="456"/>
        <v>-17.171919965259683</v>
      </c>
      <c r="BK485" s="43">
        <f t="shared" si="410"/>
        <v>37.100227794429841</v>
      </c>
      <c r="BL485">
        <f t="shared" si="457"/>
        <v>-32.273105172102589</v>
      </c>
      <c r="BM485" s="43">
        <f t="shared" si="458"/>
        <v>-70.618225834611678</v>
      </c>
    </row>
    <row r="486" spans="14:65" x14ac:dyDescent="0.25">
      <c r="N486" s="9">
        <v>68</v>
      </c>
      <c r="O486" s="34">
        <f t="shared" si="459"/>
        <v>478630.09232263872</v>
      </c>
      <c r="P486" s="33" t="str">
        <f t="shared" si="411"/>
        <v>19.1021967526266</v>
      </c>
      <c r="Q486" s="4" t="str">
        <f t="shared" si="412"/>
        <v>1+674.995766436551i</v>
      </c>
      <c r="R486" s="4">
        <f t="shared" si="424"/>
        <v>674.99650718153123</v>
      </c>
      <c r="S486" s="4">
        <f t="shared" si="425"/>
        <v>1.5693148371054497</v>
      </c>
      <c r="T486" s="4" t="str">
        <f t="shared" si="413"/>
        <v>1+11.3075290793451i</v>
      </c>
      <c r="U486" s="4">
        <f t="shared" si="426"/>
        <v>11.351661282835876</v>
      </c>
      <c r="V486" s="4">
        <f t="shared" si="427"/>
        <v>1.4825891557077095</v>
      </c>
      <c r="W486" t="str">
        <f t="shared" si="414"/>
        <v>1-6.26525325761585i</v>
      </c>
      <c r="X486" s="4">
        <f t="shared" si="428"/>
        <v>6.3445565945987132</v>
      </c>
      <c r="Y486" s="4">
        <f t="shared" si="429"/>
        <v>-1.4125208972786356</v>
      </c>
      <c r="Z486" t="str">
        <f t="shared" si="415"/>
        <v>0.770913234723223+4.66134842366619i</v>
      </c>
      <c r="AA486" s="4">
        <f t="shared" si="430"/>
        <v>4.7246667969589877</v>
      </c>
      <c r="AB486" s="4">
        <f t="shared" si="431"/>
        <v>1.4068957440247694</v>
      </c>
      <c r="AC486" s="47" t="str">
        <f t="shared" si="432"/>
        <v>-0.419488872121408-0.100635338729348i</v>
      </c>
      <c r="AD486" s="20">
        <f t="shared" si="433"/>
        <v>-7.3025739520148267</v>
      </c>
      <c r="AE486" s="43">
        <f t="shared" si="434"/>
        <v>-166.50968975512174</v>
      </c>
      <c r="AF486" t="str">
        <f t="shared" si="416"/>
        <v>69.5520360182888</v>
      </c>
      <c r="AG486" t="str">
        <f t="shared" si="417"/>
        <v>1+538.4537656831i</v>
      </c>
      <c r="AH486">
        <f t="shared" si="435"/>
        <v>538.45469426713214</v>
      </c>
      <c r="AI486">
        <f t="shared" si="436"/>
        <v>1.5689391592643833</v>
      </c>
      <c r="AJ486" t="str">
        <f t="shared" si="418"/>
        <v>1+11.3075290793451i</v>
      </c>
      <c r="AK486">
        <f t="shared" si="437"/>
        <v>11.351661282835876</v>
      </c>
      <c r="AL486">
        <f t="shared" si="438"/>
        <v>1.4825891557077095</v>
      </c>
      <c r="AM486" t="str">
        <f t="shared" si="419"/>
        <v>1-1.37264821507157i</v>
      </c>
      <c r="AN486">
        <f t="shared" si="439"/>
        <v>1.6982824035887456</v>
      </c>
      <c r="AO486">
        <f t="shared" si="440"/>
        <v>-0.94118553892555767</v>
      </c>
      <c r="AP486" s="41" t="str">
        <f t="shared" si="441"/>
        <v>1.28724673355369-2.13165933589098i</v>
      </c>
      <c r="AQ486">
        <f t="shared" si="442"/>
        <v>7.9246002787661425</v>
      </c>
      <c r="AR486" s="43">
        <f t="shared" si="443"/>
        <v>-58.873449883917317</v>
      </c>
      <c r="AS486" t="str">
        <f t="shared" si="420"/>
        <v>-0.0000166666666666667</v>
      </c>
      <c r="AT486" t="str">
        <f t="shared" si="421"/>
        <v>0.0102248933164291i</v>
      </c>
      <c r="AU486">
        <f t="shared" si="444"/>
        <v>1.02248933164291E-2</v>
      </c>
      <c r="AV486">
        <f t="shared" si="445"/>
        <v>1.5707963267948966</v>
      </c>
      <c r="AW486" t="str">
        <f t="shared" si="422"/>
        <v>1+10.3911805087724i</v>
      </c>
      <c r="AX486">
        <f t="shared" si="446"/>
        <v>10.439187342216416</v>
      </c>
      <c r="AY486">
        <f t="shared" si="447"/>
        <v>1.4748563175733014</v>
      </c>
      <c r="AZ486" t="str">
        <f t="shared" si="423"/>
        <v>1+353.300137298261i</v>
      </c>
      <c r="BA486">
        <f t="shared" si="448"/>
        <v>353.30155252272817</v>
      </c>
      <c r="BB486">
        <f t="shared" si="449"/>
        <v>1.5679658797501577</v>
      </c>
      <c r="BC486" s="41" t="str">
        <f t="shared" si="450"/>
        <v>-0.00512903201854811+0.0549267063969094i</v>
      </c>
      <c r="BD486">
        <f t="shared" si="451"/>
        <v>-25.166623628806551</v>
      </c>
      <c r="BE486" s="43">
        <f t="shared" si="452"/>
        <v>95.334784945044802</v>
      </c>
      <c r="BF486" s="41" t="str">
        <f t="shared" si="453"/>
        <v>0.00767913956007576-0.022524980241243i</v>
      </c>
      <c r="BG486" s="20">
        <f t="shared" si="454"/>
        <v>-32.469197580821373</v>
      </c>
      <c r="BH486" s="43">
        <f t="shared" si="455"/>
        <v>-71.174904810076953</v>
      </c>
      <c r="BI486" s="41" t="str">
        <f t="shared" si="409"/>
        <v>0.110482696768546+0.081637572380706i</v>
      </c>
      <c r="BJ486" s="20">
        <f t="shared" si="456"/>
        <v>-17.242023350040427</v>
      </c>
      <c r="BK486" s="43">
        <f t="shared" si="410"/>
        <v>36.461335061127564</v>
      </c>
      <c r="BL486">
        <f t="shared" si="457"/>
        <v>-32.469197580821373</v>
      </c>
      <c r="BM486" s="43">
        <f t="shared" si="458"/>
        <v>-71.174904810076953</v>
      </c>
    </row>
    <row r="487" spans="14:65" x14ac:dyDescent="0.25">
      <c r="N487" s="9">
        <v>69</v>
      </c>
      <c r="O487" s="34">
        <f t="shared" si="459"/>
        <v>489778.81936844654</v>
      </c>
      <c r="P487" s="33" t="str">
        <f t="shared" si="411"/>
        <v>19.1021967526266</v>
      </c>
      <c r="Q487" s="4" t="str">
        <f t="shared" si="412"/>
        <v>1+690.7184376137i</v>
      </c>
      <c r="R487" s="4">
        <f t="shared" si="424"/>
        <v>690.71916149728372</v>
      </c>
      <c r="S487" s="4">
        <f t="shared" si="425"/>
        <v>1.5693485598802355</v>
      </c>
      <c r="T487" s="4" t="str">
        <f t="shared" si="413"/>
        <v>1+11.5709152669047i</v>
      </c>
      <c r="U487" s="4">
        <f t="shared" si="426"/>
        <v>11.614046672623985</v>
      </c>
      <c r="V487" s="4">
        <f t="shared" si="427"/>
        <v>1.484586947819696</v>
      </c>
      <c r="W487" t="str">
        <f t="shared" si="414"/>
        <v>1-6.41118975338248i</v>
      </c>
      <c r="X487" s="4">
        <f t="shared" si="428"/>
        <v>6.4887097372186799</v>
      </c>
      <c r="Y487" s="4">
        <f t="shared" si="429"/>
        <v>-1.4160658071722423</v>
      </c>
      <c r="Z487" t="str">
        <f t="shared" si="415"/>
        <v>0.760116708098051+4.76992517651656i</v>
      </c>
      <c r="AA487" s="4">
        <f t="shared" si="430"/>
        <v>4.8301101022126147</v>
      </c>
      <c r="AB487" s="4">
        <f t="shared" si="431"/>
        <v>1.4127689481224306</v>
      </c>
      <c r="AC487" s="47" t="str">
        <f t="shared" si="432"/>
        <v>-0.420319662846635-0.0975271021863916i</v>
      </c>
      <c r="AD487" s="20">
        <f t="shared" si="433"/>
        <v>-7.3006661331836362</v>
      </c>
      <c r="AE487" s="43">
        <f t="shared" si="434"/>
        <v>-166.93677505410184</v>
      </c>
      <c r="AF487" t="str">
        <f t="shared" si="416"/>
        <v>69.5520360182888</v>
      </c>
      <c r="AG487" t="str">
        <f t="shared" si="417"/>
        <v>1+550.9959650907i</v>
      </c>
      <c r="AH487">
        <f t="shared" si="435"/>
        <v>550.99687253761419</v>
      </c>
      <c r="AI487">
        <f t="shared" si="436"/>
        <v>1.5689814334646175</v>
      </c>
      <c r="AJ487" t="str">
        <f t="shared" si="418"/>
        <v>1+11.5709152669047i</v>
      </c>
      <c r="AK487">
        <f t="shared" si="437"/>
        <v>11.614046672623985</v>
      </c>
      <c r="AL487">
        <f t="shared" si="438"/>
        <v>1.484586947819696</v>
      </c>
      <c r="AM487" t="str">
        <f t="shared" si="419"/>
        <v>1-1.40462129934943i</v>
      </c>
      <c r="AN487">
        <f t="shared" si="439"/>
        <v>1.7242276516127681</v>
      </c>
      <c r="AO487">
        <f t="shared" si="440"/>
        <v>-0.95210468427343475</v>
      </c>
      <c r="AP487" s="41" t="str">
        <f t="shared" si="441"/>
        <v>1.28723613656315-2.17547316131909i</v>
      </c>
      <c r="AQ487">
        <f t="shared" si="442"/>
        <v>8.0547777312079205</v>
      </c>
      <c r="AR487" s="43">
        <f t="shared" si="443"/>
        <v>-59.387027905134921</v>
      </c>
      <c r="AS487" t="str">
        <f t="shared" si="420"/>
        <v>-0.0000166666666666667</v>
      </c>
      <c r="AT487" t="str">
        <f t="shared" si="421"/>
        <v>0.0104630616775202i</v>
      </c>
      <c r="AU487">
        <f t="shared" si="444"/>
        <v>1.0463061677520201E-2</v>
      </c>
      <c r="AV487">
        <f t="shared" si="445"/>
        <v>1.5707963267948966</v>
      </c>
      <c r="AW487" t="str">
        <f t="shared" si="422"/>
        <v>1+10.6332221961512i</v>
      </c>
      <c r="AX487">
        <f t="shared" si="446"/>
        <v>10.680141116704524</v>
      </c>
      <c r="AY487">
        <f t="shared" si="447"/>
        <v>1.477027252623498</v>
      </c>
      <c r="AZ487" t="str">
        <f t="shared" si="423"/>
        <v>1+361.529554669139i</v>
      </c>
      <c r="BA487">
        <f t="shared" si="448"/>
        <v>361.53093767928902</v>
      </c>
      <c r="BB487">
        <f t="shared" si="449"/>
        <v>1.5680303082583826</v>
      </c>
      <c r="BC487" s="41" t="str">
        <f t="shared" si="450"/>
        <v>-0.00490021134137821+0.0536979413264279i</v>
      </c>
      <c r="BD487">
        <f t="shared" si="451"/>
        <v>-25.364831185472593</v>
      </c>
      <c r="BE487" s="43">
        <f t="shared" si="452"/>
        <v>95.214091010673087</v>
      </c>
      <c r="BF487" s="41" t="str">
        <f t="shared" si="453"/>
        <v>0.00729665978982674-0.0220923971816571i</v>
      </c>
      <c r="BG487" s="20">
        <f t="shared" si="454"/>
        <v>-32.665497318656215</v>
      </c>
      <c r="BH487" s="43">
        <f t="shared" si="455"/>
        <v>-71.722684043428771</v>
      </c>
      <c r="BI487" s="41" t="str">
        <f t="shared" si="409"/>
        <v>0.110510701058312+0.0797822087923855i</v>
      </c>
      <c r="BJ487" s="20">
        <f t="shared" si="456"/>
        <v>-17.310053454264693</v>
      </c>
      <c r="BK487" s="43">
        <f t="shared" si="410"/>
        <v>35.827063105538308</v>
      </c>
      <c r="BL487">
        <f t="shared" si="457"/>
        <v>-32.665497318656215</v>
      </c>
      <c r="BM487" s="43">
        <f t="shared" si="458"/>
        <v>-71.722684043428771</v>
      </c>
    </row>
    <row r="488" spans="14:65" x14ac:dyDescent="0.25">
      <c r="N488" s="9">
        <v>70</v>
      </c>
      <c r="O488" s="34">
        <f t="shared" si="459"/>
        <v>501187.23362727347</v>
      </c>
      <c r="P488" s="33" t="str">
        <f t="shared" si="411"/>
        <v>19.1021967526266</v>
      </c>
      <c r="Q488" s="4" t="str">
        <f t="shared" si="412"/>
        <v>1+706.807336849212i</v>
      </c>
      <c r="R488" s="4">
        <f t="shared" si="424"/>
        <v>706.80804425521035</v>
      </c>
      <c r="S488" s="4">
        <f t="shared" si="425"/>
        <v>1.5693815150341317</v>
      </c>
      <c r="T488" s="4" t="str">
        <f t="shared" si="413"/>
        <v>1+11.840436506898i</v>
      </c>
      <c r="U488" s="4">
        <f t="shared" si="426"/>
        <v>11.8825896451019</v>
      </c>
      <c r="V488" s="4">
        <f t="shared" si="427"/>
        <v>1.4865399314619507</v>
      </c>
      <c r="W488" t="str">
        <f t="shared" si="414"/>
        <v>1-6.56052554681848i</v>
      </c>
      <c r="X488" s="4">
        <f t="shared" si="428"/>
        <v>6.6363013381293889</v>
      </c>
      <c r="Y488" s="4">
        <f t="shared" si="429"/>
        <v>-1.4195338171569187</v>
      </c>
      <c r="Z488" t="str">
        <f t="shared" si="415"/>
        <v>0.748811356849041+4.88103100683295i</v>
      </c>
      <c r="AA488" s="4">
        <f t="shared" si="430"/>
        <v>4.9381354920466478</v>
      </c>
      <c r="AB488" s="4">
        <f t="shared" si="431"/>
        <v>1.4185706156195688</v>
      </c>
      <c r="AC488" s="47" t="str">
        <f t="shared" si="432"/>
        <v>-0.421111706177543-0.0944547208955537i</v>
      </c>
      <c r="AD488" s="20">
        <f t="shared" si="433"/>
        <v>-7.2988794813702205</v>
      </c>
      <c r="AE488" s="43">
        <f t="shared" si="434"/>
        <v>-167.35787892232943</v>
      </c>
      <c r="AF488" t="str">
        <f t="shared" si="416"/>
        <v>69.5520360182888</v>
      </c>
      <c r="AG488" t="str">
        <f t="shared" si="417"/>
        <v>1+563.830309852286i</v>
      </c>
      <c r="AH488">
        <f t="shared" si="435"/>
        <v>563.83119664321941</v>
      </c>
      <c r="AI488">
        <f t="shared" si="436"/>
        <v>1.5690227453928407</v>
      </c>
      <c r="AJ488" t="str">
        <f t="shared" si="418"/>
        <v>1+11.840436506898i</v>
      </c>
      <c r="AK488">
        <f t="shared" si="437"/>
        <v>11.8825896451019</v>
      </c>
      <c r="AL488">
        <f t="shared" si="438"/>
        <v>1.4865399314619507</v>
      </c>
      <c r="AM488" t="str">
        <f t="shared" si="419"/>
        <v>1-1.43733913243256i</v>
      </c>
      <c r="AN488">
        <f t="shared" si="439"/>
        <v>1.7509836611522063</v>
      </c>
      <c r="AO488">
        <f t="shared" si="440"/>
        <v>-0.96294186545401939</v>
      </c>
      <c r="AP488" s="41" t="str">
        <f t="shared" si="441"/>
        <v>1.28722601651268-2.22044044968146i</v>
      </c>
      <c r="AQ488">
        <f t="shared" si="442"/>
        <v>8.1870787827934315</v>
      </c>
      <c r="AR488" s="43">
        <f t="shared" si="443"/>
        <v>-59.898421927572478</v>
      </c>
      <c r="AS488" t="str">
        <f t="shared" si="420"/>
        <v>-0.0000166666666666667</v>
      </c>
      <c r="AT488" t="str">
        <f t="shared" si="421"/>
        <v>0.0107067776924077i</v>
      </c>
      <c r="AU488">
        <f t="shared" si="444"/>
        <v>1.07067776924077E-2</v>
      </c>
      <c r="AV488">
        <f t="shared" si="445"/>
        <v>1.5707963267948966</v>
      </c>
      <c r="AW488" t="str">
        <f t="shared" si="422"/>
        <v>1+10.8809017586857i</v>
      </c>
      <c r="AX488">
        <f t="shared" si="446"/>
        <v>10.926757207981222</v>
      </c>
      <c r="AY488">
        <f t="shared" si="447"/>
        <v>1.4791496280750043</v>
      </c>
      <c r="AZ488" t="str">
        <f t="shared" si="423"/>
        <v>1+369.950659795313i</v>
      </c>
      <c r="BA488">
        <f t="shared" si="448"/>
        <v>369.95201132442492</v>
      </c>
      <c r="BB488">
        <f t="shared" si="449"/>
        <v>1.5680932702169001</v>
      </c>
      <c r="BC488" s="41" t="str">
        <f t="shared" si="450"/>
        <v>-0.00468151271101339+0.0524957262640668i</v>
      </c>
      <c r="BD488">
        <f t="shared" si="451"/>
        <v>-25.563118723301493</v>
      </c>
      <c r="BE488" s="43">
        <f t="shared" si="452"/>
        <v>95.096095309252533</v>
      </c>
      <c r="BF488" s="41" t="str">
        <f t="shared" si="453"/>
        <v>0.00692990897770852-0.0216643738776027i</v>
      </c>
      <c r="BG488" s="20">
        <f t="shared" si="454"/>
        <v>-32.861998204671707</v>
      </c>
      <c r="BH488" s="43">
        <f t="shared" si="455"/>
        <v>-72.261783613076943</v>
      </c>
      <c r="BI488" s="41" t="str">
        <f t="shared" si="409"/>
        <v>0.110537469073888+0.0779688847920668i</v>
      </c>
      <c r="BJ488" s="20">
        <f t="shared" si="456"/>
        <v>-17.376039940508065</v>
      </c>
      <c r="BK488" s="43">
        <f t="shared" si="410"/>
        <v>35.197673381680076</v>
      </c>
      <c r="BL488">
        <f t="shared" si="457"/>
        <v>-32.861998204671707</v>
      </c>
      <c r="BM488" s="43">
        <f t="shared" si="458"/>
        <v>-72.261783613076943</v>
      </c>
    </row>
    <row r="489" spans="14:65" x14ac:dyDescent="0.25">
      <c r="N489" s="9">
        <v>71</v>
      </c>
      <c r="O489" s="34">
        <f t="shared" si="459"/>
        <v>512861.38399136515</v>
      </c>
      <c r="P489" s="33" t="str">
        <f t="shared" si="411"/>
        <v>19.1021967526266</v>
      </c>
      <c r="Q489" s="4" t="str">
        <f t="shared" si="412"/>
        <v>1+723.270994690418i</v>
      </c>
      <c r="R489" s="4">
        <f t="shared" si="424"/>
        <v>723.27168599390541</v>
      </c>
      <c r="S489" s="4">
        <f t="shared" si="425"/>
        <v>1.569413720040111</v>
      </c>
      <c r="T489" s="4" t="str">
        <f t="shared" si="413"/>
        <v>1+12.1162357030539i</v>
      </c>
      <c r="U489" s="4">
        <f t="shared" si="426"/>
        <v>12.157432607748975</v>
      </c>
      <c r="V489" s="4">
        <f t="shared" si="427"/>
        <v>1.488449082507449</v>
      </c>
      <c r="W489" t="str">
        <f t="shared" si="414"/>
        <v>1-6.71333981773819i</v>
      </c>
      <c r="X489" s="4">
        <f t="shared" si="428"/>
        <v>6.7874097790268308</v>
      </c>
      <c r="Y489" s="4">
        <f t="shared" si="429"/>
        <v>-1.4229264321652102</v>
      </c>
      <c r="Z489" t="str">
        <f t="shared" si="415"/>
        <v>0.736973200810464+4.99472482439721i</v>
      </c>
      <c r="AA489" s="4">
        <f t="shared" si="430"/>
        <v>5.0488023896922885</v>
      </c>
      <c r="AB489" s="4">
        <f t="shared" si="431"/>
        <v>1.4243030198125322</v>
      </c>
      <c r="AC489" s="47" t="str">
        <f t="shared" si="432"/>
        <v>-0.421866251210757-0.0914175701482333i</v>
      </c>
      <c r="AD489" s="20">
        <f t="shared" si="433"/>
        <v>-7.2972116429739415</v>
      </c>
      <c r="AE489" s="43">
        <f t="shared" si="434"/>
        <v>-167.77316292409898</v>
      </c>
      <c r="AF489" t="str">
        <f t="shared" si="416"/>
        <v>69.5520360182888</v>
      </c>
      <c r="AG489" t="str">
        <f t="shared" si="417"/>
        <v>1+576.963604907328i</v>
      </c>
      <c r="AH489">
        <f t="shared" si="435"/>
        <v>576.96447151246605</v>
      </c>
      <c r="AI489">
        <f t="shared" si="436"/>
        <v>1.5690631169526197</v>
      </c>
      <c r="AJ489" t="str">
        <f t="shared" si="418"/>
        <v>1+12.1162357030539i</v>
      </c>
      <c r="AK489">
        <f t="shared" si="437"/>
        <v>12.157432607748975</v>
      </c>
      <c r="AL489">
        <f t="shared" si="438"/>
        <v>1.488449082507449</v>
      </c>
      <c r="AM489" t="str">
        <f t="shared" si="419"/>
        <v>1-1.47081906174913i</v>
      </c>
      <c r="AN489">
        <f t="shared" si="439"/>
        <v>1.778569288052785</v>
      </c>
      <c r="AO489">
        <f t="shared" si="440"/>
        <v>-0.97369264647702181</v>
      </c>
      <c r="AP489" s="41" t="str">
        <f t="shared" si="441"/>
        <v>1.28721635193671-2.26658504334517i</v>
      </c>
      <c r="AQ489">
        <f t="shared" si="442"/>
        <v>8.32146872901391</v>
      </c>
      <c r="AR489" s="43">
        <f t="shared" si="443"/>
        <v>-60.407323129287562</v>
      </c>
      <c r="AS489" t="str">
        <f t="shared" si="420"/>
        <v>-0.0000166666666666667</v>
      </c>
      <c r="AT489" t="str">
        <f t="shared" si="421"/>
        <v>0.0109561705825487i</v>
      </c>
      <c r="AU489">
        <f t="shared" si="444"/>
        <v>1.09561705825487E-2</v>
      </c>
      <c r="AV489">
        <f t="shared" si="445"/>
        <v>1.5707963267948966</v>
      </c>
      <c r="AW489" t="str">
        <f t="shared" si="422"/>
        <v>1+11.1343505193583i</v>
      </c>
      <c r="AX489">
        <f t="shared" si="446"/>
        <v>11.179166403982654</v>
      </c>
      <c r="AY489">
        <f t="shared" si="447"/>
        <v>1.4812244927156217</v>
      </c>
      <c r="AZ489" t="str">
        <f t="shared" si="423"/>
        <v>1+378.567917658183i</v>
      </c>
      <c r="BA489">
        <f t="shared" si="448"/>
        <v>378.56923842284493</v>
      </c>
      <c r="BB489">
        <f t="shared" si="449"/>
        <v>1.5681547990069762</v>
      </c>
      <c r="BC489" s="41" t="str">
        <f t="shared" si="450"/>
        <v>-0.00447249590652809+0.0513195498957206i</v>
      </c>
      <c r="BD489">
        <f t="shared" si="451"/>
        <v>-25.761482702944537</v>
      </c>
      <c r="BE489" s="43">
        <f t="shared" si="452"/>
        <v>94.980739662274175</v>
      </c>
      <c r="BF489" s="41" t="str">
        <f t="shared" si="453"/>
        <v>0.00657830363421026-0.0212411214200583i</v>
      </c>
      <c r="BG489" s="20">
        <f t="shared" si="454"/>
        <v>-33.058694345918489</v>
      </c>
      <c r="BH489" s="43">
        <f t="shared" si="455"/>
        <v>-72.792423261824794</v>
      </c>
      <c r="BI489" s="41" t="str">
        <f t="shared" si="409"/>
        <v>0.110563054359994+0.0761966561279625i</v>
      </c>
      <c r="BJ489" s="20">
        <f t="shared" si="456"/>
        <v>-17.440013973930604</v>
      </c>
      <c r="BK489" s="43">
        <f t="shared" si="410"/>
        <v>34.573416532986514</v>
      </c>
      <c r="BL489">
        <f t="shared" si="457"/>
        <v>-33.058694345918489</v>
      </c>
      <c r="BM489" s="43">
        <f t="shared" si="458"/>
        <v>-72.792423261824794</v>
      </c>
    </row>
    <row r="490" spans="14:65" x14ac:dyDescent="0.25">
      <c r="N490" s="9">
        <v>72</v>
      </c>
      <c r="O490" s="34">
        <f t="shared" si="459"/>
        <v>524807.46024977288</v>
      </c>
      <c r="P490" s="33" t="str">
        <f t="shared" si="411"/>
        <v>19.1021967526266</v>
      </c>
      <c r="Q490" s="4" t="str">
        <f t="shared" si="412"/>
        <v>1+740.118140386637i</v>
      </c>
      <c r="R490" s="4">
        <f t="shared" si="424"/>
        <v>740.11881595415048</v>
      </c>
      <c r="S490" s="4">
        <f t="shared" si="425"/>
        <v>1.5694451919734265</v>
      </c>
      <c r="T490" s="4" t="str">
        <f t="shared" si="413"/>
        <v>1+12.3984590877569i</v>
      </c>
      <c r="U490" s="4">
        <f t="shared" si="426"/>
        <v>12.438721306902154</v>
      </c>
      <c r="V490" s="4">
        <f t="shared" si="427"/>
        <v>1.4903153575137085</v>
      </c>
      <c r="W490" t="str">
        <f t="shared" si="414"/>
        <v>1-6.86971359029085i</v>
      </c>
      <c r="X490" s="4">
        <f t="shared" si="428"/>
        <v>6.9421152981369296</v>
      </c>
      <c r="Y490" s="4">
        <f t="shared" si="429"/>
        <v>-1.426245138457473</v>
      </c>
      <c r="Z490" t="str">
        <f t="shared" si="415"/>
        <v>0.724577129666184+5.11106691117639i</v>
      </c>
      <c r="AA490" s="4">
        <f t="shared" si="430"/>
        <v>5.1621717316801314</v>
      </c>
      <c r="AB490" s="4">
        <f t="shared" si="431"/>
        <v>1.4299684448384318</v>
      </c>
      <c r="AC490" s="47" t="str">
        <f t="shared" si="432"/>
        <v>-0.422584502746329-0.0884149881985128i</v>
      </c>
      <c r="AD490" s="20">
        <f t="shared" si="433"/>
        <v>-7.2956603967260598</v>
      </c>
      <c r="AE490" s="43">
        <f t="shared" si="434"/>
        <v>-168.18278925890368</v>
      </c>
      <c r="AF490" t="str">
        <f t="shared" si="416"/>
        <v>69.5520360182888</v>
      </c>
      <c r="AG490" t="str">
        <f t="shared" si="417"/>
        <v>1+590.402813702711i</v>
      </c>
      <c r="AH490">
        <f t="shared" si="435"/>
        <v>590.40366058153643</v>
      </c>
      <c r="AI490">
        <f t="shared" si="436"/>
        <v>1.5691025695489629</v>
      </c>
      <c r="AJ490" t="str">
        <f t="shared" si="418"/>
        <v>1+12.3984590877569i</v>
      </c>
      <c r="AK490">
        <f t="shared" si="437"/>
        <v>12.438721306902154</v>
      </c>
      <c r="AL490">
        <f t="shared" si="438"/>
        <v>1.4903153575137085</v>
      </c>
      <c r="AM490" t="str">
        <f t="shared" si="419"/>
        <v>1-1.50507883880084i</v>
      </c>
      <c r="AN490">
        <f t="shared" si="439"/>
        <v>1.8070036831744656</v>
      </c>
      <c r="AO490">
        <f t="shared" si="440"/>
        <v>-0.98435278704280071</v>
      </c>
      <c r="AP490" s="41" t="str">
        <f t="shared" si="441"/>
        <v>1.28720712233576-2.31393140889246i</v>
      </c>
      <c r="AQ490">
        <f t="shared" si="442"/>
        <v>8.4579116291027177</v>
      </c>
      <c r="AR490" s="43">
        <f t="shared" si="443"/>
        <v>-60.913434978714704</v>
      </c>
      <c r="AS490" t="str">
        <f t="shared" si="420"/>
        <v>-0.0000166666666666667</v>
      </c>
      <c r="AT490" t="str">
        <f t="shared" si="421"/>
        <v>0.0112113725793547i</v>
      </c>
      <c r="AU490">
        <f t="shared" si="444"/>
        <v>1.12113725793547E-2</v>
      </c>
      <c r="AV490">
        <f t="shared" si="445"/>
        <v>1.5707963267948966</v>
      </c>
      <c r="AW490" t="str">
        <f t="shared" si="422"/>
        <v>1+11.393702860057i</v>
      </c>
      <c r="AX490">
        <f t="shared" si="446"/>
        <v>11.437502562328502</v>
      </c>
      <c r="AY490">
        <f t="shared" si="447"/>
        <v>1.4832528751671465</v>
      </c>
      <c r="AZ490" t="str">
        <f t="shared" si="423"/>
        <v>1+387.385897241937i</v>
      </c>
      <c r="BA490">
        <f t="shared" si="448"/>
        <v>387.38718794242612</v>
      </c>
      <c r="BB490">
        <f t="shared" si="449"/>
        <v>1.5682149272501253</v>
      </c>
      <c r="BC490" s="41" t="str">
        <f t="shared" si="450"/>
        <v>-0.00427273919427811+0.0501689065238656i</v>
      </c>
      <c r="BD490">
        <f t="shared" si="451"/>
        <v>-25.959919739099554</v>
      </c>
      <c r="BE490" s="43">
        <f t="shared" si="452"/>
        <v>94.867967003125386</v>
      </c>
      <c r="BF490" s="41" t="str">
        <f t="shared" si="453"/>
        <v>0.00624127664601864-0.0208228282312774i</v>
      </c>
      <c r="BG490" s="20">
        <f t="shared" si="454"/>
        <v>-33.25558013582561</v>
      </c>
      <c r="BH490" s="43">
        <f t="shared" si="455"/>
        <v>-73.314822255778296</v>
      </c>
      <c r="BI490" s="41" t="str">
        <f t="shared" si="409"/>
        <v>0.110587508232605+0.0744645992209628i</v>
      </c>
      <c r="BJ490" s="20">
        <f t="shared" si="456"/>
        <v>-17.502008109996808</v>
      </c>
      <c r="BK490" s="43">
        <f t="shared" si="410"/>
        <v>33.954532024410575</v>
      </c>
      <c r="BL490">
        <f t="shared" si="457"/>
        <v>-33.25558013582561</v>
      </c>
      <c r="BM490" s="43">
        <f t="shared" si="458"/>
        <v>-73.314822255778296</v>
      </c>
    </row>
    <row r="491" spans="14:65" x14ac:dyDescent="0.25">
      <c r="N491" s="9">
        <v>73</v>
      </c>
      <c r="O491" s="34">
        <f t="shared" si="459"/>
        <v>537031.7963702539</v>
      </c>
      <c r="P491" s="33" t="str">
        <f t="shared" si="411"/>
        <v>19.1021967526266</v>
      </c>
      <c r="Q491" s="4" t="str">
        <f t="shared" si="412"/>
        <v>1+757.35770651751i</v>
      </c>
      <c r="R491" s="4">
        <f t="shared" si="424"/>
        <v>757.35836670724302</v>
      </c>
      <c r="S491" s="4">
        <f t="shared" si="425"/>
        <v>1.5694759475206639</v>
      </c>
      <c r="T491" s="4" t="str">
        <f t="shared" si="413"/>
        <v>1+12.6872562995813i</v>
      </c>
      <c r="U491" s="4">
        <f t="shared" si="426"/>
        <v>12.726604905129467</v>
      </c>
      <c r="V491" s="4">
        <f t="shared" si="427"/>
        <v>1.4921396939738483</v>
      </c>
      <c r="W491" t="str">
        <f t="shared" si="414"/>
        <v>1-7.0297297759205i</v>
      </c>
      <c r="X491" s="4">
        <f t="shared" si="428"/>
        <v>7.1005000332697197</v>
      </c>
      <c r="Y491" s="4">
        <f t="shared" si="429"/>
        <v>-1.4294914030909933</v>
      </c>
      <c r="Z491" t="str">
        <f t="shared" si="415"/>
        <v>0.711596849687339+5.23011895328485i</v>
      </c>
      <c r="AA491" s="4">
        <f t="shared" si="430"/>
        <v>5.2783060106434112</v>
      </c>
      <c r="AB491" s="4">
        <f t="shared" si="431"/>
        <v>1.4355691840115863</v>
      </c>
      <c r="AC491" s="47" t="str">
        <f t="shared" si="432"/>
        <v>-0.423267621137183-0.0854462789124577i</v>
      </c>
      <c r="AD491" s="20">
        <f t="shared" si="433"/>
        <v>-7.294223658336028</v>
      </c>
      <c r="AE491" s="43">
        <f t="shared" si="434"/>
        <v>-168.58692062183778</v>
      </c>
      <c r="AF491" t="str">
        <f t="shared" si="416"/>
        <v>69.5520360182888</v>
      </c>
      <c r="AG491" t="str">
        <f t="shared" si="417"/>
        <v>1+604.155061884825i</v>
      </c>
      <c r="AH491">
        <f t="shared" si="435"/>
        <v>604.15588948636162</v>
      </c>
      <c r="AI491">
        <f t="shared" si="436"/>
        <v>1.569141124099668</v>
      </c>
      <c r="AJ491" t="str">
        <f t="shared" si="418"/>
        <v>1+12.6872562995813i</v>
      </c>
      <c r="AK491">
        <f t="shared" si="437"/>
        <v>12.726604905129467</v>
      </c>
      <c r="AL491">
        <f t="shared" si="438"/>
        <v>1.4921396939738483</v>
      </c>
      <c r="AM491" t="str">
        <f t="shared" si="419"/>
        <v>1-1.54013662857496i</v>
      </c>
      <c r="AN491">
        <f t="shared" si="439"/>
        <v>1.8363063019764008</v>
      </c>
      <c r="AO491">
        <f t="shared" si="440"/>
        <v>-0.99491824801204509</v>
      </c>
      <c r="AP491" s="41" t="str">
        <f t="shared" si="441"/>
        <v>1.28719830813295-2.36250465009372i</v>
      </c>
      <c r="AQ491">
        <f t="shared" si="442"/>
        <v>8.596370413658871</v>
      </c>
      <c r="AR491" s="43">
        <f t="shared" si="443"/>
        <v>-61.41647353432127</v>
      </c>
      <c r="AS491" t="str">
        <f t="shared" si="420"/>
        <v>-0.0000166666666666667</v>
      </c>
      <c r="AT491" t="str">
        <f t="shared" si="421"/>
        <v>0.0114725189943023i</v>
      </c>
      <c r="AU491">
        <f t="shared" si="444"/>
        <v>1.1472518994302299E-2</v>
      </c>
      <c r="AV491">
        <f t="shared" si="445"/>
        <v>1.5707963267948966</v>
      </c>
      <c r="AW491" t="str">
        <f t="shared" si="422"/>
        <v>1+11.6590962928255i</v>
      </c>
      <c r="AX491">
        <f t="shared" si="446"/>
        <v>11.70190268141798</v>
      </c>
      <c r="AY491">
        <f t="shared" si="447"/>
        <v>1.4852357841042549</v>
      </c>
      <c r="AZ491" t="str">
        <f t="shared" si="423"/>
        <v>1+396.409273956067i</v>
      </c>
      <c r="BA491">
        <f t="shared" si="448"/>
        <v>396.41053527672062</v>
      </c>
      <c r="BB491">
        <f t="shared" si="449"/>
        <v>1.5682736868253977</v>
      </c>
      <c r="BC491" s="41" t="str">
        <f t="shared" si="450"/>
        <v>-0.00408183860940074+0.0490432963216571i</v>
      </c>
      <c r="BD491">
        <f t="shared" si="451"/>
        <v>-26.158426594031212</v>
      </c>
      <c r="BE491" s="43">
        <f t="shared" si="452"/>
        <v>94.757721365539382</v>
      </c>
      <c r="BF491" s="41" t="str">
        <f t="shared" si="453"/>
        <v>0.00591827729435358-0.0204096614464993i</v>
      </c>
      <c r="BG491" s="20">
        <f t="shared" si="454"/>
        <v>-33.452650252367228</v>
      </c>
      <c r="BH491" s="43">
        <f t="shared" si="455"/>
        <v>-73.829199256298423</v>
      </c>
      <c r="BI491" s="41" t="str">
        <f t="shared" si="409"/>
        <v>0.110610879863747+0.0727718107461413i</v>
      </c>
      <c r="BJ491" s="20">
        <f t="shared" si="456"/>
        <v>-17.562056180372327</v>
      </c>
      <c r="BK491" s="43">
        <f t="shared" si="410"/>
        <v>33.341247831218055</v>
      </c>
      <c r="BL491">
        <f t="shared" si="457"/>
        <v>-33.452650252367228</v>
      </c>
      <c r="BM491" s="43">
        <f t="shared" si="458"/>
        <v>-73.829199256298423</v>
      </c>
    </row>
    <row r="492" spans="14:65" x14ac:dyDescent="0.25">
      <c r="N492" s="9">
        <v>74</v>
      </c>
      <c r="O492" s="34">
        <f t="shared" si="459"/>
        <v>549540.87385762564</v>
      </c>
      <c r="P492" s="33" t="str">
        <f t="shared" si="411"/>
        <v>19.1021967526266</v>
      </c>
      <c r="Q492" s="4" t="str">
        <f t="shared" si="412"/>
        <v>1+774.99883372919i</v>
      </c>
      <c r="R492" s="4">
        <f t="shared" si="424"/>
        <v>774.99947889118266</v>
      </c>
      <c r="S492" s="4">
        <f t="shared" si="425"/>
        <v>1.569506002988589</v>
      </c>
      <c r="T492" s="4" t="str">
        <f t="shared" si="413"/>
        <v>1+12.9827804626314i</v>
      </c>
      <c r="U492" s="4">
        <f t="shared" si="426"/>
        <v>13.021236060408535</v>
      </c>
      <c r="V492" s="4">
        <f t="shared" si="427"/>
        <v>1.493923010574006</v>
      </c>
      <c r="W492" t="str">
        <f t="shared" si="414"/>
        <v>1-7.19347321732679i</v>
      </c>
      <c r="X492" s="4">
        <f t="shared" si="428"/>
        <v>7.2626480658502128</v>
      </c>
      <c r="Y492" s="4">
        <f t="shared" si="429"/>
        <v>-1.4326666734562796</v>
      </c>
      <c r="Z492" t="str">
        <f t="shared" si="415"/>
        <v>0.698004827959798+5.35194407369113i</v>
      </c>
      <c r="AA492" s="4">
        <f t="shared" si="430"/>
        <v>5.3972693195515813</v>
      </c>
      <c r="AB492" s="4">
        <f t="shared" si="431"/>
        <v>1.4411075383048826</v>
      </c>
      <c r="AC492" s="47" t="str">
        <f t="shared" si="432"/>
        <v>-0.423916722242328-0.0825107142955716i</v>
      </c>
      <c r="AD492" s="20">
        <f t="shared" si="433"/>
        <v>-7.2928994847137583</v>
      </c>
      <c r="AE492" s="43">
        <f t="shared" si="434"/>
        <v>-168.98572007577442</v>
      </c>
      <c r="AF492" t="str">
        <f t="shared" si="416"/>
        <v>69.5520360182888</v>
      </c>
      <c r="AG492" t="str">
        <f t="shared" si="417"/>
        <v>1+618.227641077686i</v>
      </c>
      <c r="AH492">
        <f t="shared" si="435"/>
        <v>618.22844984073652</v>
      </c>
      <c r="AI492">
        <f t="shared" si="436"/>
        <v>1.5691788010464089</v>
      </c>
      <c r="AJ492" t="str">
        <f t="shared" si="418"/>
        <v>1+12.9827804626314i</v>
      </c>
      <c r="AK492">
        <f t="shared" si="437"/>
        <v>13.021236060408535</v>
      </c>
      <c r="AL492">
        <f t="shared" si="438"/>
        <v>1.493923010574006</v>
      </c>
      <c r="AM492" t="str">
        <f t="shared" si="419"/>
        <v>1-1.57601101917566i</v>
      </c>
      <c r="AN492">
        <f t="shared" si="439"/>
        <v>1.8664969146942361</v>
      </c>
      <c r="AO492">
        <f t="shared" si="440"/>
        <v>-1.0053851958873783</v>
      </c>
      <c r="AP492" s="41" t="str">
        <f t="shared" si="441"/>
        <v>1.28718989063249-2.41233052121827i</v>
      </c>
      <c r="AQ492">
        <f t="shared" si="442"/>
        <v>8.7368069936010233</v>
      </c>
      <c r="AR492" s="43">
        <f t="shared" si="443"/>
        <v>-61.916167687269684</v>
      </c>
      <c r="AS492" t="str">
        <f t="shared" si="420"/>
        <v>-0.0000166666666666667</v>
      </c>
      <c r="AT492" t="str">
        <f t="shared" si="421"/>
        <v>0.0117397482906773i</v>
      </c>
      <c r="AU492">
        <f t="shared" si="444"/>
        <v>1.1739748290677299E-2</v>
      </c>
      <c r="AV492">
        <f t="shared" si="445"/>
        <v>1.5707963267948966</v>
      </c>
      <c r="AW492" t="str">
        <f t="shared" si="422"/>
        <v>1+11.9306715327748i</v>
      </c>
      <c r="AX492">
        <f t="shared" si="446"/>
        <v>11.972506973184981</v>
      </c>
      <c r="AY492">
        <f t="shared" si="447"/>
        <v>1.487174208483667</v>
      </c>
      <c r="AZ492" t="str">
        <f t="shared" si="423"/>
        <v>1+405.642832114345i</v>
      </c>
      <c r="BA492">
        <f t="shared" si="448"/>
        <v>405.64406472392358</v>
      </c>
      <c r="BB492">
        <f t="shared" si="449"/>
        <v>1.5683311088862739</v>
      </c>
      <c r="BC492" s="41" t="str">
        <f t="shared" si="450"/>
        <v>-0.00389940726005219+0.0479422255578683i</v>
      </c>
      <c r="BD492">
        <f t="shared" si="451"/>
        <v>-26.357000171344733</v>
      </c>
      <c r="BE492" s="43">
        <f t="shared" si="452"/>
        <v>94.649947871432943</v>
      </c>
      <c r="BF492" s="41" t="str">
        <f t="shared" si="453"/>
        <v>0.00560877122006838-0.0200017682371376i</v>
      </c>
      <c r="BG492" s="20">
        <f t="shared" si="454"/>
        <v>-33.649899656058508</v>
      </c>
      <c r="BH492" s="43">
        <f t="shared" si="455"/>
        <v>-74.335772204341453</v>
      </c>
      <c r="BI492" s="41" t="str">
        <f t="shared" si="409"/>
        <v>0.110633216363778+0.0711174072205947i</v>
      </c>
      <c r="BJ492" s="20">
        <f t="shared" si="456"/>
        <v>-17.620193177743715</v>
      </c>
      <c r="BK492" s="43">
        <f t="shared" si="410"/>
        <v>32.733780184163322</v>
      </c>
      <c r="BL492">
        <f t="shared" si="457"/>
        <v>-33.649899656058508</v>
      </c>
      <c r="BM492" s="43">
        <f t="shared" si="458"/>
        <v>-74.335772204341453</v>
      </c>
    </row>
    <row r="493" spans="14:65" x14ac:dyDescent="0.25">
      <c r="N493" s="9">
        <v>75</v>
      </c>
      <c r="O493" s="34">
        <f t="shared" si="459"/>
        <v>562341.32519035018</v>
      </c>
      <c r="P493" s="33" t="str">
        <f t="shared" si="411"/>
        <v>19.1021967526266</v>
      </c>
      <c r="Q493" s="4" t="str">
        <f t="shared" si="412"/>
        <v>1+793.050875580839i</v>
      </c>
      <c r="R493" s="4">
        <f t="shared" si="424"/>
        <v>793.05150605716369</v>
      </c>
      <c r="S493" s="4">
        <f t="shared" si="425"/>
        <v>1.5695353743127911</v>
      </c>
      <c r="T493" s="4" t="str">
        <f t="shared" si="413"/>
        <v>1+13.2851882677302i</v>
      </c>
      <c r="U493" s="4">
        <f t="shared" si="426"/>
        <v>13.322771007152983</v>
      </c>
      <c r="V493" s="4">
        <f t="shared" si="427"/>
        <v>1.495666207456219</v>
      </c>
      <c r="W493" t="str">
        <f t="shared" si="414"/>
        <v>1-7.36103073344981i</v>
      </c>
      <c r="X493" s="4">
        <f t="shared" si="428"/>
        <v>7.4286454659508845</v>
      </c>
      <c r="Y493" s="4">
        <f t="shared" si="429"/>
        <v>-1.4357723768762041</v>
      </c>
      <c r="Z493" t="str">
        <f t="shared" si="415"/>
        <v>0.683772233983162+5.47660686568666i</v>
      </c>
      <c r="AA493" s="4">
        <f t="shared" si="430"/>
        <v>5.5191273974472255</v>
      </c>
      <c r="AB493" s="4">
        <f t="shared" si="431"/>
        <v>1.4465858149693442</v>
      </c>
      <c r="AC493" s="47" t="str">
        <f t="shared" si="432"/>
        <v>-0.42453287747168-0.0796075368998655i</v>
      </c>
      <c r="AD493" s="20">
        <f t="shared" si="433"/>
        <v>-7.2916860778209882</v>
      </c>
      <c r="AE493" s="43">
        <f t="shared" si="434"/>
        <v>-169.37935093473843</v>
      </c>
      <c r="AF493" t="str">
        <f t="shared" si="416"/>
        <v>69.5520360182888</v>
      </c>
      <c r="AG493" t="str">
        <f t="shared" si="417"/>
        <v>1+632.628012749059i</v>
      </c>
      <c r="AH493">
        <f t="shared" si="435"/>
        <v>632.62880310243816</v>
      </c>
      <c r="AI493">
        <f t="shared" si="436"/>
        <v>1.5692156203655736</v>
      </c>
      <c r="AJ493" t="str">
        <f t="shared" si="418"/>
        <v>1+13.2851882677302i</v>
      </c>
      <c r="AK493">
        <f t="shared" si="437"/>
        <v>13.322771007152983</v>
      </c>
      <c r="AL493">
        <f t="shared" si="438"/>
        <v>1.495666207456219</v>
      </c>
      <c r="AM493" t="str">
        <f t="shared" si="419"/>
        <v>1-1.61272103167971i</v>
      </c>
      <c r="AN493">
        <f t="shared" si="439"/>
        <v>1.8975956170960315</v>
      </c>
      <c r="AO493">
        <f t="shared" si="440"/>
        <v>-1.0157500063204543</v>
      </c>
      <c r="AP493" s="41" t="str">
        <f t="shared" si="441"/>
        <v>1.28718185198001-2.46343544069026i</v>
      </c>
      <c r="AQ493">
        <f t="shared" si="442"/>
        <v>8.8791823697242673</v>
      </c>
      <c r="AR493" s="43">
        <f t="shared" si="443"/>
        <v>-62.412259347919907</v>
      </c>
      <c r="AS493" t="str">
        <f t="shared" si="420"/>
        <v>-0.0000166666666666667</v>
      </c>
      <c r="AT493" t="str">
        <f t="shared" si="421"/>
        <v>0.0120132021569901i</v>
      </c>
      <c r="AU493">
        <f t="shared" si="444"/>
        <v>1.20132021569901E-2</v>
      </c>
      <c r="AV493">
        <f t="shared" si="445"/>
        <v>1.5707963267948966</v>
      </c>
      <c r="AW493" t="str">
        <f t="shared" si="422"/>
        <v>1+12.208572572692i</v>
      </c>
      <c r="AX493">
        <f t="shared" si="446"/>
        <v>12.249458937548523</v>
      </c>
      <c r="AY493">
        <f t="shared" si="447"/>
        <v>1.4890691177824011</v>
      </c>
      <c r="AZ493" t="str">
        <f t="shared" si="423"/>
        <v>1+415.091467471528i</v>
      </c>
      <c r="BA493">
        <f t="shared" si="448"/>
        <v>415.09267202356943</v>
      </c>
      <c r="BB493">
        <f t="shared" si="449"/>
        <v>1.5683872238771752</v>
      </c>
      <c r="BC493" s="41" t="str">
        <f t="shared" si="450"/>
        <v>-0.00372507465415599+0.0468652067946759i</v>
      </c>
      <c r="BD493">
        <f t="shared" si="451"/>
        <v>-26.555637510004185</v>
      </c>
      <c r="BE493" s="43">
        <f t="shared" si="452"/>
        <v>94.544592718201429</v>
      </c>
      <c r="BF493" s="41" t="str">
        <f t="shared" si="453"/>
        <v>0.00531224034095265-0.0195992770758636i</v>
      </c>
      <c r="BG493" s="20">
        <f t="shared" si="454"/>
        <v>-33.84732358782518</v>
      </c>
      <c r="BH493" s="43">
        <f t="shared" si="455"/>
        <v>-74.834758216537011</v>
      </c>
      <c r="BI493" s="41" t="str">
        <f t="shared" si="409"/>
        <v>0.110654562861182+0.069500524597662i</v>
      </c>
      <c r="BJ493" s="20">
        <f t="shared" si="456"/>
        <v>-17.676455140279931</v>
      </c>
      <c r="BK493" s="43">
        <f t="shared" si="410"/>
        <v>32.132333370281607</v>
      </c>
      <c r="BL493">
        <f t="shared" si="457"/>
        <v>-33.84732358782518</v>
      </c>
      <c r="BM493" s="43">
        <f t="shared" si="458"/>
        <v>-74.834758216537011</v>
      </c>
    </row>
    <row r="494" spans="14:65" x14ac:dyDescent="0.25">
      <c r="N494" s="9">
        <v>76</v>
      </c>
      <c r="O494" s="34">
        <f t="shared" si="459"/>
        <v>575439.93733715697</v>
      </c>
      <c r="P494" s="33" t="str">
        <f t="shared" si="411"/>
        <v>19.1021967526266</v>
      </c>
      <c r="Q494" s="4" t="str">
        <f t="shared" si="412"/>
        <v>1+811.523403503988i</v>
      </c>
      <c r="R494" s="4">
        <f t="shared" si="424"/>
        <v>811.52401962893032</v>
      </c>
      <c r="S494" s="4">
        <f t="shared" si="425"/>
        <v>1.5695640770661325</v>
      </c>
      <c r="T494" s="4" t="str">
        <f t="shared" si="413"/>
        <v>1+13.5946400554988i</v>
      </c>
      <c r="U494" s="4">
        <f t="shared" si="426"/>
        <v>13.631369639129165</v>
      </c>
      <c r="V494" s="4">
        <f t="shared" si="427"/>
        <v>1.4973701664859345</v>
      </c>
      <c r="W494" t="str">
        <f t="shared" si="414"/>
        <v>1-7.53249116550244i</v>
      </c>
      <c r="X494" s="4">
        <f t="shared" si="428"/>
        <v>7.5985803383508621</v>
      </c>
      <c r="Y494" s="4">
        <f t="shared" si="429"/>
        <v>-1.4388099202638596</v>
      </c>
      <c r="Z494" t="str">
        <f t="shared" si="415"/>
        <v>0.668868878517408+5.60417342713381i</v>
      </c>
      <c r="AA494" s="4">
        <f t="shared" si="430"/>
        <v>5.6439476767633012</v>
      </c>
      <c r="AB494" s="4">
        <f t="shared" si="431"/>
        <v>1.4520063262852658</v>
      </c>
      <c r="AC494" s="47" t="str">
        <f t="shared" si="432"/>
        <v>-0.425117113910829-0.0767359621125474i</v>
      </c>
      <c r="AD494" s="20">
        <f t="shared" si="433"/>
        <v>-7.2905817882066408</v>
      </c>
      <c r="AE494" s="43">
        <f t="shared" si="434"/>
        <v>-169.76797665790514</v>
      </c>
      <c r="AF494" t="str">
        <f t="shared" si="416"/>
        <v>69.5520360182888</v>
      </c>
      <c r="AG494" t="str">
        <f t="shared" si="417"/>
        <v>1+647.36381216661i</v>
      </c>
      <c r="AH494">
        <f t="shared" si="435"/>
        <v>647.36458452937165</v>
      </c>
      <c r="AI494">
        <f t="shared" si="436"/>
        <v>1.5692516015788531</v>
      </c>
      <c r="AJ494" t="str">
        <f t="shared" si="418"/>
        <v>1+13.5946400554988i</v>
      </c>
      <c r="AK494">
        <f t="shared" si="437"/>
        <v>13.631369639129165</v>
      </c>
      <c r="AL494">
        <f t="shared" si="438"/>
        <v>1.4973701664859345</v>
      </c>
      <c r="AM494" t="str">
        <f t="shared" si="419"/>
        <v>1-1.65028613022163i</v>
      </c>
      <c r="AN494">
        <f t="shared" si="439"/>
        <v>1.9296228418014443</v>
      </c>
      <c r="AO494">
        <f t="shared" si="440"/>
        <v>-1.0260092666654554</v>
      </c>
      <c r="AP494" s="41" t="str">
        <f t="shared" si="441"/>
        <v>1.28717417512474-2.51584650509619i</v>
      </c>
      <c r="AQ494">
        <f t="shared" si="442"/>
        <v>9.0234567421616294</v>
      </c>
      <c r="AR494" s="43">
        <f t="shared" si="443"/>
        <v>-62.904503577410964</v>
      </c>
      <c r="AS494" t="str">
        <f t="shared" si="420"/>
        <v>-0.0000166666666666667</v>
      </c>
      <c r="AT494" t="str">
        <f t="shared" si="421"/>
        <v>0.0122930255821i</v>
      </c>
      <c r="AU494">
        <f t="shared" si="444"/>
        <v>1.2293025582099999E-2</v>
      </c>
      <c r="AV494">
        <f t="shared" si="445"/>
        <v>1.5707963267948966</v>
      </c>
      <c r="AW494" t="str">
        <f t="shared" si="422"/>
        <v>1+12.4929467593867i</v>
      </c>
      <c r="AX494">
        <f t="shared" si="446"/>
        <v>12.532905438599249</v>
      </c>
      <c r="AY494">
        <f t="shared" si="447"/>
        <v>1.4909214622440319</v>
      </c>
      <c r="AZ494" t="str">
        <f t="shared" si="423"/>
        <v>1+424.760189819149i</v>
      </c>
      <c r="BA494">
        <f t="shared" si="448"/>
        <v>424.76136695231531</v>
      </c>
      <c r="BB494">
        <f t="shared" si="449"/>
        <v>1.568442061549598</v>
      </c>
      <c r="BC494" s="41" t="str">
        <f t="shared" si="450"/>
        <v>-0.00355848604838074+0.0458117590601893i</v>
      </c>
      <c r="BD494">
        <f t="shared" si="451"/>
        <v>-26.754335778585904</v>
      </c>
      <c r="BE494" s="43">
        <f t="shared" si="452"/>
        <v>94.441603165533706</v>
      </c>
      <c r="BF494" s="41" t="str">
        <f t="shared" si="453"/>
        <v>0.00502818272633141-0.0192022989442594i</v>
      </c>
      <c r="BG494" s="20">
        <f t="shared" si="454"/>
        <v>-34.044917566792535</v>
      </c>
      <c r="BH494" s="43">
        <f t="shared" si="455"/>
        <v>-75.326373492371417</v>
      </c>
      <c r="BI494" s="41" t="str">
        <f t="shared" si="409"/>
        <v>0.110674962579869+0.0679203178675647i</v>
      </c>
      <c r="BJ494" s="20">
        <f t="shared" si="456"/>
        <v>-17.730879036424252</v>
      </c>
      <c r="BK494" s="43">
        <f t="shared" si="410"/>
        <v>31.53709958812264</v>
      </c>
      <c r="BL494">
        <f t="shared" si="457"/>
        <v>-34.044917566792535</v>
      </c>
      <c r="BM494" s="43">
        <f t="shared" si="458"/>
        <v>-75.326373492371417</v>
      </c>
    </row>
    <row r="495" spans="14:65" x14ac:dyDescent="0.25">
      <c r="N495" s="9">
        <v>77</v>
      </c>
      <c r="O495" s="34">
        <f t="shared" si="459"/>
        <v>588843.65535558888</v>
      </c>
      <c r="P495" s="33" t="str">
        <f t="shared" si="411"/>
        <v>19.1021967526266</v>
      </c>
      <c r="Q495" s="4" t="str">
        <f t="shared" si="412"/>
        <v>1+830.426211877457i</v>
      </c>
      <c r="R495" s="4">
        <f t="shared" si="424"/>
        <v>830.42681397769377</v>
      </c>
      <c r="S495" s="4">
        <f t="shared" si="425"/>
        <v>1.5695921264670036</v>
      </c>
      <c r="T495" s="4" t="str">
        <f t="shared" si="413"/>
        <v>1+13.9112999013711i</v>
      </c>
      <c r="U495" s="4">
        <f t="shared" si="426"/>
        <v>13.947195594308111</v>
      </c>
      <c r="V495" s="4">
        <f t="shared" si="427"/>
        <v>1.4990357515233828</v>
      </c>
      <c r="W495" t="str">
        <f t="shared" si="414"/>
        <v>1-7.70794542407533i</v>
      </c>
      <c r="X495" s="4">
        <f t="shared" si="428"/>
        <v>7.7725428696485048</v>
      </c>
      <c r="Y495" s="4">
        <f t="shared" si="429"/>
        <v>-1.4417806898352208</v>
      </c>
      <c r="Z495" t="str">
        <f t="shared" si="415"/>
        <v>0.653263149547468+5.73471139551205i</v>
      </c>
      <c r="AA495" s="4">
        <f t="shared" si="430"/>
        <v>5.77179933230292</v>
      </c>
      <c r="AB495" s="4">
        <f t="shared" si="431"/>
        <v>1.4573713884383657</v>
      </c>
      <c r="AC495" s="47" t="str">
        <f t="shared" si="432"/>
        <v>-0.425670414514973-0.0738951803288819i</v>
      </c>
      <c r="AD495" s="20">
        <f t="shared" si="433"/>
        <v>-7.2895851182748492</v>
      </c>
      <c r="AE495" s="43">
        <f t="shared" si="434"/>
        <v>-170.15176075366986</v>
      </c>
      <c r="AF495" t="str">
        <f t="shared" si="416"/>
        <v>69.5520360182888</v>
      </c>
      <c r="AG495" t="str">
        <f t="shared" si="417"/>
        <v>1+662.442852446246i</v>
      </c>
      <c r="AH495">
        <f t="shared" si="435"/>
        <v>662.44360722790498</v>
      </c>
      <c r="AI495">
        <f t="shared" si="436"/>
        <v>1.5692867637635897</v>
      </c>
      <c r="AJ495" t="str">
        <f t="shared" si="418"/>
        <v>1+13.9112999013711i</v>
      </c>
      <c r="AK495">
        <f t="shared" si="437"/>
        <v>13.947195594308111</v>
      </c>
      <c r="AL495">
        <f t="shared" si="438"/>
        <v>1.4990357515233828</v>
      </c>
      <c r="AM495" t="str">
        <f t="shared" si="419"/>
        <v>1-1.68872623231392i</v>
      </c>
      <c r="AN495">
        <f t="shared" si="439"/>
        <v>1.9625993701479596</v>
      </c>
      <c r="AO495">
        <f t="shared" si="440"/>
        <v>-1.0361597776067293</v>
      </c>
      <c r="AP495" s="41" t="str">
        <f t="shared" si="441"/>
        <v>1.28716684378325-2.56959150355256i</v>
      </c>
      <c r="AQ495">
        <f t="shared" si="442"/>
        <v>9.1695896190946424</v>
      </c>
      <c r="AR495" s="43">
        <f t="shared" si="443"/>
        <v>-63.392668665965203</v>
      </c>
      <c r="AS495" t="str">
        <f t="shared" si="420"/>
        <v>-0.0000166666666666667</v>
      </c>
      <c r="AT495" t="str">
        <f t="shared" si="421"/>
        <v>0.0125793669320909i</v>
      </c>
      <c r="AU495">
        <f t="shared" si="444"/>
        <v>1.2579366932090901E-2</v>
      </c>
      <c r="AV495">
        <f t="shared" si="445"/>
        <v>1.5707963267948966</v>
      </c>
      <c r="AW495" t="str">
        <f t="shared" si="422"/>
        <v>1+12.783944871817i</v>
      </c>
      <c r="AX495">
        <f t="shared" si="446"/>
        <v>12.82299678256437</v>
      </c>
      <c r="AY495">
        <f t="shared" si="447"/>
        <v>1.4927321731319569</v>
      </c>
      <c r="AZ495" t="str">
        <f t="shared" si="423"/>
        <v>1+434.654125641778i</v>
      </c>
      <c r="BA495">
        <f t="shared" si="448"/>
        <v>434.65527598019395</v>
      </c>
      <c r="BB495">
        <f t="shared" si="449"/>
        <v>1.568495650977882</v>
      </c>
      <c r="BC495" s="41" t="str">
        <f t="shared" si="450"/>
        <v>-0.00339930181901649+0.0447814079974826i</v>
      </c>
      <c r="BD495">
        <f t="shared" si="451"/>
        <v>-26.953092269763246</v>
      </c>
      <c r="BE495" s="43">
        <f t="shared" si="452"/>
        <v>94.340927521804403</v>
      </c>
      <c r="BF495" s="41" t="str">
        <f t="shared" si="453"/>
        <v>0.00475611243371746-0.018810928483944i</v>
      </c>
      <c r="BG495" s="20">
        <f t="shared" si="454"/>
        <v>-34.242677388038111</v>
      </c>
      <c r="BH495" s="43">
        <f t="shared" si="455"/>
        <v>-75.810833231865431</v>
      </c>
      <c r="BI495" s="41" t="str">
        <f t="shared" si="409"/>
        <v>0.110694456914002+0.0663759606644452i</v>
      </c>
      <c r="BJ495" s="20">
        <f t="shared" si="456"/>
        <v>-17.783502650668595</v>
      </c>
      <c r="BK495" s="43">
        <f t="shared" si="410"/>
        <v>30.948258855839171</v>
      </c>
      <c r="BL495">
        <f t="shared" si="457"/>
        <v>-34.242677388038111</v>
      </c>
      <c r="BM495" s="43">
        <f t="shared" si="458"/>
        <v>-75.810833231865431</v>
      </c>
    </row>
    <row r="496" spans="14:65" x14ac:dyDescent="0.25">
      <c r="N496" s="9">
        <v>78</v>
      </c>
      <c r="O496" s="34">
        <f t="shared" si="459"/>
        <v>602559.58607435878</v>
      </c>
      <c r="P496" s="33" t="str">
        <f t="shared" si="411"/>
        <v>19.1021967526266</v>
      </c>
      <c r="Q496" s="4" t="str">
        <f t="shared" si="412"/>
        <v>1+849.769323220454i</v>
      </c>
      <c r="R496" s="4">
        <f t="shared" si="424"/>
        <v>849.76991161522562</v>
      </c>
      <c r="S496" s="4">
        <f t="shared" si="425"/>
        <v>1.5696195373873911</v>
      </c>
      <c r="T496" s="4" t="str">
        <f t="shared" si="413"/>
        <v>1+14.235335702589i</v>
      </c>
      <c r="U496" s="4">
        <f t="shared" si="426"/>
        <v>14.27041634169813</v>
      </c>
      <c r="V496" s="4">
        <f t="shared" si="427"/>
        <v>1.5006638086980997</v>
      </c>
      <c r="W496" t="str">
        <f t="shared" si="414"/>
        <v>1-7.88748653733879i</v>
      </c>
      <c r="X496" s="4">
        <f t="shared" si="428"/>
        <v>7.9506253764531403</v>
      </c>
      <c r="Y496" s="4">
        <f t="shared" si="429"/>
        <v>-1.4446860508728552</v>
      </c>
      <c r="Z496" t="str">
        <f t="shared" si="415"/>
        <v>0.6369219452299+5.86828998378006i</v>
      </c>
      <c r="AA496" s="4">
        <f t="shared" si="430"/>
        <v>5.9027533319671104</v>
      </c>
      <c r="AB496" s="4">
        <f t="shared" si="431"/>
        <v>1.4626833205144827</v>
      </c>
      <c r="AC496" s="47" t="str">
        <f t="shared" si="432"/>
        <v>-0.426193718361922-0.0710843590122364i</v>
      </c>
      <c r="AD496" s="20">
        <f t="shared" si="433"/>
        <v>-7.288694725331812</v>
      </c>
      <c r="AE496" s="43">
        <f t="shared" si="434"/>
        <v>-170.53086669324327</v>
      </c>
      <c r="AF496" t="str">
        <f t="shared" si="416"/>
        <v>69.5520360182888</v>
      </c>
      <c r="AG496" t="str">
        <f t="shared" si="417"/>
        <v>1+677.873128694717i</v>
      </c>
      <c r="AH496">
        <f t="shared" si="435"/>
        <v>677.87386629546677</v>
      </c>
      <c r="AI496">
        <f t="shared" si="436"/>
        <v>1.5693211255628914</v>
      </c>
      <c r="AJ496" t="str">
        <f t="shared" si="418"/>
        <v>1+14.235335702589i</v>
      </c>
      <c r="AK496">
        <f t="shared" si="437"/>
        <v>14.27041634169813</v>
      </c>
      <c r="AL496">
        <f t="shared" si="438"/>
        <v>1.5006638086980997</v>
      </c>
      <c r="AM496" t="str">
        <f t="shared" si="419"/>
        <v>1-1.72806171940751i</v>
      </c>
      <c r="AN496">
        <f t="shared" si="439"/>
        <v>1.9965463445864813</v>
      </c>
      <c r="AO496">
        <f t="shared" si="440"/>
        <v>-1.0461985538941563</v>
      </c>
      <c r="AP496" s="41" t="str">
        <f t="shared" si="441"/>
        <v>1.28715984240501-2.62469893244022i</v>
      </c>
      <c r="AQ496">
        <f t="shared" si="442"/>
        <v>9.3175399240947616</v>
      </c>
      <c r="AR496" s="43">
        <f t="shared" si="443"/>
        <v>-63.876536159870135</v>
      </c>
      <c r="AS496" t="str">
        <f t="shared" si="420"/>
        <v>-0.0000166666666666667</v>
      </c>
      <c r="AT496" t="str">
        <f t="shared" si="421"/>
        <v>0.0128723780289369i</v>
      </c>
      <c r="AU496">
        <f t="shared" si="444"/>
        <v>1.28723780289369E-2</v>
      </c>
      <c r="AV496">
        <f t="shared" si="445"/>
        <v>1.5707963267948966</v>
      </c>
      <c r="AW496" t="str">
        <f t="shared" si="422"/>
        <v>1+13.0817212010338i</v>
      </c>
      <c r="AX496">
        <f t="shared" si="446"/>
        <v>13.119886797590031</v>
      </c>
      <c r="AY496">
        <f t="shared" si="447"/>
        <v>1.4945021629887052</v>
      </c>
      <c r="AZ496" t="str">
        <f t="shared" si="423"/>
        <v>1+444.778520835149i</v>
      </c>
      <c r="BA496">
        <f t="shared" si="448"/>
        <v>444.77964498873263</v>
      </c>
      <c r="BB496">
        <f t="shared" si="449"/>
        <v>1.5685480205746198</v>
      </c>
      <c r="BC496" s="41" t="str">
        <f t="shared" si="450"/>
        <v>-0.00324719685438562+0.0437736859918354i</v>
      </c>
      <c r="BD496">
        <f t="shared" si="451"/>
        <v>-27.151904395010135</v>
      </c>
      <c r="BE496" s="43">
        <f t="shared" si="452"/>
        <v>94.242515130099648</v>
      </c>
      <c r="BF496" s="41" t="str">
        <f t="shared" si="453"/>
        <v>0.00449555931195627-0.018425245092287i</v>
      </c>
      <c r="BG496" s="20">
        <f t="shared" si="454"/>
        <v>-34.440599120341929</v>
      </c>
      <c r="BH496" s="43">
        <f t="shared" si="455"/>
        <v>-76.28835156314365</v>
      </c>
      <c r="BI496" s="41" t="str">
        <f t="shared" si="409"/>
        <v>0.110713085500395+0.0648666448798664i</v>
      </c>
      <c r="BJ496" s="20">
        <f t="shared" si="456"/>
        <v>-17.834364470915361</v>
      </c>
      <c r="BK496" s="43">
        <f t="shared" si="410"/>
        <v>30.365978970229445</v>
      </c>
      <c r="BL496">
        <f t="shared" si="457"/>
        <v>-34.440599120341929</v>
      </c>
      <c r="BM496" s="43">
        <f t="shared" si="458"/>
        <v>-76.28835156314365</v>
      </c>
    </row>
    <row r="497" spans="14:65" x14ac:dyDescent="0.25">
      <c r="N497" s="9">
        <v>79</v>
      </c>
      <c r="O497" s="34">
        <f t="shared" si="459"/>
        <v>616595.00186148309</v>
      </c>
      <c r="P497" s="33" t="str">
        <f t="shared" si="411"/>
        <v>19.1021967526266</v>
      </c>
      <c r="Q497" s="4" t="str">
        <f t="shared" si="412"/>
        <v>1+869.562993506651i</v>
      </c>
      <c r="R497" s="4">
        <f t="shared" si="424"/>
        <v>869.56356850793134</v>
      </c>
      <c r="S497" s="4">
        <f t="shared" si="425"/>
        <v>1.5696463243607635</v>
      </c>
      <c r="T497" s="4" t="str">
        <f t="shared" si="413"/>
        <v>1+14.5669192672234i</v>
      </c>
      <c r="U497" s="4">
        <f t="shared" si="426"/>
        <v>14.601203270203602</v>
      </c>
      <c r="V497" s="4">
        <f t="shared" si="427"/>
        <v>1.5022551666859354</v>
      </c>
      <c r="W497" t="str">
        <f t="shared" si="414"/>
        <v>1-8.07120970036758i</v>
      </c>
      <c r="X497" s="4">
        <f t="shared" si="428"/>
        <v>8.1329223546833234</v>
      </c>
      <c r="Y497" s="4">
        <f t="shared" si="429"/>
        <v>-1.4475273475371411</v>
      </c>
      <c r="Z497" t="str">
        <f t="shared" si="415"/>
        <v>0.619810603679439+6.00498001707348i</v>
      </c>
      <c r="AA497" s="4">
        <f t="shared" si="430"/>
        <v>6.0368824893222239</v>
      </c>
      <c r="AB497" s="4">
        <f t="shared" si="431"/>
        <v>1.4679444436064755</v>
      </c>
      <c r="AC497" s="47" t="str">
        <f t="shared" si="432"/>
        <v>-0.426687920954737-0.0683026446446879i</v>
      </c>
      <c r="AD497" s="20">
        <f t="shared" si="433"/>
        <v>-7.2879094244554832</v>
      </c>
      <c r="AE497" s="43">
        <f t="shared" si="434"/>
        <v>-170.90545783324416</v>
      </c>
      <c r="AF497" t="str">
        <f t="shared" si="416"/>
        <v>69.5520360182888</v>
      </c>
      <c r="AG497" t="str">
        <f t="shared" si="417"/>
        <v>1+693.662822248734i</v>
      </c>
      <c r="AH497">
        <f t="shared" si="435"/>
        <v>693.66354305965854</v>
      </c>
      <c r="AI497">
        <f t="shared" si="436"/>
        <v>1.5693547051955143</v>
      </c>
      <c r="AJ497" t="str">
        <f t="shared" si="418"/>
        <v>1+14.5669192672234i</v>
      </c>
      <c r="AK497">
        <f t="shared" si="437"/>
        <v>14.601203270203602</v>
      </c>
      <c r="AL497">
        <f t="shared" si="438"/>
        <v>1.5022551666859354</v>
      </c>
      <c r="AM497" t="str">
        <f t="shared" si="419"/>
        <v>1-1.76831344769834i</v>
      </c>
      <c r="AN497">
        <f t="shared" si="439"/>
        <v>2.0314852815885205</v>
      </c>
      <c r="AO497">
        <f t="shared" si="440"/>
        <v>-1.0561228242253002</v>
      </c>
      <c r="AP497" s="41" t="str">
        <f t="shared" si="441"/>
        <v>1.28715315613937-2.68119801051391i</v>
      </c>
      <c r="AQ497">
        <f t="shared" si="442"/>
        <v>9.4672661015277644</v>
      </c>
      <c r="AR497" s="43">
        <f t="shared" si="443"/>
        <v>-64.355900839420983</v>
      </c>
      <c r="AS497" t="str">
        <f t="shared" si="420"/>
        <v>-0.0000166666666666667</v>
      </c>
      <c r="AT497" t="str">
        <f t="shared" si="421"/>
        <v>0.0131722142309999i</v>
      </c>
      <c r="AU497">
        <f t="shared" si="444"/>
        <v>1.31722142309999E-2</v>
      </c>
      <c r="AV497">
        <f t="shared" si="445"/>
        <v>1.5707963267948966</v>
      </c>
      <c r="AW497" t="str">
        <f t="shared" si="422"/>
        <v>1+13.3864336319885i</v>
      </c>
      <c r="AX497">
        <f t="shared" si="446"/>
        <v>13.423732915386569</v>
      </c>
      <c r="AY497">
        <f t="shared" si="447"/>
        <v>1.4962323259004364</v>
      </c>
      <c r="AZ497" t="str">
        <f t="shared" si="423"/>
        <v>1+455.138743487608i</v>
      </c>
      <c r="BA497">
        <f t="shared" si="448"/>
        <v>455.1398420523945</v>
      </c>
      <c r="BB497">
        <f t="shared" si="449"/>
        <v>1.568599198105715</v>
      </c>
      <c r="BC497" s="41" t="str">
        <f t="shared" si="450"/>
        <v>-0.00310185996838411+0.0427881322777461i</v>
      </c>
      <c r="BD497">
        <f t="shared" si="451"/>
        <v>-27.350769679518908</v>
      </c>
      <c r="BE497" s="43">
        <f t="shared" si="452"/>
        <v>94.14631635392503</v>
      </c>
      <c r="BF497" s="41" t="str">
        <f t="shared" si="453"/>
        <v>0.00424606877497933-0.0180453139639696i</v>
      </c>
      <c r="BG497" s="20">
        <f t="shared" si="454"/>
        <v>-34.638679103974411</v>
      </c>
      <c r="BH497" s="43">
        <f t="shared" si="455"/>
        <v>-76.759141479319098</v>
      </c>
      <c r="BI497" s="41" t="str">
        <f t="shared" si="409"/>
        <v>0.110730886288491+0.063391580282734i</v>
      </c>
      <c r="BJ497" s="20">
        <f t="shared" si="456"/>
        <v>-17.883503577991139</v>
      </c>
      <c r="BK497" s="43">
        <f t="shared" si="410"/>
        <v>29.790415514504041</v>
      </c>
      <c r="BL497">
        <f t="shared" si="457"/>
        <v>-34.638679103974411</v>
      </c>
      <c r="BM497" s="43">
        <f t="shared" si="458"/>
        <v>-76.759141479319098</v>
      </c>
    </row>
    <row r="498" spans="14:65" x14ac:dyDescent="0.25">
      <c r="N498" s="9">
        <v>80</v>
      </c>
      <c r="O498" s="34">
        <f t="shared" si="459"/>
        <v>630957.34448019415</v>
      </c>
      <c r="P498" s="33" t="str">
        <f t="shared" si="411"/>
        <v>19.1021967526266</v>
      </c>
      <c r="Q498" s="4" t="str">
        <f t="shared" si="412"/>
        <v>1+889.81771760203i</v>
      </c>
      <c r="R498" s="4">
        <f t="shared" si="424"/>
        <v>889.81827951469165</v>
      </c>
      <c r="S498" s="4">
        <f t="shared" si="425"/>
        <v>1.5696725015897743</v>
      </c>
      <c r="T498" s="4" t="str">
        <f t="shared" si="413"/>
        <v>1+14.9062264052692i</v>
      </c>
      <c r="U498" s="4">
        <f t="shared" si="426"/>
        <v>14.939731779558318</v>
      </c>
      <c r="V498" s="4">
        <f t="shared" si="427"/>
        <v>1.5038106369879483</v>
      </c>
      <c r="W498" t="str">
        <f t="shared" si="414"/>
        <v>1-8.25921232561458i</v>
      </c>
      <c r="X498" s="4">
        <f t="shared" si="428"/>
        <v>8.319530529998902</v>
      </c>
      <c r="Y498" s="4">
        <f t="shared" si="429"/>
        <v>-1.4503059027216225</v>
      </c>
      <c r="Z498" t="str">
        <f t="shared" si="415"/>
        <v>0.601892829446504+6.14485397025725i</v>
      </c>
      <c r="AA498" s="4">
        <f t="shared" si="430"/>
        <v>6.174261518102826</v>
      </c>
      <c r="AB498" s="4">
        <f t="shared" si="431"/>
        <v>1.473157080027099</v>
      </c>
      <c r="AC498" s="47" t="str">
        <f t="shared" si="432"/>
        <v>-0.427153874565307-0.0655491645719167i</v>
      </c>
      <c r="AD498" s="20">
        <f t="shared" si="433"/>
        <v>-7.2872281912277961</v>
      </c>
      <c r="AE498" s="43">
        <f t="shared" si="434"/>
        <v>-171.27569734677544</v>
      </c>
      <c r="AF498" t="str">
        <f t="shared" si="416"/>
        <v>69.5520360182888</v>
      </c>
      <c r="AG498" t="str">
        <f t="shared" si="417"/>
        <v>1+709.82030501282i</v>
      </c>
      <c r="AH498">
        <f t="shared" si="435"/>
        <v>709.82100941610111</v>
      </c>
      <c r="AI498">
        <f t="shared" si="436"/>
        <v>1.5693875204655208</v>
      </c>
      <c r="AJ498" t="str">
        <f t="shared" si="418"/>
        <v>1+14.9062264052692i</v>
      </c>
      <c r="AK498">
        <f t="shared" si="437"/>
        <v>14.939731779558318</v>
      </c>
      <c r="AL498">
        <f t="shared" si="438"/>
        <v>1.5038106369879483</v>
      </c>
      <c r="AM498" t="str">
        <f t="shared" si="419"/>
        <v>1-1.80950275918553i</v>
      </c>
      <c r="AN498">
        <f t="shared" si="439"/>
        <v>2.0674380850463323</v>
      </c>
      <c r="AO498">
        <f t="shared" si="440"/>
        <v>-1.0659300303177814</v>
      </c>
      <c r="AP498" s="41" t="str">
        <f t="shared" si="441"/>
        <v>1.28714677080403-2.73911869439473i</v>
      </c>
      <c r="AQ498">
        <f t="shared" si="442"/>
        <v>9.6187262195007257</v>
      </c>
      <c r="AR498" s="43">
        <f t="shared" si="443"/>
        <v>-64.830570650346814</v>
      </c>
      <c r="AS498" t="str">
        <f t="shared" si="420"/>
        <v>-0.0000166666666666667</v>
      </c>
      <c r="AT498" t="str">
        <f t="shared" si="421"/>
        <v>0.013479034515403i</v>
      </c>
      <c r="AU498">
        <f t="shared" si="444"/>
        <v>1.3479034515403001E-2</v>
      </c>
      <c r="AV498">
        <f t="shared" si="445"/>
        <v>1.5707963267948966</v>
      </c>
      <c r="AW498" t="str">
        <f t="shared" si="422"/>
        <v>1+13.6982437272452i</v>
      </c>
      <c r="AX498">
        <f t="shared" si="446"/>
        <v>13.734696254777987</v>
      </c>
      <c r="AY498">
        <f t="shared" si="447"/>
        <v>1.4979235377658053</v>
      </c>
      <c r="AZ498" t="str">
        <f t="shared" si="423"/>
        <v>1+465.740286726336i</v>
      </c>
      <c r="BA498">
        <f t="shared" si="448"/>
        <v>465.74136028479336</v>
      </c>
      <c r="BB498">
        <f t="shared" si="449"/>
        <v>1.5686492107050991</v>
      </c>
      <c r="BC498" s="41" t="str">
        <f t="shared" si="450"/>
        <v>-0.00296299333472492+0.0418242930272104i</v>
      </c>
      <c r="BD498">
        <f t="shared" si="451"/>
        <v>-27.549685757324319</v>
      </c>
      <c r="BE498" s="43">
        <f t="shared" si="452"/>
        <v>94.052282562644152</v>
      </c>
      <c r="BF498" s="41" t="str">
        <f t="shared" si="453"/>
        <v>0.00400720154998361-0.0176711870798043i</v>
      </c>
      <c r="BG498" s="20">
        <f t="shared" si="454"/>
        <v>-34.836913948552109</v>
      </c>
      <c r="BH498" s="43">
        <f t="shared" si="455"/>
        <v>-77.223414784131279</v>
      </c>
      <c r="BI498" s="41" t="str">
        <f t="shared" ref="BI498:BI560" si="460">IMPRODUCT(AP498,BC498)</f>
        <v>0.11074789560797+0.0619499941456474i</v>
      </c>
      <c r="BJ498" s="20">
        <f t="shared" si="456"/>
        <v>-17.930959537823593</v>
      </c>
      <c r="BK498" s="43">
        <f t="shared" ref="BK498:BK560" si="461">(180/PI())*IMARGUMENT(BI498)</f>
        <v>29.221711912297373</v>
      </c>
      <c r="BL498">
        <f t="shared" si="457"/>
        <v>-34.836913948552109</v>
      </c>
      <c r="BM498" s="43">
        <f t="shared" si="458"/>
        <v>-77.223414784131279</v>
      </c>
    </row>
    <row r="499" spans="14:65" x14ac:dyDescent="0.25">
      <c r="N499" s="9">
        <v>81</v>
      </c>
      <c r="O499" s="34">
        <f t="shared" si="459"/>
        <v>645654.22903465747</v>
      </c>
      <c r="P499" s="33" t="str">
        <f t="shared" si="411"/>
        <v>19.1021967526266</v>
      </c>
      <c r="Q499" s="4" t="str">
        <f t="shared" si="412"/>
        <v>1+910.544234829414i</v>
      </c>
      <c r="R499" s="4">
        <f t="shared" si="424"/>
        <v>910.54478395138972</v>
      </c>
      <c r="S499" s="4">
        <f t="shared" si="425"/>
        <v>1.5696980829537934</v>
      </c>
      <c r="T499" s="4" t="str">
        <f t="shared" si="413"/>
        <v>1+15.2534370218623i</v>
      </c>
      <c r="U499" s="4">
        <f t="shared" si="426"/>
        <v>15.286181373381627</v>
      </c>
      <c r="V499" s="4">
        <f t="shared" si="427"/>
        <v>1.5053310142106169</v>
      </c>
      <c r="W499" t="str">
        <f t="shared" si="414"/>
        <v>1-8.45159409456025i</v>
      </c>
      <c r="X499" s="4">
        <f t="shared" si="428"/>
        <v>8.5105489093950748</v>
      </c>
      <c r="Y499" s="4">
        <f t="shared" si="429"/>
        <v>-1.453023017949308</v>
      </c>
      <c r="Z499" t="str">
        <f t="shared" si="415"/>
        <v>0.583130616529663+6.28798600635282i</v>
      </c>
      <c r="AA499" s="4">
        <f t="shared" si="430"/>
        <v>6.3149670887521774</v>
      </c>
      <c r="AB499" s="4">
        <f t="shared" si="431"/>
        <v>1.4783235526217924</v>
      </c>
      <c r="AC499" s="47" t="str">
        <f t="shared" si="432"/>
        <v>-0.427592388610726-0.0628230287463589i</v>
      </c>
      <c r="AD499" s="20">
        <f t="shared" si="433"/>
        <v>-7.2866501643682602</v>
      </c>
      <c r="AE499" s="43">
        <f t="shared" si="434"/>
        <v>-171.64174816248425</v>
      </c>
      <c r="AF499" t="str">
        <f t="shared" si="416"/>
        <v>69.5520360182888</v>
      </c>
      <c r="AG499" t="str">
        <f t="shared" si="417"/>
        <v>1+726.354143898207i</v>
      </c>
      <c r="AH499">
        <f t="shared" si="435"/>
        <v>726.35483226732731</v>
      </c>
      <c r="AI499">
        <f t="shared" si="436"/>
        <v>1.5694195887717188</v>
      </c>
      <c r="AJ499" t="str">
        <f t="shared" si="418"/>
        <v>1+15.2534370218623i</v>
      </c>
      <c r="AK499">
        <f t="shared" si="437"/>
        <v>15.286181373381627</v>
      </c>
      <c r="AL499">
        <f t="shared" si="438"/>
        <v>1.5053310142106169</v>
      </c>
      <c r="AM499" t="str">
        <f t="shared" si="419"/>
        <v>1-1.85165149298724i</v>
      </c>
      <c r="AN499">
        <f t="shared" si="439"/>
        <v>2.104427060147696</v>
      </c>
      <c r="AO499">
        <f t="shared" si="440"/>
        <v>-1.0756178252192123</v>
      </c>
      <c r="AP499" s="41" t="str">
        <f t="shared" si="441"/>
        <v>1.287140672855-2.79849169445387i</v>
      </c>
      <c r="AQ499">
        <f t="shared" si="442"/>
        <v>9.7718780698836945</v>
      </c>
      <c r="AR499" s="43">
        <f t="shared" si="443"/>
        <v>-65.300366591461724</v>
      </c>
      <c r="AS499" t="str">
        <f t="shared" si="420"/>
        <v>-0.0000166666666666667</v>
      </c>
      <c r="AT499" t="str">
        <f t="shared" si="421"/>
        <v>0.0137930015623223i</v>
      </c>
      <c r="AU499">
        <f t="shared" si="444"/>
        <v>1.3793001562322301E-2</v>
      </c>
      <c r="AV499">
        <f t="shared" si="445"/>
        <v>1.5707963267948966</v>
      </c>
      <c r="AW499" t="str">
        <f t="shared" si="422"/>
        <v>1+14.0173168126438i</v>
      </c>
      <c r="AX499">
        <f t="shared" si="446"/>
        <v>14.052941707202322</v>
      </c>
      <c r="AY499">
        <f t="shared" si="447"/>
        <v>1.4995766565684507</v>
      </c>
      <c r="AZ499" t="str">
        <f t="shared" si="423"/>
        <v>1+476.58877162989i</v>
      </c>
      <c r="BA499">
        <f t="shared" si="448"/>
        <v>476.58982075122776</v>
      </c>
      <c r="BB499">
        <f t="shared" si="449"/>
        <v>1.5686980848891128</v>
      </c>
      <c r="BC499" s="41" t="str">
        <f t="shared" si="450"/>
        <v>-0.00283031194143009+0.0408817214206678i</v>
      </c>
      <c r="BD499">
        <f t="shared" si="451"/>
        <v>-27.748650366625441</v>
      </c>
      <c r="BE499" s="43">
        <f t="shared" si="452"/>
        <v>93.960366116689983</v>
      </c>
      <c r="BF499" s="41" t="str">
        <f t="shared" si="453"/>
        <v>0.0037785334035608-0.017302904144324i</v>
      </c>
      <c r="BG499" s="20">
        <f t="shared" si="454"/>
        <v>-35.035300530993702</v>
      </c>
      <c r="BH499" s="43">
        <f t="shared" si="455"/>
        <v>-77.681382045794265</v>
      </c>
      <c r="BI499" s="41" t="str">
        <f t="shared" si="460"/>
        <v>0.110764148234034+0.0605411308776747i</v>
      </c>
      <c r="BJ499" s="20">
        <f t="shared" si="456"/>
        <v>-17.976772296741739</v>
      </c>
      <c r="BK499" s="43">
        <f t="shared" si="461"/>
        <v>28.659999525228226</v>
      </c>
      <c r="BL499">
        <f t="shared" si="457"/>
        <v>-35.035300530993702</v>
      </c>
      <c r="BM499" s="43">
        <f t="shared" si="458"/>
        <v>-77.681382045794265</v>
      </c>
    </row>
    <row r="500" spans="14:65" x14ac:dyDescent="0.25">
      <c r="N500" s="9">
        <v>82</v>
      </c>
      <c r="O500" s="34">
        <f t="shared" si="459"/>
        <v>660693.44800759677</v>
      </c>
      <c r="P500" s="33" t="str">
        <f t="shared" si="411"/>
        <v>19.1021967526266</v>
      </c>
      <c r="Q500" s="4" t="str">
        <f t="shared" si="412"/>
        <v>1+931.753534662579i</v>
      </c>
      <c r="R500" s="4">
        <f t="shared" si="424"/>
        <v>931.7540712850199</v>
      </c>
      <c r="S500" s="4">
        <f t="shared" si="425"/>
        <v>1.5697230820162646</v>
      </c>
      <c r="T500" s="4" t="str">
        <f t="shared" si="413"/>
        <v>1+15.6087352126675i</v>
      </c>
      <c r="U500" s="4">
        <f t="shared" si="426"/>
        <v>15.640735754406387</v>
      </c>
      <c r="V500" s="4">
        <f t="shared" si="427"/>
        <v>1.5068170763468565</v>
      </c>
      <c r="W500" t="str">
        <f t="shared" si="414"/>
        <v>1-8.6484570105649i</v>
      </c>
      <c r="X500" s="4">
        <f t="shared" si="428"/>
        <v>8.7060788339865827</v>
      </c>
      <c r="Y500" s="4">
        <f t="shared" si="429"/>
        <v>-1.4556799733068879</v>
      </c>
      <c r="Z500" t="str">
        <f t="shared" si="415"/>
        <v>0.563484167759835+6.43445201586028i</v>
      </c>
      <c r="AA500" s="4">
        <f t="shared" si="430"/>
        <v>6.4590778871077577</v>
      </c>
      <c r="AB500" s="4">
        <f t="shared" si="431"/>
        <v>1.4834461841754318</v>
      </c>
      <c r="AC500" s="47" t="str">
        <f t="shared" si="432"/>
        <v>-0.428004230055027-0.0601233313728358i</v>
      </c>
      <c r="AD500" s="20">
        <f t="shared" si="433"/>
        <v>-7.2861746483036356</v>
      </c>
      <c r="AE500" s="43">
        <f t="shared" si="434"/>
        <v>-172.00377291112298</v>
      </c>
      <c r="AF500" t="str">
        <f t="shared" si="416"/>
        <v>69.5520360182888</v>
      </c>
      <c r="AG500" t="str">
        <f t="shared" si="417"/>
        <v>1+743.273105365121i</v>
      </c>
      <c r="AH500">
        <f t="shared" si="435"/>
        <v>743.27377806506138</v>
      </c>
      <c r="AI500">
        <f t="shared" si="436"/>
        <v>1.5694509271168846</v>
      </c>
      <c r="AJ500" t="str">
        <f t="shared" si="418"/>
        <v>1+15.6087352126675i</v>
      </c>
      <c r="AK500">
        <f t="shared" si="437"/>
        <v>15.640735754406387</v>
      </c>
      <c r="AL500">
        <f t="shared" si="438"/>
        <v>1.5068170763468565</v>
      </c>
      <c r="AM500" t="str">
        <f t="shared" si="419"/>
        <v>1-1.89478199692004i</v>
      </c>
      <c r="AN500">
        <f t="shared" si="439"/>
        <v>2.1424749277068083</v>
      </c>
      <c r="AO500">
        <f t="shared" si="440"/>
        <v>-1.0851840709049698</v>
      </c>
      <c r="AP500" s="41" t="str">
        <f t="shared" si="441"/>
        <v>1.28713484935787-2.85934849109594i</v>
      </c>
      <c r="AQ500">
        <f t="shared" si="442"/>
        <v>9.9266792649901578</v>
      </c>
      <c r="AR500" s="43">
        <f t="shared" si="443"/>
        <v>-65.765122561455101</v>
      </c>
      <c r="AS500" t="str">
        <f t="shared" si="420"/>
        <v>-0.0000166666666666667</v>
      </c>
      <c r="AT500" t="str">
        <f t="shared" si="421"/>
        <v>0.0141142818412419i</v>
      </c>
      <c r="AU500">
        <f t="shared" si="444"/>
        <v>1.41142818412419E-2</v>
      </c>
      <c r="AV500">
        <f t="shared" si="445"/>
        <v>1.5707963267948966</v>
      </c>
      <c r="AW500" t="str">
        <f t="shared" si="422"/>
        <v>1+14.3438220649576i</v>
      </c>
      <c r="AX500">
        <f t="shared" si="446"/>
        <v>14.37863802420676</v>
      </c>
      <c r="AY500">
        <f t="shared" si="447"/>
        <v>1.5011925226524063</v>
      </c>
      <c r="AZ500" t="str">
        <f t="shared" si="423"/>
        <v>1+487.689950208559i</v>
      </c>
      <c r="BA500">
        <f t="shared" si="448"/>
        <v>487.69097544903036</v>
      </c>
      <c r="BB500">
        <f t="shared" si="449"/>
        <v>1.568745846570561</v>
      </c>
      <c r="BC500" s="41" t="str">
        <f t="shared" si="450"/>
        <v>-0.00270354306509992+0.0399599777019246i</v>
      </c>
      <c r="BD500">
        <f t="shared" si="451"/>
        <v>-27.947661345299682</v>
      </c>
      <c r="BE500" s="43">
        <f t="shared" si="452"/>
        <v>93.870520352590404</v>
      </c>
      <c r="BF500" s="41" t="str">
        <f t="shared" si="453"/>
        <v>0.00355965484902264-0.0169404934737446i</v>
      </c>
      <c r="BG500" s="20">
        <f t="shared" si="454"/>
        <v>-35.2338359936033</v>
      </c>
      <c r="BH500" s="43">
        <f t="shared" si="455"/>
        <v>-78.133252558532604</v>
      </c>
      <c r="BI500" s="41" t="str">
        <f t="shared" si="460"/>
        <v>0.110779677450396+0.0591642516635169i</v>
      </c>
      <c r="BJ500" s="20">
        <f t="shared" si="456"/>
        <v>-18.020982080309501</v>
      </c>
      <c r="BK500" s="43">
        <f t="shared" si="461"/>
        <v>28.105397791135221</v>
      </c>
      <c r="BL500">
        <f t="shared" si="457"/>
        <v>-35.2338359936033</v>
      </c>
      <c r="BM500" s="43">
        <f t="shared" si="458"/>
        <v>-78.133252558532604</v>
      </c>
    </row>
    <row r="501" spans="14:65" x14ac:dyDescent="0.25">
      <c r="N501" s="9">
        <v>83</v>
      </c>
      <c r="O501" s="34">
        <f t="shared" si="459"/>
        <v>676082.97539198259</v>
      </c>
      <c r="P501" s="33" t="str">
        <f t="shared" si="411"/>
        <v>19.1021967526266</v>
      </c>
      <c r="Q501" s="4" t="str">
        <f t="shared" si="412"/>
        <v>1+953.45686255304i</v>
      </c>
      <c r="R501" s="4">
        <f t="shared" si="424"/>
        <v>953.45738696046965</v>
      </c>
      <c r="S501" s="4">
        <f t="shared" si="425"/>
        <v>1.5697475120318967</v>
      </c>
      <c r="T501" s="4" t="str">
        <f t="shared" si="413"/>
        <v>1+15.9723093614885i</v>
      </c>
      <c r="U501" s="4">
        <f t="shared" si="426"/>
        <v>16.003582921930114</v>
      </c>
      <c r="V501" s="4">
        <f t="shared" si="427"/>
        <v>1.5082695850573618</v>
      </c>
      <c r="W501" t="str">
        <f t="shared" si="414"/>
        <v>1-8.84990545295242i</v>
      </c>
      <c r="X501" s="4">
        <f t="shared" si="428"/>
        <v>8.9062240330118012</v>
      </c>
      <c r="Y501" s="4">
        <f t="shared" si="429"/>
        <v>-1.4582780274140223</v>
      </c>
      <c r="Z501" t="str">
        <f t="shared" si="415"/>
        <v>0.542911810385124+6.5843296569966i</v>
      </c>
      <c r="AA501" s="4">
        <f t="shared" si="430"/>
        <v>6.6066746753461842</v>
      </c>
      <c r="AB501" s="4">
        <f t="shared" si="431"/>
        <v>1.4885272969072982</v>
      </c>
      <c r="AC501" s="47" t="str">
        <f t="shared" si="432"/>
        <v>-0.428390123829336-0.0574491524610251i</v>
      </c>
      <c r="AD501" s="20">
        <f t="shared" si="433"/>
        <v>-7.2858011157077058</v>
      </c>
      <c r="AE501" s="43">
        <f t="shared" si="434"/>
        <v>-172.36193387914574</v>
      </c>
      <c r="AF501" t="str">
        <f t="shared" si="416"/>
        <v>69.5520360182888</v>
      </c>
      <c r="AG501" t="str">
        <f t="shared" si="417"/>
        <v>1+760.586160070883i</v>
      </c>
      <c r="AH501">
        <f t="shared" si="435"/>
        <v>760.58681745831677</v>
      </c>
      <c r="AI501">
        <f t="shared" si="436"/>
        <v>1.5694815521167773</v>
      </c>
      <c r="AJ501" t="str">
        <f t="shared" si="418"/>
        <v>1+15.9723093614885i</v>
      </c>
      <c r="AK501">
        <f t="shared" si="437"/>
        <v>16.003582921930114</v>
      </c>
      <c r="AL501">
        <f t="shared" si="438"/>
        <v>1.5082695850573618</v>
      </c>
      <c r="AM501" t="str">
        <f t="shared" si="419"/>
        <v>1-1.93891713934801i</v>
      </c>
      <c r="AN501">
        <f t="shared" si="439"/>
        <v>2.1816048389333647</v>
      </c>
      <c r="AO501">
        <f t="shared" si="440"/>
        <v>-1.0946268352164295</v>
      </c>
      <c r="AP501" s="41" t="str">
        <f t="shared" si="441"/>
        <v>1.28712928796036-2.92172135145048i</v>
      </c>
      <c r="AQ501">
        <f t="shared" si="442"/>
        <v>10.083087330553994</v>
      </c>
      <c r="AR501" s="43">
        <f t="shared" si="443"/>
        <v>-66.224685167861963</v>
      </c>
      <c r="AS501" t="str">
        <f t="shared" si="420"/>
        <v>-0.0000166666666666667</v>
      </c>
      <c r="AT501" t="str">
        <f t="shared" si="421"/>
        <v>0.0144430456992184i</v>
      </c>
      <c r="AU501">
        <f t="shared" si="444"/>
        <v>1.44430456992184E-2</v>
      </c>
      <c r="AV501">
        <f t="shared" si="445"/>
        <v>1.5707963267948966</v>
      </c>
      <c r="AW501" t="str">
        <f t="shared" si="422"/>
        <v>1+14.6779326015932i</v>
      </c>
      <c r="AX501">
        <f t="shared" si="446"/>
        <v>14.711957906985477</v>
      </c>
      <c r="AY501">
        <f t="shared" si="447"/>
        <v>1.5027719589997979</v>
      </c>
      <c r="AZ501" t="str">
        <f t="shared" si="423"/>
        <v>1+499.049708454168i</v>
      </c>
      <c r="BA501">
        <f t="shared" si="448"/>
        <v>499.05071035736449</v>
      </c>
      <c r="BB501">
        <f t="shared" si="449"/>
        <v>1.5687925210724472</v>
      </c>
      <c r="BC501" s="41" t="str">
        <f t="shared" si="450"/>
        <v>-0.00258242576447206+0.0390586292182918i</v>
      </c>
      <c r="BD501">
        <f t="shared" si="451"/>
        <v>-28.146716626600824</v>
      </c>
      <c r="BE501" s="43">
        <f t="shared" si="452"/>
        <v>93.782699567844276</v>
      </c>
      <c r="BF501" s="41" t="str">
        <f t="shared" si="453"/>
        <v>0.00335017083790255-0.0165839728359657i</v>
      </c>
      <c r="BG501" s="20">
        <f t="shared" si="454"/>
        <v>-35.432517742308541</v>
      </c>
      <c r="BH501" s="43">
        <f t="shared" si="455"/>
        <v>-78.579234311301462</v>
      </c>
      <c r="BI501" s="41" t="str">
        <f t="shared" si="460"/>
        <v>0.110794515110035+0.0578186341090415i</v>
      </c>
      <c r="BJ501" s="20">
        <f t="shared" si="456"/>
        <v>-18.063629296046852</v>
      </c>
      <c r="BK501" s="43">
        <f t="shared" si="461"/>
        <v>27.558014399982405</v>
      </c>
      <c r="BL501">
        <f t="shared" si="457"/>
        <v>-35.432517742308541</v>
      </c>
      <c r="BM501" s="43">
        <f t="shared" si="458"/>
        <v>-78.579234311301462</v>
      </c>
    </row>
    <row r="502" spans="14:65" x14ac:dyDescent="0.25">
      <c r="N502" s="9">
        <v>84</v>
      </c>
      <c r="O502" s="34">
        <f t="shared" si="459"/>
        <v>691830.97091893724</v>
      </c>
      <c r="P502" s="33" t="str">
        <f t="shared" si="411"/>
        <v>19.1021967526266</v>
      </c>
      <c r="Q502" s="4" t="str">
        <f t="shared" si="412"/>
        <v>1+975.66572589252i</v>
      </c>
      <c r="R502" s="4">
        <f t="shared" si="424"/>
        <v>975.66623836298538</v>
      </c>
      <c r="S502" s="4">
        <f t="shared" si="425"/>
        <v>1.5697713859536906</v>
      </c>
      <c r="T502" s="4" t="str">
        <f t="shared" si="413"/>
        <v>1+16.3443522401515i</v>
      </c>
      <c r="U502" s="4">
        <f t="shared" si="426"/>
        <v>16.374915271540964</v>
      </c>
      <c r="V502" s="4">
        <f t="shared" si="427"/>
        <v>1.5096892859518432</v>
      </c>
      <c r="W502" t="str">
        <f t="shared" si="414"/>
        <v>1-9.05604623235344i</v>
      </c>
      <c r="X502" s="4">
        <f t="shared" si="428"/>
        <v>9.1110906790857342</v>
      </c>
      <c r="Y502" s="4">
        <f t="shared" si="429"/>
        <v>-1.4608184174249943</v>
      </c>
      <c r="Z502" t="str">
        <f t="shared" si="415"/>
        <v>0.521369907677362+6.73769839687095i</v>
      </c>
      <c r="AA502" s="4">
        <f t="shared" si="430"/>
        <v>6.7578403553079642</v>
      </c>
      <c r="AB502" s="4">
        <f t="shared" si="431"/>
        <v>1.4935692120486146</v>
      </c>
      <c r="AC502" s="47" t="str">
        <f t="shared" si="432"/>
        <v>-0.428750753264152-0.0547995592893254i</v>
      </c>
      <c r="AD502" s="20">
        <f t="shared" si="433"/>
        <v>-7.2855292100411875</v>
      </c>
      <c r="AE502" s="43">
        <f t="shared" si="434"/>
        <v>-172.71639296888668</v>
      </c>
      <c r="AF502" t="str">
        <f t="shared" si="416"/>
        <v>69.5520360182888</v>
      </c>
      <c r="AG502" t="str">
        <f t="shared" si="417"/>
        <v>1+778.302487626262i</v>
      </c>
      <c r="AH502">
        <f t="shared" si="435"/>
        <v>778.30313004974323</v>
      </c>
      <c r="AI502">
        <f t="shared" si="436"/>
        <v>1.5695114800089474</v>
      </c>
      <c r="AJ502" t="str">
        <f t="shared" si="418"/>
        <v>1+16.3443522401515i</v>
      </c>
      <c r="AK502">
        <f t="shared" si="437"/>
        <v>16.374915271540964</v>
      </c>
      <c r="AL502">
        <f t="shared" si="438"/>
        <v>1.5096892859518432</v>
      </c>
      <c r="AM502" t="str">
        <f t="shared" si="419"/>
        <v>1-1.98408032130786i</v>
      </c>
      <c r="AN502">
        <f t="shared" si="439"/>
        <v>2.2218403906224005</v>
      </c>
      <c r="AO502">
        <f t="shared" si="440"/>
        <v>-1.1039443881938684</v>
      </c>
      <c r="AP502" s="41" t="str">
        <f t="shared" si="441"/>
        <v>1.28712397686613-2.98564334648076i</v>
      </c>
      <c r="AQ502">
        <f t="shared" si="442"/>
        <v>10.241059794694314</v>
      </c>
      <c r="AR502" s="43">
        <f t="shared" si="443"/>
        <v>-66.678913501345079</v>
      </c>
      <c r="AS502" t="str">
        <f t="shared" si="420"/>
        <v>-0.0000166666666666667</v>
      </c>
      <c r="AT502" t="str">
        <f t="shared" si="421"/>
        <v>0.0147794674512008i</v>
      </c>
      <c r="AU502">
        <f t="shared" si="444"/>
        <v>1.47794674512008E-2</v>
      </c>
      <c r="AV502">
        <f t="shared" si="445"/>
        <v>1.5707963267948966</v>
      </c>
      <c r="AW502" t="str">
        <f t="shared" si="422"/>
        <v>1+15.0198255723795i</v>
      </c>
      <c r="AX502">
        <f t="shared" si="446"/>
        <v>15.053078098007237</v>
      </c>
      <c r="AY502">
        <f t="shared" si="447"/>
        <v>1.50431577151023</v>
      </c>
      <c r="AZ502" t="str">
        <f t="shared" si="423"/>
        <v>1+510.674069460903i</v>
      </c>
      <c r="BA502">
        <f t="shared" si="448"/>
        <v>510.67504855804265</v>
      </c>
      <c r="BB502">
        <f t="shared" si="449"/>
        <v>1.5688381331413963</v>
      </c>
      <c r="BC502" s="41" t="str">
        <f t="shared" si="450"/>
        <v>-0.00246671039277239+0.0381772504470944i</v>
      </c>
      <c r="BD502">
        <f t="shared" si="451"/>
        <v>-28.345814235034599</v>
      </c>
      <c r="BE502" s="43">
        <f t="shared" si="452"/>
        <v>93.696859005682683</v>
      </c>
      <c r="BF502" s="41" t="str">
        <f t="shared" si="453"/>
        <v>0.00314970043836465-0.0162333502443276i</v>
      </c>
      <c r="BG502" s="20">
        <f t="shared" si="454"/>
        <v>-35.631343445075771</v>
      </c>
      <c r="BH502" s="43">
        <f t="shared" si="455"/>
        <v>-79.019533963204012</v>
      </c>
      <c r="BI502" s="41" t="str">
        <f t="shared" si="460"/>
        <v>0.110808691693775+0.0565035718931542i</v>
      </c>
      <c r="BJ502" s="20">
        <f t="shared" si="456"/>
        <v>-18.104754440340272</v>
      </c>
      <c r="BK502" s="43">
        <f t="shared" si="461"/>
        <v>27.017945504337558</v>
      </c>
      <c r="BL502">
        <f t="shared" si="457"/>
        <v>-35.631343445075771</v>
      </c>
      <c r="BM502" s="43">
        <f t="shared" si="458"/>
        <v>-79.019533963204012</v>
      </c>
    </row>
    <row r="503" spans="14:65" x14ac:dyDescent="0.25">
      <c r="N503" s="9">
        <v>85</v>
      </c>
      <c r="O503" s="34">
        <f t="shared" si="459"/>
        <v>707945.78438413853</v>
      </c>
      <c r="P503" s="33" t="str">
        <f t="shared" si="411"/>
        <v>19.1021967526266</v>
      </c>
      <c r="Q503" s="4" t="str">
        <f t="shared" si="412"/>
        <v>1+998.391900114332i</v>
      </c>
      <c r="R503" s="4">
        <f t="shared" si="424"/>
        <v>998.39240091955139</v>
      </c>
      <c r="S503" s="4">
        <f t="shared" si="425"/>
        <v>1.5697947164398069</v>
      </c>
      <c r="T503" s="4" t="str">
        <f t="shared" si="413"/>
        <v>1+16.7250611107153i</v>
      </c>
      <c r="U503" s="4">
        <f t="shared" si="426"/>
        <v>16.754929697171551</v>
      </c>
      <c r="V503" s="4">
        <f t="shared" si="427"/>
        <v>1.5110769088697538</v>
      </c>
      <c r="W503" t="str">
        <f t="shared" si="414"/>
        <v>1-9.26698864733781i</v>
      </c>
      <c r="X503" s="4">
        <f t="shared" si="428"/>
        <v>9.3207874447327619</v>
      </c>
      <c r="Y503" s="4">
        <f t="shared" si="429"/>
        <v>-1.4633023590601901</v>
      </c>
      <c r="Z503" t="str">
        <f t="shared" si="415"/>
        <v>0.498812766372726+6.89463955361933i</v>
      </c>
      <c r="AA503" s="4">
        <f t="shared" si="430"/>
        <v>6.9126600343303855</v>
      </c>
      <c r="AB503" s="4">
        <f t="shared" si="431"/>
        <v>1.4985742494972243</v>
      </c>
      <c r="AC503" s="47" t="str">
        <f t="shared" si="432"/>
        <v>-0.429086760527882-0.052173607784723i</v>
      </c>
      <c r="AD503" s="20">
        <f t="shared" si="433"/>
        <v>-7.2853587481219808</v>
      </c>
      <c r="AE503" s="43">
        <f t="shared" si="434"/>
        <v>-173.06731166488703</v>
      </c>
      <c r="AF503" t="str">
        <f t="shared" si="416"/>
        <v>69.5520360182888</v>
      </c>
      <c r="AG503" t="str">
        <f t="shared" si="417"/>
        <v>1+796.431481462633i</v>
      </c>
      <c r="AH503">
        <f t="shared" si="435"/>
        <v>796.43210926278221</v>
      </c>
      <c r="AI503">
        <f t="shared" si="436"/>
        <v>1.5695407266613448</v>
      </c>
      <c r="AJ503" t="str">
        <f t="shared" si="418"/>
        <v>1+16.7250611107153i</v>
      </c>
      <c r="AK503">
        <f t="shared" si="437"/>
        <v>16.754929697171551</v>
      </c>
      <c r="AL503">
        <f t="shared" si="438"/>
        <v>1.5110769088697538</v>
      </c>
      <c r="AM503" t="str">
        <f t="shared" si="419"/>
        <v>1-2.03029548891649i</v>
      </c>
      <c r="AN503">
        <f t="shared" si="439"/>
        <v>2.2632056407482395</v>
      </c>
      <c r="AO503">
        <f t="shared" si="440"/>
        <v>-1.1131351978591633</v>
      </c>
      <c r="AP503" s="41" t="str">
        <f t="shared" si="441"/>
        <v>1.28711890480973-3.05114836851861i</v>
      </c>
      <c r="AQ503">
        <f t="shared" si="442"/>
        <v>10.400554272610032</v>
      </c>
      <c r="AR503" s="43">
        <f t="shared" si="443"/>
        <v>-67.12767887847005</v>
      </c>
      <c r="AS503" t="str">
        <f t="shared" si="420"/>
        <v>-0.0000166666666666667</v>
      </c>
      <c r="AT503" t="str">
        <f t="shared" si="421"/>
        <v>0.0151237254724553i</v>
      </c>
      <c r="AU503">
        <f t="shared" si="444"/>
        <v>1.51237254724553E-2</v>
      </c>
      <c r="AV503">
        <f t="shared" si="445"/>
        <v>1.5707963267948966</v>
      </c>
      <c r="AW503" t="str">
        <f t="shared" si="422"/>
        <v>1+15.3696822534952i</v>
      </c>
      <c r="AX503">
        <f t="shared" si="446"/>
        <v>15.402179474782301</v>
      </c>
      <c r="AY503">
        <f t="shared" si="447"/>
        <v>1.5058247492813195</v>
      </c>
      <c r="AZ503" t="str">
        <f t="shared" si="423"/>
        <v>1+522.569196618838i</v>
      </c>
      <c r="BA503">
        <f t="shared" si="448"/>
        <v>522.57015342904697</v>
      </c>
      <c r="BB503">
        <f t="shared" si="449"/>
        <v>1.5688827069607714</v>
      </c>
      <c r="BC503" s="41" t="str">
        <f t="shared" si="450"/>
        <v>-0.00235615812835087+0.0373154230096332i</v>
      </c>
      <c r="BD503">
        <f t="shared" si="451"/>
        <v>-28.544952282405966</v>
      </c>
      <c r="BE503" s="43">
        <f t="shared" si="452"/>
        <v>93.612954839747132</v>
      </c>
      <c r="BF503" s="41" t="str">
        <f t="shared" si="453"/>
        <v>0.00295787650301114-0.0158886247068637i</v>
      </c>
      <c r="BG503" s="20">
        <f t="shared" si="454"/>
        <v>-35.830311030527966</v>
      </c>
      <c r="BH503" s="43">
        <f t="shared" si="455"/>
        <v>-79.454356825139868</v>
      </c>
      <c r="BI503" s="41" t="str">
        <f t="shared" si="460"/>
        <v>0.110822236366703+0.0552183744259605i</v>
      </c>
      <c r="BJ503" s="20">
        <f t="shared" si="456"/>
        <v>-18.144398009795911</v>
      </c>
      <c r="BK503" s="43">
        <f t="shared" si="461"/>
        <v>26.485275961276994</v>
      </c>
      <c r="BL503">
        <f t="shared" si="457"/>
        <v>-35.830311030527966</v>
      </c>
      <c r="BM503" s="43">
        <f t="shared" si="458"/>
        <v>-79.454356825139868</v>
      </c>
    </row>
    <row r="504" spans="14:65" x14ac:dyDescent="0.25">
      <c r="N504" s="9">
        <v>86</v>
      </c>
      <c r="O504" s="34">
        <f t="shared" si="459"/>
        <v>724435.96007499192</v>
      </c>
      <c r="P504" s="33" t="str">
        <f t="shared" si="411"/>
        <v>19.1021967526266</v>
      </c>
      <c r="Q504" s="4" t="str">
        <f t="shared" si="412"/>
        <v>1+1021.64743493686i</v>
      </c>
      <c r="R504" s="4">
        <f t="shared" si="424"/>
        <v>1021.6479243423663</v>
      </c>
      <c r="S504" s="4">
        <f t="shared" si="425"/>
        <v>1.5698175158602763</v>
      </c>
      <c r="T504" s="4" t="str">
        <f t="shared" si="413"/>
        <v>1+17.1146378300623i</v>
      </c>
      <c r="U504" s="4">
        <f t="shared" si="426"/>
        <v>17.143827695535197</v>
      </c>
      <c r="V504" s="4">
        <f t="shared" si="427"/>
        <v>1.5124331681601439</v>
      </c>
      <c r="W504" t="str">
        <f t="shared" si="414"/>
        <v>1-9.4828445423661i</v>
      </c>
      <c r="X504" s="4">
        <f t="shared" si="428"/>
        <v>9.5354255602297329</v>
      </c>
      <c r="Y504" s="4">
        <f t="shared" si="429"/>
        <v>-1.4657310466650066</v>
      </c>
      <c r="Z504" t="str">
        <f t="shared" si="415"/>
        <v>0.475192539750224+7.05523633952038i</v>
      </c>
      <c r="AA504" s="4">
        <f t="shared" si="430"/>
        <v>7.0712210937237137</v>
      </c>
      <c r="AB504" s="4">
        <f t="shared" si="431"/>
        <v>1.5035447275440887</v>
      </c>
      <c r="AC504" s="47" t="str">
        <f t="shared" si="432"/>
        <v>-0.429398747066369-0.0495703438233974i</v>
      </c>
      <c r="AD504" s="20">
        <f t="shared" si="433"/>
        <v>-7.2852897227517746</v>
      </c>
      <c r="AE504" s="43">
        <f t="shared" si="434"/>
        <v>-173.41485100594994</v>
      </c>
      <c r="AF504" t="str">
        <f t="shared" si="416"/>
        <v>69.5520360182888</v>
      </c>
      <c r="AG504" t="str">
        <f t="shared" si="417"/>
        <v>1+814.982753812493i</v>
      </c>
      <c r="AH504">
        <f t="shared" si="435"/>
        <v>814.98336732217706</v>
      </c>
      <c r="AI504">
        <f t="shared" si="436"/>
        <v>1.5695693075807313</v>
      </c>
      <c r="AJ504" t="str">
        <f t="shared" si="418"/>
        <v>1+17.1146378300623i</v>
      </c>
      <c r="AK504">
        <f t="shared" si="437"/>
        <v>17.143827695535197</v>
      </c>
      <c r="AL504">
        <f t="shared" si="438"/>
        <v>1.5124331681601439</v>
      </c>
      <c r="AM504" t="str">
        <f t="shared" si="419"/>
        <v>1-2.07758714606747i</v>
      </c>
      <c r="AN504">
        <f t="shared" si="439"/>
        <v>2.3057251244467052</v>
      </c>
      <c r="AO504">
        <f t="shared" si="440"/>
        <v>-1.1221979255037036</v>
      </c>
      <c r="AP504" s="41" t="str">
        <f>(IMDIV(IMPRODUCT(AF504,AJ504,AM504),IMPRODUCT(AG504)))</f>
        <v>1.28711406103278-3.11827114923473i</v>
      </c>
      <c r="AQ504">
        <f t="shared" si="442"/>
        <v>10.561528546798023</v>
      </c>
      <c r="AR504" s="43">
        <f t="shared" si="443"/>
        <v>-67.57086455616934</v>
      </c>
      <c r="AS504" t="str">
        <f t="shared" si="420"/>
        <v>-0.0000166666666666667</v>
      </c>
      <c r="AT504" t="str">
        <f t="shared" si="421"/>
        <v>0.0154760022931415i</v>
      </c>
      <c r="AU504">
        <f t="shared" si="444"/>
        <v>1.54760022931415E-2</v>
      </c>
      <c r="AV504">
        <f t="shared" si="445"/>
        <v>1.5707963267948966</v>
      </c>
      <c r="AW504" t="str">
        <f t="shared" si="422"/>
        <v>1+15.7276881435836i</v>
      </c>
      <c r="AX504">
        <f t="shared" si="446"/>
        <v>15.759447145817651</v>
      </c>
      <c r="AY504">
        <f t="shared" si="447"/>
        <v>1.5072996648898689</v>
      </c>
      <c r="AZ504" t="str">
        <f t="shared" si="423"/>
        <v>1+534.741396881841i</v>
      </c>
      <c r="BA504">
        <f t="shared" si="448"/>
        <v>534.74233191242922</v>
      </c>
      <c r="BB504">
        <f t="shared" si="449"/>
        <v>1.5689262661634924</v>
      </c>
      <c r="BC504" s="41" t="str">
        <f t="shared" si="450"/>
        <v>-0.00225054052309095+0.0364727356736221i</v>
      </c>
      <c r="BD504">
        <f t="shared" si="451"/>
        <v>-28.74412896403031</v>
      </c>
      <c r="BE504" s="43">
        <f t="shared" si="452"/>
        <v>93.530944158714178</v>
      </c>
      <c r="BF504" s="41" t="str">
        <f t="shared" si="453"/>
        <v>0.00277434532835868-0.0155497869328181i</v>
      </c>
      <c r="BG504" s="20">
        <f t="shared" si="454"/>
        <v>-36.029418686782073</v>
      </c>
      <c r="BH504" s="43">
        <f t="shared" si="455"/>
        <v>-79.883906847235821</v>
      </c>
      <c r="BI504" s="41" t="str">
        <f t="shared" si="460"/>
        <v>0.110835177032526+0.053962366513189i</v>
      </c>
      <c r="BJ504" s="20">
        <f t="shared" si="456"/>
        <v>-18.182600417232269</v>
      </c>
      <c r="BK504" s="43">
        <f t="shared" si="461"/>
        <v>25.960079602544759</v>
      </c>
      <c r="BL504">
        <f t="shared" si="457"/>
        <v>-36.029418686782073</v>
      </c>
      <c r="BM504" s="43">
        <f t="shared" si="458"/>
        <v>-79.883906847235821</v>
      </c>
    </row>
    <row r="505" spans="14:65" x14ac:dyDescent="0.25">
      <c r="N505" s="9">
        <v>87</v>
      </c>
      <c r="O505" s="34">
        <f t="shared" si="459"/>
        <v>741310.24130091805</v>
      </c>
      <c r="P505" s="33" t="str">
        <f t="shared" si="411"/>
        <v>19.1021967526266</v>
      </c>
      <c r="Q505" s="4" t="str">
        <f t="shared" si="412"/>
        <v>1+1045.4446607525i</v>
      </c>
      <c r="R505" s="4">
        <f t="shared" si="424"/>
        <v>1045.4451390177824</v>
      </c>
      <c r="S505" s="4">
        <f t="shared" si="425"/>
        <v>1.5698397963035584</v>
      </c>
      <c r="T505" s="4" t="str">
        <f t="shared" si="413"/>
        <v>1+17.5132889569258i</v>
      </c>
      <c r="U505" s="4">
        <f t="shared" si="426"/>
        <v>17.541815472999911</v>
      </c>
      <c r="V505" s="4">
        <f t="shared" si="427"/>
        <v>1.5137587629603069</v>
      </c>
      <c r="W505" t="str">
        <f t="shared" si="414"/>
        <v>1-9.703728367091i</v>
      </c>
      <c r="X505" s="4">
        <f t="shared" si="428"/>
        <v>9.755118872791174</v>
      </c>
      <c r="Y505" s="4">
        <f t="shared" si="429"/>
        <v>-1.4681056532939341</v>
      </c>
      <c r="Z505" t="str">
        <f t="shared" si="415"/>
        <v>0.450459126142377+7.2195739051157i</v>
      </c>
      <c r="AA505" s="4">
        <f t="shared" si="430"/>
        <v>7.2336132600348844</v>
      </c>
      <c r="AB505" s="4">
        <f t="shared" si="431"/>
        <v>1.5084829626664784</v>
      </c>
      <c r="AC505" s="47" t="str">
        <f t="shared" si="432"/>
        <v>-0.429687274038515-0.0469888044568226i</v>
      </c>
      <c r="AD505" s="20">
        <f t="shared" si="433"/>
        <v>-7.2853223054254315</v>
      </c>
      <c r="AE505" s="43">
        <f t="shared" si="434"/>
        <v>-173.75917156251941</v>
      </c>
      <c r="AF505" t="str">
        <f t="shared" si="416"/>
        <v>69.5520360182888</v>
      </c>
      <c r="AG505" t="str">
        <f t="shared" si="417"/>
        <v>1+833.966140805993i</v>
      </c>
      <c r="AH505">
        <f t="shared" si="435"/>
        <v>833.96674035050182</v>
      </c>
      <c r="AI505">
        <f t="shared" si="436"/>
        <v>1.5695972379209022</v>
      </c>
      <c r="AJ505" t="str">
        <f t="shared" si="418"/>
        <v>1+17.5132889569258i</v>
      </c>
      <c r="AK505">
        <f t="shared" si="437"/>
        <v>17.541815472999911</v>
      </c>
      <c r="AL505">
        <f t="shared" si="438"/>
        <v>1.5137587629603069</v>
      </c>
      <c r="AM505" t="str">
        <f t="shared" si="419"/>
        <v>1-2.12598036742341i</v>
      </c>
      <c r="AN505">
        <f t="shared" si="439"/>
        <v>2.349423870371155</v>
      </c>
      <c r="AO505">
        <f t="shared" si="440"/>
        <v>-1.1311314205367469</v>
      </c>
      <c r="AP505" s="41" t="str">
        <f t="shared" si="441"/>
        <v>1.28710943526106-3.18704727805424i</v>
      </c>
      <c r="AQ505">
        <f t="shared" si="442"/>
        <v>10.723940642636814</v>
      </c>
      <c r="AR505" s="43">
        <f t="shared" si="443"/>
        <v>-68.008365421082118</v>
      </c>
      <c r="AS505" t="str">
        <f t="shared" si="420"/>
        <v>-0.0000166666666666667</v>
      </c>
      <c r="AT505" t="str">
        <f t="shared" si="421"/>
        <v>0.0158364846950925i</v>
      </c>
      <c r="AU505">
        <f t="shared" si="444"/>
        <v>1.5836484695092499E-2</v>
      </c>
      <c r="AV505">
        <f t="shared" si="445"/>
        <v>1.5707963267948966</v>
      </c>
      <c r="AW505" t="str">
        <f t="shared" si="422"/>
        <v>1+16.0940330621061i</v>
      </c>
      <c r="AX505">
        <f t="shared" si="446"/>
        <v>16.125070548812001</v>
      </c>
      <c r="AY505">
        <f t="shared" si="447"/>
        <v>1.5087412746732198</v>
      </c>
      <c r="AZ505" t="str">
        <f t="shared" si="423"/>
        <v>1+547.197124111608i</v>
      </c>
      <c r="BA505">
        <f t="shared" si="448"/>
        <v>547.19803785833744</v>
      </c>
      <c r="BB505">
        <f t="shared" si="449"/>
        <v>1.568968833844564</v>
      </c>
      <c r="BC505" s="41" t="str">
        <f t="shared" si="450"/>
        <v>-0.00214963906807694+0.0356487843450484i</v>
      </c>
      <c r="BD505">
        <f t="shared" si="451"/>
        <v>-28.94334255510298</v>
      </c>
      <c r="BE505" s="43">
        <f t="shared" si="452"/>
        <v>93.450784950892469</v>
      </c>
      <c r="BF505" s="41" t="str">
        <f t="shared" si="453"/>
        <v>0.00259876630804159-0.0152168199981881i</v>
      </c>
      <c r="BG505" s="20">
        <f t="shared" si="454"/>
        <v>-36.228664860528426</v>
      </c>
      <c r="BH505" s="43">
        <f t="shared" si="455"/>
        <v>-80.308386611626929</v>
      </c>
      <c r="BI505" s="41" t="str">
        <f t="shared" si="460"/>
        <v>0.110847540385901+0.0527348880268122i</v>
      </c>
      <c r="BJ505" s="20">
        <f t="shared" si="456"/>
        <v>-18.2194019124662</v>
      </c>
      <c r="BK505" s="43">
        <f t="shared" si="461"/>
        <v>25.442419529810437</v>
      </c>
      <c r="BL505">
        <f t="shared" si="457"/>
        <v>-36.228664860528426</v>
      </c>
      <c r="BM505" s="43">
        <f t="shared" si="458"/>
        <v>-80.308386611626929</v>
      </c>
    </row>
    <row r="506" spans="14:65" x14ac:dyDescent="0.25">
      <c r="N506" s="9">
        <v>88</v>
      </c>
      <c r="O506" s="34">
        <f t="shared" si="459"/>
        <v>758577.57502918423</v>
      </c>
      <c r="P506" s="33" t="str">
        <f t="shared" si="411"/>
        <v>19.1021967526266</v>
      </c>
      <c r="Q506" s="4" t="str">
        <f t="shared" si="412"/>
        <v>1+1069.79619516536i</v>
      </c>
      <c r="R506" s="4">
        <f t="shared" si="424"/>
        <v>1069.7966625439999</v>
      </c>
      <c r="S506" s="4">
        <f t="shared" si="425"/>
        <v>1.5698615695829508</v>
      </c>
      <c r="T506" s="4" t="str">
        <f t="shared" si="413"/>
        <v>1+17.9212258614101i</v>
      </c>
      <c r="U506" s="4">
        <f t="shared" si="426"/>
        <v>17.949104054957012</v>
      </c>
      <c r="V506" s="4">
        <f t="shared" si="427"/>
        <v>1.5150543774729122</v>
      </c>
      <c r="W506" t="str">
        <f t="shared" si="414"/>
        <v>1-9.92975723704019i</v>
      </c>
      <c r="X506" s="4">
        <f t="shared" si="428"/>
        <v>9.9799839071289096</v>
      </c>
      <c r="Y506" s="4">
        <f t="shared" si="429"/>
        <v>-1.4704273308176914</v>
      </c>
      <c r="Z506" t="str">
        <f t="shared" si="415"/>
        <v>0.424560062662843+7.3877393843579i</v>
      </c>
      <c r="AA506" s="4">
        <f t="shared" si="430"/>
        <v>7.3999286792509782</v>
      </c>
      <c r="AB506" s="4">
        <f t="shared" si="431"/>
        <v>1.5133912693828644</v>
      </c>
      <c r="AC506" s="47" t="str">
        <f t="shared" si="432"/>
        <v>-0.429952862743625-0.0444280190681771i</v>
      </c>
      <c r="AD506" s="20">
        <f t="shared" si="433"/>
        <v>-7.2854568491463576</v>
      </c>
      <c r="AE506" s="43">
        <f t="shared" si="434"/>
        <v>-174.10043341899288</v>
      </c>
      <c r="AF506" t="str">
        <f t="shared" si="416"/>
        <v>69.5520360182888</v>
      </c>
      <c r="AG506" t="str">
        <f t="shared" si="417"/>
        <v>1+853.391707686197i</v>
      </c>
      <c r="AH506">
        <f t="shared" si="435"/>
        <v>853.39229358341618</v>
      </c>
      <c r="AI506">
        <f t="shared" si="436"/>
        <v>1.5696245324907188</v>
      </c>
      <c r="AJ506" t="str">
        <f t="shared" si="418"/>
        <v>1+17.9212258614101i</v>
      </c>
      <c r="AK506">
        <f t="shared" si="437"/>
        <v>17.949104054957012</v>
      </c>
      <c r="AL506">
        <f t="shared" si="438"/>
        <v>1.5150543774729122</v>
      </c>
      <c r="AM506" t="str">
        <f t="shared" si="419"/>
        <v>1-2.17550081171084i</v>
      </c>
      <c r="AN506">
        <f t="shared" si="439"/>
        <v>2.3943274174085971</v>
      </c>
      <c r="AO506">
        <f t="shared" si="440"/>
        <v>-1.1399347149485637</v>
      </c>
      <c r="AP506" s="41" t="str">
        <f t="shared" si="441"/>
        <v>1.28710501768279-3.25751322102672i</v>
      </c>
      <c r="AQ506">
        <f t="shared" si="442"/>
        <v>10.887748899222863</v>
      </c>
      <c r="AR506" s="43">
        <f t="shared" si="443"/>
        <v>-68.440087656896068</v>
      </c>
      <c r="AS506" t="str">
        <f t="shared" si="420"/>
        <v>-0.0000166666666666667</v>
      </c>
      <c r="AT506" t="str">
        <f t="shared" si="421"/>
        <v>0.0162053638108496i</v>
      </c>
      <c r="AU506">
        <f t="shared" si="444"/>
        <v>1.62053638108496E-2</v>
      </c>
      <c r="AV506">
        <f t="shared" si="445"/>
        <v>1.5707963267948966</v>
      </c>
      <c r="AW506" t="str">
        <f t="shared" si="422"/>
        <v>1+16.468911249988i</v>
      </c>
      <c r="AX506">
        <f t="shared" si="446"/>
        <v>16.499243551144438</v>
      </c>
      <c r="AY506">
        <f t="shared" si="447"/>
        <v>1.5101503190103676</v>
      </c>
      <c r="AZ506" t="str">
        <f t="shared" si="423"/>
        <v>1+559.942982499591i</v>
      </c>
      <c r="BA506">
        <f t="shared" si="448"/>
        <v>559.94387544693916</v>
      </c>
      <c r="BB506">
        <f t="shared" si="449"/>
        <v>1.5690104325733165</v>
      </c>
      <c r="BC506" s="41" t="str">
        <f t="shared" si="450"/>
        <v>-0.0020532447760041+0.0348431720503437i</v>
      </c>
      <c r="BD506">
        <f t="shared" si="451"/>
        <v>-29.142591407221943</v>
      </c>
      <c r="BE506" s="43">
        <f t="shared" si="452"/>
        <v>93.372436088817693</v>
      </c>
      <c r="BF506" s="41" t="str">
        <f t="shared" si="453"/>
        <v>0.0024308115816048-0.014889699972054i</v>
      </c>
      <c r="BG506" s="20">
        <f t="shared" si="454"/>
        <v>-36.428048256368292</v>
      </c>
      <c r="BH506" s="43">
        <f t="shared" si="455"/>
        <v>-80.727997330175199</v>
      </c>
      <c r="BI506" s="41" t="str">
        <f t="shared" si="460"/>
        <v>0.110859351962777+0.0515352935818195i</v>
      </c>
      <c r="BJ506" s="20">
        <f t="shared" si="456"/>
        <v>-18.254842507999108</v>
      </c>
      <c r="BK506" s="43">
        <f t="shared" si="461"/>
        <v>24.93234843192171</v>
      </c>
      <c r="BL506">
        <f t="shared" si="457"/>
        <v>-36.428048256368292</v>
      </c>
      <c r="BM506" s="43">
        <f t="shared" si="458"/>
        <v>-80.727997330175199</v>
      </c>
    </row>
    <row r="507" spans="14:65" x14ac:dyDescent="0.25">
      <c r="N507" s="9">
        <v>89</v>
      </c>
      <c r="O507" s="34">
        <f t="shared" si="459"/>
        <v>776247.11662869214</v>
      </c>
      <c r="P507" s="33" t="str">
        <f t="shared" si="411"/>
        <v>19.1021967526266</v>
      </c>
      <c r="Q507" s="4" t="str">
        <f t="shared" si="412"/>
        <v>1+1094.71494968133i</v>
      </c>
      <c r="R507" s="4">
        <f t="shared" si="424"/>
        <v>1094.7154064211377</v>
      </c>
      <c r="S507" s="4">
        <f t="shared" si="425"/>
        <v>1.5698828472428519</v>
      </c>
      <c r="T507" s="4" t="str">
        <f t="shared" si="413"/>
        <v>1+18.3386648370616i</v>
      </c>
      <c r="U507" s="4">
        <f t="shared" si="426"/>
        <v>18.365909397742318</v>
      </c>
      <c r="V507" s="4">
        <f t="shared" si="427"/>
        <v>1.5163206812413503</v>
      </c>
      <c r="W507" t="str">
        <f t="shared" si="414"/>
        <v>1-10.1610509957123i</v>
      </c>
      <c r="X507" s="4">
        <f t="shared" si="428"/>
        <v>10.210139927418521</v>
      </c>
      <c r="Y507" s="4">
        <f t="shared" si="429"/>
        <v>-1.4726972100514173</v>
      </c>
      <c r="Z507" t="str">
        <f t="shared" si="415"/>
        <v>0.397440413925642+7.55982194080997i</v>
      </c>
      <c r="AA507" s="4">
        <f t="shared" si="430"/>
        <v>7.5702619941038494</v>
      </c>
      <c r="AB507" s="4">
        <f t="shared" si="431"/>
        <v>1.518271960164657</v>
      </c>
      <c r="AC507" s="47" t="str">
        <f t="shared" si="432"/>
        <v>-0.430195995036429-0.0418870104638919i</v>
      </c>
      <c r="AD507" s="20">
        <f t="shared" si="433"/>
        <v>-7.2856938913711797</v>
      </c>
      <c r="AE507" s="43">
        <f t="shared" si="434"/>
        <v>-174.43879616059215</v>
      </c>
      <c r="AF507" t="str">
        <f t="shared" si="416"/>
        <v>69.5520360182888</v>
      </c>
      <c r="AG507" t="str">
        <f t="shared" si="417"/>
        <v>1+873.269754145792i</v>
      </c>
      <c r="AH507">
        <f t="shared" si="435"/>
        <v>873.27032670637107</v>
      </c>
      <c r="AI507">
        <f t="shared" si="436"/>
        <v>1.5696512057619605</v>
      </c>
      <c r="AJ507" t="str">
        <f t="shared" si="418"/>
        <v>1+18.3386648370616i</v>
      </c>
      <c r="AK507">
        <f t="shared" si="437"/>
        <v>18.365909397742318</v>
      </c>
      <c r="AL507">
        <f t="shared" si="438"/>
        <v>1.5163206812413503</v>
      </c>
      <c r="AM507" t="str">
        <f t="shared" si="419"/>
        <v>1-2.22617473532479i</v>
      </c>
      <c r="AN507">
        <f t="shared" si="439"/>
        <v>2.4404618317438191</v>
      </c>
      <c r="AO507">
        <f t="shared" si="440"/>
        <v>-1.1486070174415686</v>
      </c>
      <c r="AP507" s="41" t="str">
        <f t="shared" si="441"/>
        <v>1.28710079892774-3.32970634016118i</v>
      </c>
      <c r="AQ507">
        <f t="shared" si="442"/>
        <v>11.052912035391083</v>
      </c>
      <c r="AR507" s="43">
        <f t="shared" si="443"/>
        <v>-68.865948392761112</v>
      </c>
      <c r="AS507" t="str">
        <f t="shared" si="420"/>
        <v>-0.0000166666666666667</v>
      </c>
      <c r="AT507" t="str">
        <f t="shared" si="421"/>
        <v>0.0165828352250025i</v>
      </c>
      <c r="AU507">
        <f t="shared" si="444"/>
        <v>1.65828352250025E-2</v>
      </c>
      <c r="AV507">
        <f t="shared" si="445"/>
        <v>1.5707963267948966</v>
      </c>
      <c r="AW507" t="str">
        <f t="shared" si="422"/>
        <v>1+16.8525214726064i</v>
      </c>
      <c r="AX507">
        <f t="shared" si="446"/>
        <v>16.882164552706502</v>
      </c>
      <c r="AY507">
        <f t="shared" si="447"/>
        <v>1.5115275226024347</v>
      </c>
      <c r="AZ507" t="str">
        <f t="shared" si="423"/>
        <v>1+572.985730068617i</v>
      </c>
      <c r="BA507">
        <f t="shared" si="448"/>
        <v>572.98660269003335</v>
      </c>
      <c r="BB507">
        <f t="shared" si="449"/>
        <v>1.5690510844053702</v>
      </c>
      <c r="BC507" s="41" t="str">
        <f t="shared" si="450"/>
        <v>-0.00196115777981789+0.0340555089097062i</v>
      </c>
      <c r="BD507">
        <f t="shared" si="451"/>
        <v>-29.341873945055369</v>
      </c>
      <c r="BE507" s="43">
        <f t="shared" si="452"/>
        <v>93.295857313868169</v>
      </c>
      <c r="BF507" s="41" t="str">
        <f t="shared" si="453"/>
        <v>0.00227016568056622-0.0145683965054385i</v>
      </c>
      <c r="BG507" s="20">
        <f t="shared" si="454"/>
        <v>-36.627567836426522</v>
      </c>
      <c r="BH507" s="43">
        <f t="shared" si="455"/>
        <v>-81.142938846723993</v>
      </c>
      <c r="BI507" s="41" t="str">
        <f t="shared" si="460"/>
        <v>0.110870636188837+0.0503629522190897i</v>
      </c>
      <c r="BJ507" s="20">
        <f t="shared" si="456"/>
        <v>-18.288961909664309</v>
      </c>
      <c r="BK507" s="43">
        <f t="shared" si="461"/>
        <v>24.429908921107138</v>
      </c>
      <c r="BL507">
        <f t="shared" si="457"/>
        <v>-36.627567836426522</v>
      </c>
      <c r="BM507" s="43">
        <f t="shared" si="458"/>
        <v>-81.142938846723993</v>
      </c>
    </row>
    <row r="508" spans="14:65" x14ac:dyDescent="0.25">
      <c r="N508" s="9">
        <v>90</v>
      </c>
      <c r="O508" s="34">
        <f t="shared" si="459"/>
        <v>794328.23472428333</v>
      </c>
      <c r="P508" s="33" t="str">
        <f t="shared" si="411"/>
        <v>19.1021967526266</v>
      </c>
      <c r="Q508" s="4" t="str">
        <f t="shared" si="412"/>
        <v>1+1120.21413655388i</v>
      </c>
      <c r="R508" s="4">
        <f t="shared" si="424"/>
        <v>1120.2145828970247</v>
      </c>
      <c r="S508" s="4">
        <f t="shared" si="425"/>
        <v>1.569903640564881</v>
      </c>
      <c r="T508" s="4" t="str">
        <f t="shared" si="413"/>
        <v>1+18.7658272155507i</v>
      </c>
      <c r="U508" s="4">
        <f t="shared" si="426"/>
        <v>18.792452503170079</v>
      </c>
      <c r="V508" s="4">
        <f t="shared" si="427"/>
        <v>1.5175583294230384</v>
      </c>
      <c r="W508" t="str">
        <f t="shared" si="414"/>
        <v>1-10.3977322781198i</v>
      </c>
      <c r="X508" s="4">
        <f t="shared" si="428"/>
        <v>10.445709000707149</v>
      </c>
      <c r="Y508" s="4">
        <f t="shared" si="429"/>
        <v>-1.4749164009020594</v>
      </c>
      <c r="Z508" t="str">
        <f t="shared" si="415"/>
        <v>0.369042655519805+7.73591281492115i</v>
      </c>
      <c r="AA508" s="4">
        <f t="shared" si="430"/>
        <v>7.7447104246481926</v>
      </c>
      <c r="AB508" s="4">
        <f t="shared" si="431"/>
        <v>1.5231273454001162</v>
      </c>
      <c r="AC508" s="47" t="str">
        <f t="shared" si="432"/>
        <v>-0.43041711372625-0.0393647959051612i</v>
      </c>
      <c r="AD508" s="20">
        <f t="shared" si="433"/>
        <v>-7.2860341571033818</v>
      </c>
      <c r="AE508" s="43">
        <f t="shared" si="434"/>
        <v>-174.77441886443145</v>
      </c>
      <c r="AF508" t="str">
        <f t="shared" si="416"/>
        <v>69.5520360182888</v>
      </c>
      <c r="AG508" t="str">
        <f t="shared" si="417"/>
        <v>1+893.610819788128i</v>
      </c>
      <c r="AH508">
        <f t="shared" si="435"/>
        <v>893.61137931564531</v>
      </c>
      <c r="AI508">
        <f t="shared" si="436"/>
        <v>1.5696772718769973</v>
      </c>
      <c r="AJ508" t="str">
        <f t="shared" si="418"/>
        <v>1+18.7658272155507i</v>
      </c>
      <c r="AK508">
        <f t="shared" si="437"/>
        <v>18.792452503170079</v>
      </c>
      <c r="AL508">
        <f t="shared" si="438"/>
        <v>1.5175583294230384</v>
      </c>
      <c r="AM508" t="str">
        <f t="shared" si="419"/>
        <v>1-2.27802900625033i</v>
      </c>
      <c r="AN508">
        <f t="shared" si="439"/>
        <v>2.4878537242607064</v>
      </c>
      <c r="AO508">
        <f t="shared" si="440"/>
        <v>-1.1571477072809757</v>
      </c>
      <c r="AP508" s="41" t="str">
        <f t="shared" si="441"/>
        <v>1.28709677004748-3.40366491323614i</v>
      </c>
      <c r="AQ508">
        <f t="shared" si="442"/>
        <v>11.219389210891123</v>
      </c>
      <c r="AR508" s="43">
        <f t="shared" si="443"/>
        <v>-69.285875335736492</v>
      </c>
      <c r="AS508" t="str">
        <f t="shared" si="420"/>
        <v>-0.0000166666666666667</v>
      </c>
      <c r="AT508" t="str">
        <f t="shared" si="421"/>
        <v>0.0169690990778916i</v>
      </c>
      <c r="AU508">
        <f t="shared" si="444"/>
        <v>1.6969099077891601E-2</v>
      </c>
      <c r="AV508">
        <f t="shared" si="445"/>
        <v>1.5707963267948966</v>
      </c>
      <c r="AW508" t="str">
        <f t="shared" si="422"/>
        <v>1+17.2450671251791i</v>
      </c>
      <c r="AX508">
        <f t="shared" si="446"/>
        <v>17.274036591136799</v>
      </c>
      <c r="AY508">
        <f t="shared" si="447"/>
        <v>1.5128735947521652</v>
      </c>
      <c r="AZ508" t="str">
        <f t="shared" si="423"/>
        <v>1+586.332282256088i</v>
      </c>
      <c r="BA508">
        <f t="shared" si="448"/>
        <v>586.33313501424504</v>
      </c>
      <c r="BB508">
        <f t="shared" si="449"/>
        <v>1.5690908108943271</v>
      </c>
      <c r="BC508" s="41" t="str">
        <f t="shared" si="450"/>
        <v>-0.00187318694706977+0.0332854121023402i</v>
      </c>
      <c r="BD508">
        <f t="shared" si="451"/>
        <v>-29.541188663151374</v>
      </c>
      <c r="BE508" s="43">
        <f t="shared" si="452"/>
        <v>93.221009220920607</v>
      </c>
      <c r="BF508" s="41" t="str">
        <f t="shared" si="453"/>
        <v>0.00211652517325526-0.0142528733844144i</v>
      </c>
      <c r="BG508" s="20">
        <f t="shared" si="454"/>
        <v>-36.827222820254782</v>
      </c>
      <c r="BH508" s="43">
        <f t="shared" si="455"/>
        <v>-81.553409643510818</v>
      </c>
      <c r="BI508" s="41" t="str">
        <f t="shared" si="460"/>
        <v>0.110881416426072+0.0492172470942947i</v>
      </c>
      <c r="BJ508" s="20">
        <f t="shared" si="456"/>
        <v>-18.321799452260272</v>
      </c>
      <c r="BK508" s="43">
        <f t="shared" si="461"/>
        <v>23.935133885184207</v>
      </c>
      <c r="BL508">
        <f t="shared" si="457"/>
        <v>-36.827222820254782</v>
      </c>
      <c r="BM508" s="43">
        <f t="shared" si="458"/>
        <v>-81.553409643510818</v>
      </c>
    </row>
    <row r="509" spans="14:65" x14ac:dyDescent="0.25">
      <c r="N509" s="9">
        <v>91</v>
      </c>
      <c r="O509" s="34">
        <f t="shared" si="459"/>
        <v>812830.51616410096</v>
      </c>
      <c r="P509" s="33" t="str">
        <f t="shared" si="411"/>
        <v>19.1021967526266</v>
      </c>
      <c r="Q509" s="4" t="str">
        <f t="shared" si="412"/>
        <v>1+1146.30727578942i</v>
      </c>
      <c r="R509" s="4">
        <f t="shared" si="424"/>
        <v>1146.3077119725581</v>
      </c>
      <c r="S509" s="4">
        <f t="shared" si="425"/>
        <v>1.5699239605738613</v>
      </c>
      <c r="T509" s="4" t="str">
        <f t="shared" si="413"/>
        <v>1+19.2029394840244i</v>
      </c>
      <c r="U509" s="4">
        <f t="shared" si="426"/>
        <v>19.228959535739403</v>
      </c>
      <c r="V509" s="4">
        <f t="shared" si="427"/>
        <v>1.5187679630604582</v>
      </c>
      <c r="W509" t="str">
        <f t="shared" si="414"/>
        <v>1-10.6399265758114i</v>
      </c>
      <c r="X509" s="4">
        <f t="shared" si="428"/>
        <v>10.686816061795847</v>
      </c>
      <c r="Y509" s="4">
        <f t="shared" si="429"/>
        <v>-1.4770859925331934</v>
      </c>
      <c r="Z509" t="str">
        <f t="shared" si="415"/>
        <v>0.339306551992402+7.91610537240369i</v>
      </c>
      <c r="AA509" s="4">
        <f t="shared" si="430"/>
        <v>7.9233738522944588</v>
      </c>
      <c r="AB509" s="4">
        <f t="shared" si="431"/>
        <v>1.5279597334058475</v>
      </c>
      <c r="AC509" s="47" t="str">
        <f t="shared" si="432"/>
        <v>-0.430616622956981-0.0368603880842439i</v>
      </c>
      <c r="AD509" s="20">
        <f t="shared" si="433"/>
        <v>-7.2864785621576535</v>
      </c>
      <c r="AE509" s="43">
        <f t="shared" si="434"/>
        <v>-175.10746009443343</v>
      </c>
      <c r="AF509" t="str">
        <f t="shared" si="416"/>
        <v>69.5520360182888</v>
      </c>
      <c r="AG509" t="str">
        <f t="shared" si="417"/>
        <v>1+914.42568971545i</v>
      </c>
      <c r="AH509">
        <f t="shared" si="435"/>
        <v>914.42623650657379</v>
      </c>
      <c r="AI509">
        <f t="shared" si="436"/>
        <v>1.5697027446562861</v>
      </c>
      <c r="AJ509" t="str">
        <f t="shared" si="418"/>
        <v>1+19.2029394840244i</v>
      </c>
      <c r="AK509">
        <f t="shared" si="437"/>
        <v>19.228959535739403</v>
      </c>
      <c r="AL509">
        <f t="shared" si="438"/>
        <v>1.5187679630604582</v>
      </c>
      <c r="AM509" t="str">
        <f t="shared" si="419"/>
        <v>1-2.33109111830825i</v>
      </c>
      <c r="AN509">
        <f t="shared" si="439"/>
        <v>2.5365302682711293</v>
      </c>
      <c r="AO509">
        <f t="shared" si="440"/>
        <v>-1.1655563279145045</v>
      </c>
      <c r="AP509" s="41" t="str">
        <f t="shared" si="441"/>
        <v>1.28709292249624-3.47942815409493i</v>
      </c>
      <c r="AQ509">
        <f t="shared" si="442"/>
        <v>11.387140082726326</v>
      </c>
      <c r="AR509" s="43">
        <f t="shared" si="443"/>
        <v>-69.699806390128799</v>
      </c>
      <c r="AS509" t="str">
        <f t="shared" si="420"/>
        <v>-0.0000166666666666667</v>
      </c>
      <c r="AT509" t="str">
        <f t="shared" si="421"/>
        <v>0.0173643601717242i</v>
      </c>
      <c r="AU509">
        <f t="shared" si="444"/>
        <v>1.73643601717242E-2</v>
      </c>
      <c r="AV509">
        <f t="shared" si="445"/>
        <v>1.5707963267948966</v>
      </c>
      <c r="AW509" t="str">
        <f t="shared" si="422"/>
        <v>1+17.6467563406069i</v>
      </c>
      <c r="AX509">
        <f t="shared" si="446"/>
        <v>17.675067449510617</v>
      </c>
      <c r="AY509">
        <f t="shared" si="447"/>
        <v>1.514189229642102</v>
      </c>
      <c r="AZ509" t="str">
        <f t="shared" si="423"/>
        <v>1+599.989715580636i</v>
      </c>
      <c r="BA509">
        <f t="shared" si="448"/>
        <v>599.99054892767481</v>
      </c>
      <c r="BB509">
        <f t="shared" si="449"/>
        <v>1.5691296331031954</v>
      </c>
      <c r="BC509" s="41" t="str">
        <f t="shared" si="450"/>
        <v>-0.00178914950948455+0.0325325058243509i</v>
      </c>
      <c r="BD509">
        <f t="shared" si="451"/>
        <v>-29.740534122881236</v>
      </c>
      <c r="BE509" s="43">
        <f t="shared" si="452"/>
        <v>93.147853243066592</v>
      </c>
      <c r="BF509" s="41" t="str">
        <f t="shared" si="453"/>
        <v>0.00196959830977788-0.01394308904915i</v>
      </c>
      <c r="BG509" s="20">
        <f t="shared" si="454"/>
        <v>-37.027012685038876</v>
      </c>
      <c r="BH509" s="43">
        <f t="shared" si="455"/>
        <v>-81.959606851366843</v>
      </c>
      <c r="BI509" s="41" t="str">
        <f t="shared" si="460"/>
        <v>0.110891715017559+0.0480975751727754i</v>
      </c>
      <c r="BJ509" s="20">
        <f t="shared" si="456"/>
        <v>-18.353394040154893</v>
      </c>
      <c r="BK509" s="43">
        <f t="shared" si="461"/>
        <v>23.448046852937722</v>
      </c>
      <c r="BL509">
        <f t="shared" si="457"/>
        <v>-37.027012685038876</v>
      </c>
      <c r="BM509" s="43">
        <f t="shared" si="458"/>
        <v>-81.959606851366843</v>
      </c>
    </row>
    <row r="510" spans="14:65" x14ac:dyDescent="0.25">
      <c r="N510" s="9">
        <v>92</v>
      </c>
      <c r="O510" s="34">
        <f t="shared" si="459"/>
        <v>831763.77110267128</v>
      </c>
      <c r="P510" s="33" t="str">
        <f t="shared" si="411"/>
        <v>19.1021967526266</v>
      </c>
      <c r="Q510" s="4" t="str">
        <f t="shared" si="412"/>
        <v>1+1173.00820231576i</v>
      </c>
      <c r="R510" s="4">
        <f t="shared" si="424"/>
        <v>1173.0086285701614</v>
      </c>
      <c r="S510" s="4">
        <f t="shared" si="425"/>
        <v>1.5699438180436631</v>
      </c>
      <c r="T510" s="4" t="str">
        <f t="shared" si="413"/>
        <v>1+19.6502334051936i</v>
      </c>
      <c r="U510" s="4">
        <f t="shared" si="426"/>
        <v>19.675661942577342</v>
      </c>
      <c r="V510" s="4">
        <f t="shared" si="427"/>
        <v>1.519950209349727</v>
      </c>
      <c r="W510" t="str">
        <f t="shared" si="414"/>
        <v>1-10.8877623034096i</v>
      </c>
      <c r="X510" s="4">
        <f t="shared" si="428"/>
        <v>10.933588979632768</v>
      </c>
      <c r="Y510" s="4">
        <f t="shared" si="429"/>
        <v>-1.4792070535456467</v>
      </c>
      <c r="Z510" t="str">
        <f t="shared" si="415"/>
        <v>0.308169029081063+8.10049515373671i</v>
      </c>
      <c r="AA510" s="4">
        <f t="shared" si="430"/>
        <v>8.1063549074905854</v>
      </c>
      <c r="AB510" s="4">
        <f t="shared" si="431"/>
        <v>1.5327714304814652</v>
      </c>
      <c r="AC510" s="47" t="str">
        <f t="shared" si="432"/>
        <v>-0.430794888565074-0.0343727960503691i</v>
      </c>
      <c r="AD510" s="20">
        <f t="shared" si="433"/>
        <v>-7.2870282166116453</v>
      </c>
      <c r="AE510" s="43">
        <f t="shared" si="434"/>
        <v>-175.43807789975642</v>
      </c>
      <c r="AF510" t="str">
        <f t="shared" si="416"/>
        <v>69.5520360182888</v>
      </c>
      <c r="AG510" t="str">
        <f t="shared" si="417"/>
        <v>1+935.725400247314i</v>
      </c>
      <c r="AH510">
        <f t="shared" si="435"/>
        <v>935.72593459195957</v>
      </c>
      <c r="AI510">
        <f t="shared" si="436"/>
        <v>1.5697276376056999</v>
      </c>
      <c r="AJ510" t="str">
        <f t="shared" si="418"/>
        <v>1+19.6502334051936i</v>
      </c>
      <c r="AK510">
        <f t="shared" si="437"/>
        <v>19.675661942577342</v>
      </c>
      <c r="AL510">
        <f t="shared" si="438"/>
        <v>1.519950209349727</v>
      </c>
      <c r="AM510" t="str">
        <f t="shared" si="419"/>
        <v>1-2.38538920573273i</v>
      </c>
      <c r="AN510">
        <f t="shared" si="439"/>
        <v>2.5865192175636786</v>
      </c>
      <c r="AO510">
        <f t="shared" si="440"/>
        <v>-1.1738325804084766</v>
      </c>
      <c r="AP510" s="41" t="str">
        <f t="shared" si="441"/>
        <v>1.28708924811293-3.55703623343787i</v>
      </c>
      <c r="AQ510">
        <f t="shared" si="442"/>
        <v>11.556124856699672</v>
      </c>
      <c r="AR510" s="43">
        <f t="shared" si="443"/>
        <v>-70.107689266439067</v>
      </c>
      <c r="AS510" t="str">
        <f t="shared" si="420"/>
        <v>-0.0000166666666666667</v>
      </c>
      <c r="AT510" t="str">
        <f t="shared" si="421"/>
        <v>0.0177688280791644i</v>
      </c>
      <c r="AU510">
        <f t="shared" si="444"/>
        <v>1.7768828079164401E-2</v>
      </c>
      <c r="AV510">
        <f t="shared" si="445"/>
        <v>1.5707963267948966</v>
      </c>
      <c r="AW510" t="str">
        <f t="shared" si="422"/>
        <v>1+18.057802099829i</v>
      </c>
      <c r="AX510">
        <f t="shared" si="446"/>
        <v>18.085469766544321</v>
      </c>
      <c r="AY510">
        <f t="shared" si="447"/>
        <v>1.5154751066111616</v>
      </c>
      <c r="AZ510" t="str">
        <f t="shared" si="423"/>
        <v>1+613.965271394186i</v>
      </c>
      <c r="BA510">
        <f t="shared" si="448"/>
        <v>613.9660857719557</v>
      </c>
      <c r="BB510">
        <f t="shared" si="449"/>
        <v>1.5691675716155558</v>
      </c>
      <c r="BC510" s="41" t="str">
        <f t="shared" si="450"/>
        <v>-0.00170887070723707+0.0317964212399569i</v>
      </c>
      <c r="BD510">
        <f t="shared" si="451"/>
        <v>-29.939908949514539</v>
      </c>
      <c r="BE510" s="43">
        <f t="shared" si="452"/>
        <v>93.076351636405676</v>
      </c>
      <c r="BF510" s="41" t="str">
        <f t="shared" si="453"/>
        <v>0.00182910466830898-0.0136389970805391i</v>
      </c>
      <c r="BG510" s="20">
        <f t="shared" si="454"/>
        <v>-37.22693716612617</v>
      </c>
      <c r="BH510" s="43">
        <f t="shared" si="455"/>
        <v>-82.361726263350732</v>
      </c>
      <c r="BI510" s="41" t="str">
        <f t="shared" si="460"/>
        <v>0.11090155333048+0.047003346930321i</v>
      </c>
      <c r="BJ510" s="20">
        <f t="shared" si="456"/>
        <v>-18.383784092814885</v>
      </c>
      <c r="BK510" s="43">
        <f t="shared" si="461"/>
        <v>22.968662369966662</v>
      </c>
      <c r="BL510">
        <f t="shared" si="457"/>
        <v>-37.22693716612617</v>
      </c>
      <c r="BM510" s="43">
        <f t="shared" si="458"/>
        <v>-82.361726263350732</v>
      </c>
    </row>
    <row r="511" spans="14:65" x14ac:dyDescent="0.25">
      <c r="N511" s="9">
        <v>93</v>
      </c>
      <c r="O511" s="34">
        <f t="shared" si="459"/>
        <v>851138.03820237669</v>
      </c>
      <c r="P511" s="33" t="str">
        <f t="shared" si="411"/>
        <v>19.1021967526266</v>
      </c>
      <c r="Q511" s="4" t="str">
        <f t="shared" si="412"/>
        <v>1+1200.33107331756i</v>
      </c>
      <c r="R511" s="4">
        <f t="shared" si="424"/>
        <v>1200.3314898692302</v>
      </c>
      <c r="S511" s="4">
        <f t="shared" si="425"/>
        <v>1.5699632235029171</v>
      </c>
      <c r="T511" s="4" t="str">
        <f t="shared" si="413"/>
        <v>1+20.1079461402157i</v>
      </c>
      <c r="U511" s="4">
        <f t="shared" si="426"/>
        <v>20.132796576179263</v>
      </c>
      <c r="V511" s="4">
        <f t="shared" si="427"/>
        <v>1.5211056819065092</v>
      </c>
      <c r="W511" t="str">
        <f t="shared" si="414"/>
        <v>1-11.1413708666976i</v>
      </c>
      <c r="X511" s="4">
        <f t="shared" si="428"/>
        <v>11.186158625251924</v>
      </c>
      <c r="Y511" s="4">
        <f t="shared" si="429"/>
        <v>-1.4812806321723766</v>
      </c>
      <c r="Z511" t="str">
        <f t="shared" si="415"/>
        <v>0.27556403992501+8.28917992482298i</v>
      </c>
      <c r="AA511" s="4">
        <f t="shared" si="430"/>
        <v>8.2937590612573313</v>
      </c>
      <c r="AB511" s="4">
        <f t="shared" si="431"/>
        <v>1.537564741003093</v>
      </c>
      <c r="AC511" s="47" t="str">
        <f t="shared" si="432"/>
        <v>-0.430952238412873-0.031901026090026i</v>
      </c>
      <c r="AD511" s="20">
        <f t="shared" si="433"/>
        <v>-7.2876844284646856</v>
      </c>
      <c r="AE511" s="43">
        <f t="shared" si="434"/>
        <v>-175.76642981640947</v>
      </c>
      <c r="AF511" t="str">
        <f t="shared" si="416"/>
        <v>69.5520360182888</v>
      </c>
      <c r="AG511" t="str">
        <f t="shared" si="417"/>
        <v>1+957.52124477218i</v>
      </c>
      <c r="AH511">
        <f t="shared" si="435"/>
        <v>957.52176695366313</v>
      </c>
      <c r="AI511">
        <f t="shared" si="436"/>
        <v>1.5697519639236861</v>
      </c>
      <c r="AJ511" t="str">
        <f t="shared" si="418"/>
        <v>1+20.1079461402157i</v>
      </c>
      <c r="AK511">
        <f t="shared" si="437"/>
        <v>20.132796576179263</v>
      </c>
      <c r="AL511">
        <f t="shared" si="438"/>
        <v>1.5211056819065092</v>
      </c>
      <c r="AM511" t="str">
        <f t="shared" si="419"/>
        <v>1-2.44095205808846i</v>
      </c>
      <c r="AN511">
        <f t="shared" si="439"/>
        <v>2.6378489247654593</v>
      </c>
      <c r="AO511">
        <f t="shared" si="440"/>
        <v>-1.1819763167450643</v>
      </c>
      <c r="AP511" s="41" t="str">
        <f t="shared" si="441"/>
        <v>1.28708573910374-3.63653030012114i</v>
      </c>
      <c r="AQ511">
        <f t="shared" si="442"/>
        <v>11.726304334235579</v>
      </c>
      <c r="AR511" s="43">
        <f t="shared" si="443"/>
        <v>-70.509481082497686</v>
      </c>
      <c r="AS511" t="str">
        <f t="shared" si="420"/>
        <v>-0.0000166666666666667</v>
      </c>
      <c r="AT511" t="str">
        <f t="shared" si="421"/>
        <v>0.0181827172544504i</v>
      </c>
      <c r="AU511">
        <f t="shared" si="444"/>
        <v>1.8182717254450399E-2</v>
      </c>
      <c r="AV511">
        <f t="shared" si="445"/>
        <v>1.5707963267948966</v>
      </c>
      <c r="AW511" t="str">
        <f t="shared" si="422"/>
        <v>1+18.4784223447477i</v>
      </c>
      <c r="AX511">
        <f t="shared" si="446"/>
        <v>18.505461149370774</v>
      </c>
      <c r="AY511">
        <f t="shared" si="447"/>
        <v>1.5167318904293321</v>
      </c>
      <c r="AZ511" t="str">
        <f t="shared" si="423"/>
        <v>1+628.266359721422i</v>
      </c>
      <c r="BA511">
        <f t="shared" si="448"/>
        <v>628.26715556171428</v>
      </c>
      <c r="BB511">
        <f t="shared" si="449"/>
        <v>1.5692046465464726</v>
      </c>
      <c r="BC511" s="41" t="str">
        <f t="shared" si="450"/>
        <v>-0.00163218344744559+0.0310767964266687i</v>
      </c>
      <c r="BD511">
        <f t="shared" si="451"/>
        <v>-30.139311829416542</v>
      </c>
      <c r="BE511" s="43">
        <f t="shared" si="452"/>
        <v>93.006467464931418</v>
      </c>
      <c r="BF511" s="41" t="str">
        <f t="shared" si="453"/>
        <v>0.0016947748037787-0.0133405466560334i</v>
      </c>
      <c r="BG511" s="20">
        <f t="shared" si="454"/>
        <v>-37.426996257881214</v>
      </c>
      <c r="BH511" s="43">
        <f t="shared" si="455"/>
        <v>-82.759962351478052</v>
      </c>
      <c r="BI511" s="41" t="str">
        <f t="shared" si="460"/>
        <v>0.110910951797469+0.0459339860597874i</v>
      </c>
      <c r="BJ511" s="20">
        <f t="shared" si="456"/>
        <v>-18.413007495180938</v>
      </c>
      <c r="BK511" s="43">
        <f t="shared" si="461"/>
        <v>22.496986382433683</v>
      </c>
      <c r="BL511">
        <f t="shared" si="457"/>
        <v>-37.426996257881214</v>
      </c>
      <c r="BM511" s="43">
        <f t="shared" si="458"/>
        <v>-82.759962351478052</v>
      </c>
    </row>
    <row r="512" spans="14:65" x14ac:dyDescent="0.25">
      <c r="N512" s="9">
        <v>94</v>
      </c>
      <c r="O512" s="34">
        <f t="shared" si="459"/>
        <v>870963.58995608077</v>
      </c>
      <c r="P512" s="33" t="str">
        <f t="shared" si="411"/>
        <v>19.1021967526266</v>
      </c>
      <c r="Q512" s="4" t="str">
        <f t="shared" si="412"/>
        <v>1+1228.29037574269i</v>
      </c>
      <c r="R512" s="4">
        <f t="shared" si="424"/>
        <v>1228.2907828124896</v>
      </c>
      <c r="S512" s="4">
        <f t="shared" si="425"/>
        <v>1.5699821872405959</v>
      </c>
      <c r="T512" s="4" t="str">
        <f t="shared" si="413"/>
        <v>1+20.5763203744416i</v>
      </c>
      <c r="U512" s="4">
        <f t="shared" si="426"/>
        <v>20.600605820015595</v>
      </c>
      <c r="V512" s="4">
        <f t="shared" si="427"/>
        <v>1.5222349810291145</v>
      </c>
      <c r="W512" t="str">
        <f t="shared" si="414"/>
        <v>1-11.4008867322926i</v>
      </c>
      <c r="X512" s="4">
        <f t="shared" si="428"/>
        <v>11.44465894129508</v>
      </c>
      <c r="Y512" s="4">
        <f t="shared" si="429"/>
        <v>-1.4833077564861781</v>
      </c>
      <c r="Z512" t="str">
        <f t="shared" si="415"/>
        <v>0.241422424970818+8.48225972882566i</v>
      </c>
      <c r="AA512" s="4">
        <f t="shared" si="430"/>
        <v>8.4856947207954843</v>
      </c>
      <c r="AB512" s="4">
        <f t="shared" si="431"/>
        <v>1.5423419675515013</v>
      </c>
      <c r="AC512" s="47" t="str">
        <f t="shared" si="432"/>
        <v>-0.431088962695093-0.0294440825664142i</v>
      </c>
      <c r="AD512" s="20">
        <f t="shared" si="433"/>
        <v>-7.2884487075186613</v>
      </c>
      <c r="AE512" s="43">
        <f t="shared" si="434"/>
        <v>-176.09267287173995</v>
      </c>
      <c r="AF512" t="str">
        <f t="shared" si="416"/>
        <v>69.5520360182888</v>
      </c>
      <c r="AG512" t="str">
        <f t="shared" si="417"/>
        <v>1+979.824779735316i</v>
      </c>
      <c r="AH512">
        <f t="shared" si="435"/>
        <v>979.82529003050377</v>
      </c>
      <c r="AI512">
        <f t="shared" si="436"/>
        <v>1.5697757365082654</v>
      </c>
      <c r="AJ512" t="str">
        <f t="shared" si="418"/>
        <v>1+20.5763203744416i</v>
      </c>
      <c r="AK512">
        <f t="shared" si="437"/>
        <v>20.600605820015595</v>
      </c>
      <c r="AL512">
        <f t="shared" si="438"/>
        <v>1.5222349810291145</v>
      </c>
      <c r="AM512" t="str">
        <f t="shared" si="419"/>
        <v>1-2.4978091355352i</v>
      </c>
      <c r="AN512">
        <f t="shared" si="439"/>
        <v>2.6905483600119706</v>
      </c>
      <c r="AO512">
        <f t="shared" si="440"/>
        <v>-1.189987533022836</v>
      </c>
      <c r="AP512" s="41" t="str">
        <f t="shared" si="441"/>
        <v>1.28708238802565-3.71795250297476i</v>
      </c>
      <c r="AQ512">
        <f t="shared" si="442"/>
        <v>11.897639954579084</v>
      </c>
      <c r="AR512" s="43">
        <f t="shared" si="443"/>
        <v>-70.905147959211902</v>
      </c>
      <c r="AS512" t="str">
        <f t="shared" si="420"/>
        <v>-0.0000166666666666667</v>
      </c>
      <c r="AT512" t="str">
        <f t="shared" si="421"/>
        <v>0.0186062471471015i</v>
      </c>
      <c r="AU512">
        <f t="shared" si="444"/>
        <v>1.86062471471015E-2</v>
      </c>
      <c r="AV512">
        <f t="shared" si="445"/>
        <v>1.5707963267948966</v>
      </c>
      <c r="AW512" t="str">
        <f t="shared" si="422"/>
        <v>1+18.9088400937844i</v>
      </c>
      <c r="AX512">
        <f t="shared" si="446"/>
        <v>18.935264288947973</v>
      </c>
      <c r="AY512">
        <f t="shared" si="447"/>
        <v>1.5179602315702547</v>
      </c>
      <c r="AZ512" t="str">
        <f t="shared" si="423"/>
        <v>1+642.90056318867i</v>
      </c>
      <c r="BA512">
        <f t="shared" si="448"/>
        <v>642.90134091344771</v>
      </c>
      <c r="BB512">
        <f t="shared" si="449"/>
        <v>1.569240877553157</v>
      </c>
      <c r="BC512" s="41" t="str">
        <f t="shared" si="450"/>
        <v>-0.00155892797639543+0.0303732763150062i</v>
      </c>
      <c r="BD512">
        <f t="shared" si="451"/>
        <v>-30.338741507366809</v>
      </c>
      <c r="BE512" s="43">
        <f t="shared" si="452"/>
        <v>92.938164585524802</v>
      </c>
      <c r="BF512" s="41" t="str">
        <f t="shared" si="453"/>
        <v>0.00156634989989222-0.0130476829762354i</v>
      </c>
      <c r="BG512" s="20">
        <f t="shared" si="454"/>
        <v>-37.627190214885459</v>
      </c>
      <c r="BH512" s="43">
        <f t="shared" si="455"/>
        <v>-83.15450828621519</v>
      </c>
      <c r="BI512" s="41" t="str">
        <f t="shared" si="460"/>
        <v>0.110919929956302+0.0448889291834779i</v>
      </c>
      <c r="BJ512" s="20">
        <f t="shared" si="456"/>
        <v>-18.441101552787739</v>
      </c>
      <c r="BK512" s="43">
        <f t="shared" si="461"/>
        <v>22.033016626312968</v>
      </c>
      <c r="BL512">
        <f t="shared" si="457"/>
        <v>-37.627190214885459</v>
      </c>
      <c r="BM512" s="43">
        <f t="shared" si="458"/>
        <v>-83.15450828621519</v>
      </c>
    </row>
    <row r="513" spans="14:65" x14ac:dyDescent="0.25">
      <c r="N513" s="9">
        <v>95</v>
      </c>
      <c r="O513" s="34">
        <f t="shared" si="459"/>
        <v>891250.93813374708</v>
      </c>
      <c r="P513" s="33" t="str">
        <f t="shared" si="411"/>
        <v>19.1021967526266</v>
      </c>
      <c r="Q513" s="4" t="str">
        <f t="shared" si="412"/>
        <v>1+1256.9009339834i</v>
      </c>
      <c r="R513" s="4">
        <f t="shared" si="424"/>
        <v>1256.9013317871625</v>
      </c>
      <c r="S513" s="4">
        <f t="shared" si="425"/>
        <v>1.5700007193114702</v>
      </c>
      <c r="T513" s="4" t="str">
        <f t="shared" si="413"/>
        <v>1+21.0556044460898i</v>
      </c>
      <c r="U513" s="4">
        <f t="shared" si="426"/>
        <v>21.079337717067787</v>
      </c>
      <c r="V513" s="4">
        <f t="shared" si="427"/>
        <v>1.5233386939586293</v>
      </c>
      <c r="W513" t="str">
        <f t="shared" si="414"/>
        <v>1-11.6664474989416i</v>
      </c>
      <c r="X513" s="4">
        <f t="shared" si="428"/>
        <v>11.709227013153376</v>
      </c>
      <c r="Y513" s="4">
        <f t="shared" si="429"/>
        <v>-1.485289434618871</v>
      </c>
      <c r="Z513" t="str">
        <f t="shared" si="415"/>
        <v>0.205671765275718+8.67983693921257i</v>
      </c>
      <c r="AA513" s="4">
        <f t="shared" si="430"/>
        <v>8.6822733293965513</v>
      </c>
      <c r="AB513" s="4">
        <f t="shared" si="431"/>
        <v>1.5471054110707751</v>
      </c>
      <c r="AC513" s="47" t="str">
        <f t="shared" si="432"/>
        <v>-0.431205314216386-0.0270009687227768i</v>
      </c>
      <c r="AD513" s="20">
        <f t="shared" si="433"/>
        <v>-7.2893227694984031</v>
      </c>
      <c r="AE513" s="43">
        <f t="shared" si="434"/>
        <v>-176.41696359149145</v>
      </c>
      <c r="AF513" t="str">
        <f t="shared" si="416"/>
        <v>69.5520360182888</v>
      </c>
      <c r="AG513" t="str">
        <f t="shared" si="417"/>
        <v>1+1002.64783076618i</v>
      </c>
      <c r="AH513">
        <f t="shared" si="435"/>
        <v>1002.6483294456368</v>
      </c>
      <c r="AI513">
        <f t="shared" si="436"/>
        <v>1.5697989679638693</v>
      </c>
      <c r="AJ513" t="str">
        <f t="shared" si="418"/>
        <v>1+21.0556044460898i</v>
      </c>
      <c r="AK513">
        <f t="shared" si="437"/>
        <v>21.079337717067787</v>
      </c>
      <c r="AL513">
        <f t="shared" si="438"/>
        <v>1.5233386939586293</v>
      </c>
      <c r="AM513" t="str">
        <f t="shared" si="419"/>
        <v>1-2.55599058444803i</v>
      </c>
      <c r="AN513">
        <f t="shared" si="439"/>
        <v>2.7446471299216193</v>
      </c>
      <c r="AO513">
        <f t="shared" si="440"/>
        <v>-1.1978663625999542</v>
      </c>
      <c r="AP513" s="41" t="str">
        <f t="shared" si="441"/>
        <v>1.2870791877706-3.80134601315046i</v>
      </c>
      <c r="AQ513">
        <f t="shared" si="442"/>
        <v>12.070093832492596</v>
      </c>
      <c r="AR513" s="43">
        <f t="shared" si="443"/>
        <v>-71.294664613186569</v>
      </c>
      <c r="AS513" t="str">
        <f t="shared" si="420"/>
        <v>-0.0000166666666666667</v>
      </c>
      <c r="AT513" t="str">
        <f t="shared" si="421"/>
        <v>0.0190396423182727i</v>
      </c>
      <c r="AU513">
        <f t="shared" si="444"/>
        <v>1.9039642318272699E-2</v>
      </c>
      <c r="AV513">
        <f t="shared" si="445"/>
        <v>1.5707963267948966</v>
      </c>
      <c r="AW513" t="str">
        <f t="shared" si="422"/>
        <v>1+19.349283560127i</v>
      </c>
      <c r="AX513">
        <f t="shared" si="446"/>
        <v>19.375107078160909</v>
      </c>
      <c r="AY513">
        <f t="shared" si="447"/>
        <v>1.519160766481471</v>
      </c>
      <c r="AZ513" t="str">
        <f t="shared" si="423"/>
        <v>1+657.875641044318i</v>
      </c>
      <c r="BA513">
        <f t="shared" si="448"/>
        <v>657.87640106593904</v>
      </c>
      <c r="BB513">
        <f t="shared" si="449"/>
        <v>1.5692762838453878</v>
      </c>
      <c r="BC513" s="41" t="str">
        <f t="shared" si="450"/>
        <v>-0.00148895156501595+0.0296855126233104i</v>
      </c>
      <c r="BD513">
        <f t="shared" si="451"/>
        <v>-30.538196783992223</v>
      </c>
      <c r="BE513" s="43">
        <f t="shared" si="452"/>
        <v>92.871407633067022</v>
      </c>
      <c r="BF513" s="41" t="str">
        <f t="shared" si="453"/>
        <v>0.00144358142530728-0.0127603476637723i</v>
      </c>
      <c r="BG513" s="20">
        <f t="shared" si="454"/>
        <v>-37.827519553490646</v>
      </c>
      <c r="BH513" s="43">
        <f t="shared" si="455"/>
        <v>-83.545555958424444</v>
      </c>
      <c r="BI513" s="41" t="str">
        <f t="shared" si="460"/>
        <v>0.110928506488018+0.0438676255712118i</v>
      </c>
      <c r="BJ513" s="20">
        <f t="shared" si="456"/>
        <v>-18.468102951499638</v>
      </c>
      <c r="BK513" s="43">
        <f t="shared" si="461"/>
        <v>21.576743019880507</v>
      </c>
      <c r="BL513">
        <f t="shared" si="457"/>
        <v>-37.827519553490646</v>
      </c>
      <c r="BM513" s="43">
        <f t="shared" si="458"/>
        <v>-83.545555958424444</v>
      </c>
    </row>
    <row r="514" spans="14:65" x14ac:dyDescent="0.25">
      <c r="N514" s="9">
        <v>96</v>
      </c>
      <c r="O514" s="34">
        <f t="shared" si="459"/>
        <v>912010.83935591124</v>
      </c>
      <c r="P514" s="33" t="str">
        <f t="shared" si="411"/>
        <v>19.1021967526266</v>
      </c>
      <c r="Q514" s="4" t="str">
        <f t="shared" si="412"/>
        <v>1+1286.17791773634i</v>
      </c>
      <c r="R514" s="4">
        <f t="shared" si="424"/>
        <v>1286.1783064849865</v>
      </c>
      <c r="S514" s="4">
        <f t="shared" si="425"/>
        <v>1.5700188295414379</v>
      </c>
      <c r="T514" s="4" t="str">
        <f t="shared" si="413"/>
        <v>1+21.5460524779192i</v>
      </c>
      <c r="U514" s="4">
        <f t="shared" si="426"/>
        <v>21.569246101364975</v>
      </c>
      <c r="V514" s="4">
        <f t="shared" si="427"/>
        <v>1.5244173951359565</v>
      </c>
      <c r="W514" t="str">
        <f t="shared" si="414"/>
        <v>1-11.9381939704783i</v>
      </c>
      <c r="X514" s="4">
        <f t="shared" si="428"/>
        <v>11.980003141767721</v>
      </c>
      <c r="Y514" s="4">
        <f t="shared" si="429"/>
        <v>-1.4872266549907247</v>
      </c>
      <c r="Z514" t="str">
        <f t="shared" si="415"/>
        <v>0.168236228897328+8.88201631403584i</v>
      </c>
      <c r="AA514" s="4">
        <f t="shared" si="430"/>
        <v>8.883609470902714</v>
      </c>
      <c r="AB514" s="4">
        <f t="shared" si="431"/>
        <v>1.5518573710534891</v>
      </c>
      <c r="AC514" s="47" t="str">
        <f t="shared" si="432"/>
        <v>-0.431301508638388-0.0245706874543378i</v>
      </c>
      <c r="AD514" s="20">
        <f t="shared" si="433"/>
        <v>-7.2903085404243591</v>
      </c>
      <c r="AE514" s="43">
        <f t="shared" si="434"/>
        <v>-176.73945800913657</v>
      </c>
      <c r="AF514" t="str">
        <f t="shared" si="416"/>
        <v>69.5520360182888</v>
      </c>
      <c r="AG514" t="str">
        <f t="shared" si="417"/>
        <v>1+1026.00249894853i</v>
      </c>
      <c r="AH514">
        <f t="shared" si="435"/>
        <v>1026.0029862766621</v>
      </c>
      <c r="AI514">
        <f t="shared" si="436"/>
        <v>1.5698216706080226</v>
      </c>
      <c r="AJ514" t="str">
        <f t="shared" si="418"/>
        <v>1+21.5460524779192i</v>
      </c>
      <c r="AK514">
        <f t="shared" si="437"/>
        <v>21.569246101364975</v>
      </c>
      <c r="AL514">
        <f t="shared" si="438"/>
        <v>1.5244173951359565</v>
      </c>
      <c r="AM514" t="str">
        <f t="shared" si="419"/>
        <v>1-2.61552725340125i</v>
      </c>
      <c r="AN514">
        <f t="shared" si="439"/>
        <v>2.8001754968724164</v>
      </c>
      <c r="AO514">
        <f t="shared" si="440"/>
        <v>-1.2056130692164311</v>
      </c>
      <c r="AP514" s="41" t="str">
        <f t="shared" si="441"/>
        <v>1.28707613155049-3.88675504701168i</v>
      </c>
      <c r="AQ514">
        <f t="shared" si="442"/>
        <v>12.2436287915934</v>
      </c>
      <c r="AR514" s="43">
        <f t="shared" si="443"/>
        <v>-71.678013948313819</v>
      </c>
      <c r="AS514" t="str">
        <f t="shared" si="420"/>
        <v>-0.0000166666666666667</v>
      </c>
      <c r="AT514" t="str">
        <f t="shared" si="421"/>
        <v>0.0194831325598206i</v>
      </c>
      <c r="AU514">
        <f t="shared" si="444"/>
        <v>1.94831325598206E-2</v>
      </c>
      <c r="AV514">
        <f t="shared" si="445"/>
        <v>1.5707963267948966</v>
      </c>
      <c r="AW514" t="str">
        <f t="shared" si="422"/>
        <v>1+19.7999862727311i</v>
      </c>
      <c r="AX514">
        <f t="shared" si="446"/>
        <v>19.825222732679194</v>
      </c>
      <c r="AY514">
        <f t="shared" si="447"/>
        <v>1.5203341178521339</v>
      </c>
      <c r="AZ514" t="str">
        <f t="shared" si="423"/>
        <v>1+673.199533272859i</v>
      </c>
      <c r="BA514">
        <f t="shared" si="448"/>
        <v>673.20027599429523</v>
      </c>
      <c r="BB514">
        <f t="shared" si="449"/>
        <v>1.5693108841956942</v>
      </c>
      <c r="BC514" s="41" t="str">
        <f t="shared" si="450"/>
        <v>-0.00142210820714365+0.0290131637881582i</v>
      </c>
      <c r="BD514">
        <f t="shared" si="451"/>
        <v>-30.737676513309815</v>
      </c>
      <c r="BE514" s="43">
        <f t="shared" si="452"/>
        <v>92.806162005684399</v>
      </c>
      <c r="BF514" s="41" t="str">
        <f t="shared" si="453"/>
        <v>0.00132623079468844-0.0124784791359213i</v>
      </c>
      <c r="BG514" s="20">
        <f t="shared" si="454"/>
        <v>-38.027985053734177</v>
      </c>
      <c r="BH514" s="43">
        <f t="shared" si="455"/>
        <v>-83.933296003452142</v>
      </c>
      <c r="BI514" s="41" t="str">
        <f t="shared" si="460"/>
        <v>0.110936699253504+0.0428695368640157i</v>
      </c>
      <c r="BJ514" s="20">
        <f t="shared" si="456"/>
        <v>-18.494047721716395</v>
      </c>
      <c r="BK514" s="43">
        <f t="shared" si="461"/>
        <v>21.12814805737052</v>
      </c>
      <c r="BL514">
        <f t="shared" si="457"/>
        <v>-38.027985053734177</v>
      </c>
      <c r="BM514" s="43">
        <f t="shared" si="458"/>
        <v>-83.933296003452142</v>
      </c>
    </row>
    <row r="515" spans="14:65" x14ac:dyDescent="0.25">
      <c r="N515" s="9">
        <v>97</v>
      </c>
      <c r="O515" s="34">
        <f t="shared" si="459"/>
        <v>933254.30079699249</v>
      </c>
      <c r="P515" s="33" t="str">
        <f t="shared" si="411"/>
        <v>19.1021967526266</v>
      </c>
      <c r="Q515" s="4" t="str">
        <f t="shared" si="412"/>
        <v>1+1316.13685004585i</v>
      </c>
      <c r="R515" s="4">
        <f t="shared" si="424"/>
        <v>1316.1372299454993</v>
      </c>
      <c r="S515" s="4">
        <f t="shared" si="425"/>
        <v>1.5700365275327353</v>
      </c>
      <c r="T515" s="4" t="str">
        <f t="shared" si="413"/>
        <v>1+22.0479245119681i</v>
      </c>
      <c r="U515" s="4">
        <f t="shared" si="426"/>
        <v>22.070590732589007</v>
      </c>
      <c r="V515" s="4">
        <f t="shared" si="427"/>
        <v>1.5254716464556475</v>
      </c>
      <c r="W515" t="str">
        <f t="shared" si="414"/>
        <v>1-12.2162702304788i</v>
      </c>
      <c r="X515" s="4">
        <f t="shared" si="428"/>
        <v>12.257130918126093</v>
      </c>
      <c r="Y515" s="4">
        <f t="shared" si="429"/>
        <v>-1.4891203865489435</v>
      </c>
      <c r="Z515" t="str">
        <f t="shared" si="415"/>
        <v>0.129036410043918+9.08890505147622i</v>
      </c>
      <c r="AA515" s="4">
        <f t="shared" si="430"/>
        <v>9.0898209789779116</v>
      </c>
      <c r="AB515" s="4">
        <f t="shared" si="431"/>
        <v>1.5566001457484622</v>
      </c>
      <c r="AC515" s="47" t="str">
        <f t="shared" si="432"/>
        <v>-0.431377724694609-0.0221522420535094i</v>
      </c>
      <c r="AD515" s="20">
        <f t="shared" si="433"/>
        <v>-7.2914081612554735</v>
      </c>
      <c r="AE515" s="43">
        <f t="shared" si="434"/>
        <v>-177.06031167719945</v>
      </c>
      <c r="AF515" t="str">
        <f t="shared" si="416"/>
        <v>69.5520360182888</v>
      </c>
      <c r="AG515" t="str">
        <f t="shared" si="417"/>
        <v>1+1049.90116723658i</v>
      </c>
      <c r="AH515">
        <f t="shared" si="435"/>
        <v>1049.9016434717746</v>
      </c>
      <c r="AI515">
        <f t="shared" si="436"/>
        <v>1.5698438564778741</v>
      </c>
      <c r="AJ515" t="str">
        <f t="shared" si="418"/>
        <v>1+22.0479245119681i</v>
      </c>
      <c r="AK515">
        <f t="shared" si="437"/>
        <v>22.070590732589007</v>
      </c>
      <c r="AL515">
        <f t="shared" si="438"/>
        <v>1.5254716464556475</v>
      </c>
      <c r="AM515" t="str">
        <f t="shared" si="419"/>
        <v>1-2.67645070952483i</v>
      </c>
      <c r="AN515">
        <f t="shared" si="439"/>
        <v>2.8571643985805171</v>
      </c>
      <c r="AO515">
        <f t="shared" si="440"/>
        <v>-1.2132280401290234</v>
      </c>
      <c r="AP515" s="41" t="str">
        <f t="shared" si="441"/>
        <v>1.28707321288267-3.97422488957789i</v>
      </c>
      <c r="AQ515">
        <f t="shared" si="442"/>
        <v>12.418208393490776</v>
      </c>
      <c r="AR515" s="43">
        <f t="shared" si="443"/>
        <v>-72.055186648263202</v>
      </c>
      <c r="AS515" t="str">
        <f t="shared" si="420"/>
        <v>-0.0000166666666666667</v>
      </c>
      <c r="AT515" t="str">
        <f t="shared" si="421"/>
        <v>0.0199369530161414i</v>
      </c>
      <c r="AU515">
        <f t="shared" si="444"/>
        <v>1.9936953016141401E-2</v>
      </c>
      <c r="AV515">
        <f t="shared" si="445"/>
        <v>1.5707963267948966</v>
      </c>
      <c r="AW515" t="str">
        <f t="shared" si="422"/>
        <v>1+20.2611872001409i</v>
      </c>
      <c r="AX515">
        <f t="shared" si="446"/>
        <v>20.285849914636394</v>
      </c>
      <c r="AY515">
        <f t="shared" si="447"/>
        <v>1.5214808948780121</v>
      </c>
      <c r="AZ515" t="str">
        <f t="shared" si="423"/>
        <v>1+688.880364804791i</v>
      </c>
      <c r="BA515">
        <f t="shared" si="448"/>
        <v>688.88109061984142</v>
      </c>
      <c r="BB515">
        <f t="shared" si="449"/>
        <v>1.5693446969493086</v>
      </c>
      <c r="BC515" s="41" t="str">
        <f t="shared" si="450"/>
        <v>-0.00135825833011359+0.0283558948908516i</v>
      </c>
      <c r="BD515">
        <f t="shared" si="451"/>
        <v>-30.93717960037544</v>
      </c>
      <c r="BE515" s="43">
        <f t="shared" si="452"/>
        <v>92.742393850134818</v>
      </c>
      <c r="BF515" s="41" t="str">
        <f t="shared" si="453"/>
        <v>0.00121406903525791-0.0122020129523952i</v>
      </c>
      <c r="BG515" s="20">
        <f t="shared" si="454"/>
        <v>-38.228587761630898</v>
      </c>
      <c r="BH515" s="43">
        <f t="shared" si="455"/>
        <v>-84.317917827064647</v>
      </c>
      <c r="BI515" s="41" t="str">
        <f t="shared" si="460"/>
        <v>0.110944525328613+0.0418941368033456i</v>
      </c>
      <c r="BJ515" s="20">
        <f t="shared" si="456"/>
        <v>-18.518971206884665</v>
      </c>
      <c r="BK515" s="43">
        <f t="shared" si="461"/>
        <v>20.687207201871622</v>
      </c>
      <c r="BL515">
        <f t="shared" si="457"/>
        <v>-38.228587761630898</v>
      </c>
      <c r="BM515" s="43">
        <f t="shared" si="458"/>
        <v>-84.317917827064647</v>
      </c>
    </row>
    <row r="516" spans="14:65" x14ac:dyDescent="0.25">
      <c r="N516" s="9">
        <v>98</v>
      </c>
      <c r="O516" s="34">
        <f t="shared" si="459"/>
        <v>954992.58602143743</v>
      </c>
      <c r="P516" s="33" t="str">
        <f t="shared" si="411"/>
        <v>19.1021967526266</v>
      </c>
      <c r="Q516" s="4" t="str">
        <f t="shared" si="412"/>
        <v>1+1346.79361553439i</v>
      </c>
      <c r="R516" s="4">
        <f t="shared" si="424"/>
        <v>1346.79398678647</v>
      </c>
      <c r="S516" s="4">
        <f t="shared" si="425"/>
        <v>1.570053822669027</v>
      </c>
      <c r="T516" s="4" t="str">
        <f t="shared" si="413"/>
        <v>1+22.561486647432i</v>
      </c>
      <c r="U516" s="4">
        <f t="shared" si="426"/>
        <v>22.58363743382036</v>
      </c>
      <c r="V516" s="4">
        <f t="shared" si="427"/>
        <v>1.5265019975164269</v>
      </c>
      <c r="W516" t="str">
        <f t="shared" si="414"/>
        <v>1-12.5008237186569i</v>
      </c>
      <c r="X516" s="4">
        <f t="shared" si="428"/>
        <v>12.5407572994989</v>
      </c>
      <c r="Y516" s="4">
        <f t="shared" si="429"/>
        <v>-1.4909715790141354</v>
      </c>
      <c r="Z516" t="str">
        <f t="shared" si="415"/>
        <v>0.08798916064409+9.30061284668076i</v>
      </c>
      <c r="AA516" s="4">
        <f t="shared" si="430"/>
        <v>9.3010290514670491</v>
      </c>
      <c r="AB516" s="4">
        <f t="shared" si="431"/>
        <v>1.5613360323872152</v>
      </c>
      <c r="AC516" s="47" t="str">
        <f t="shared" si="432"/>
        <v>-0.431434104372189-0.0197446369330332i</v>
      </c>
      <c r="AD516" s="20">
        <f t="shared" si="433"/>
        <v>-7.2926239928110164</v>
      </c>
      <c r="AE516" s="43">
        <f t="shared" si="434"/>
        <v>-177.37967968029042</v>
      </c>
      <c r="AF516" t="str">
        <f t="shared" si="416"/>
        <v>69.5520360182888</v>
      </c>
      <c r="AG516" t="str">
        <f t="shared" si="417"/>
        <v>1+1074.35650702057i</v>
      </c>
      <c r="AH516">
        <f t="shared" si="435"/>
        <v>1074.3569724153326</v>
      </c>
      <c r="AI516">
        <f t="shared" si="436"/>
        <v>1.5698655373365784</v>
      </c>
      <c r="AJ516" t="str">
        <f t="shared" si="418"/>
        <v>1+22.561486647432i</v>
      </c>
      <c r="AK516">
        <f t="shared" si="437"/>
        <v>22.58363743382036</v>
      </c>
      <c r="AL516">
        <f t="shared" si="438"/>
        <v>1.5265019975164269</v>
      </c>
      <c r="AM516" t="str">
        <f t="shared" si="419"/>
        <v>1-2.73879325524161i</v>
      </c>
      <c r="AN516">
        <f t="shared" si="439"/>
        <v>2.9156454679807928</v>
      </c>
      <c r="AO516">
        <f t="shared" si="440"/>
        <v>-1.2207117792892916</v>
      </c>
      <c r="AP516" s="41" t="str">
        <f t="shared" si="441"/>
        <v>1.28707042557632-4.06380191853538i</v>
      </c>
      <c r="AQ516">
        <f t="shared" si="442"/>
        <v>12.593796962895414</v>
      </c>
      <c r="AR516" s="43">
        <f t="shared" si="443"/>
        <v>-72.426180771623891</v>
      </c>
      <c r="AS516" t="str">
        <f t="shared" si="420"/>
        <v>-0.0000166666666666667</v>
      </c>
      <c r="AT516" t="str">
        <f t="shared" si="421"/>
        <v>0.0204013443088481i</v>
      </c>
      <c r="AU516">
        <f t="shared" si="444"/>
        <v>2.0401344308848102E-2</v>
      </c>
      <c r="AV516">
        <f t="shared" si="445"/>
        <v>1.5707963267948966</v>
      </c>
      <c r="AW516" t="str">
        <f t="shared" si="422"/>
        <v>1+20.7331308771927i</v>
      </c>
      <c r="AX516">
        <f t="shared" si="446"/>
        <v>20.757232859193955</v>
      </c>
      <c r="AY516">
        <f t="shared" si="447"/>
        <v>1.5226016935236226</v>
      </c>
      <c r="AZ516" t="str">
        <f t="shared" si="423"/>
        <v>1+704.926449824552i</v>
      </c>
      <c r="BA516">
        <f t="shared" si="448"/>
        <v>704.92715911805146</v>
      </c>
      <c r="BB516">
        <f t="shared" si="449"/>
        <v>1.5693777400338911</v>
      </c>
      <c r="BC516" s="41" t="str">
        <f t="shared" si="450"/>
        <v>-0.00129726851723248+0.0277133775804219i</v>
      </c>
      <c r="BD516">
        <f t="shared" si="451"/>
        <v>-31.136704999034002</v>
      </c>
      <c r="BE516" s="43">
        <f t="shared" si="452"/>
        <v>92.680070047346007</v>
      </c>
      <c r="BF516" s="41" t="str">
        <f t="shared" si="453"/>
        <v>0.00110687645937593-0.0119308821396602i</v>
      </c>
      <c r="BG516" s="20">
        <f t="shared" si="454"/>
        <v>-38.429328991845033</v>
      </c>
      <c r="BH516" s="43">
        <f t="shared" si="455"/>
        <v>-84.699609632944387</v>
      </c>
      <c r="BI516" s="41" t="str">
        <f t="shared" si="460"/>
        <v>0.110952001037853+0.0409409109657758i</v>
      </c>
      <c r="BJ516" s="20">
        <f t="shared" si="456"/>
        <v>-18.542908036138574</v>
      </c>
      <c r="BK516" s="43">
        <f t="shared" si="461"/>
        <v>20.253889275722113</v>
      </c>
      <c r="BL516">
        <f t="shared" si="457"/>
        <v>-38.429328991845033</v>
      </c>
      <c r="BM516" s="43">
        <f t="shared" si="458"/>
        <v>-84.699609632944387</v>
      </c>
    </row>
    <row r="517" spans="14:65" x14ac:dyDescent="0.25">
      <c r="N517" s="9">
        <v>99</v>
      </c>
      <c r="O517" s="34">
        <f t="shared" si="459"/>
        <v>977237.22095581202</v>
      </c>
      <c r="P517" s="33" t="str">
        <f t="shared" si="411"/>
        <v>19.1021967526266</v>
      </c>
      <c r="Q517" s="4" t="str">
        <f t="shared" si="412"/>
        <v>1+1378.1644688248i</v>
      </c>
      <c r="R517" s="4">
        <f t="shared" si="424"/>
        <v>1378.164831626153</v>
      </c>
      <c r="S517" s="4">
        <f t="shared" si="425"/>
        <v>1.570070724120382</v>
      </c>
      <c r="T517" s="4" t="str">
        <f t="shared" si="413"/>
        <v>1+23.087011181753i</v>
      </c>
      <c r="U517" s="4">
        <f t="shared" si="426"/>
        <v>23.108658232497795</v>
      </c>
      <c r="V517" s="4">
        <f t="shared" si="427"/>
        <v>1.5275089858683275</v>
      </c>
      <c r="W517" t="str">
        <f t="shared" si="414"/>
        <v>1-12.7920053090387i</v>
      </c>
      <c r="X517" s="4">
        <f t="shared" si="428"/>
        <v>12.831032687452488</v>
      </c>
      <c r="Y517" s="4">
        <f t="shared" si="429"/>
        <v>-1.4927811631337518</v>
      </c>
      <c r="Z517" t="str">
        <f t="shared" si="415"/>
        <v>0.045007413978563+9.51725194992478i</v>
      </c>
      <c r="AA517" s="4">
        <f t="shared" si="430"/>
        <v>9.5173583701392719</v>
      </c>
      <c r="AB517" s="4">
        <f t="shared" si="431"/>
        <v>1.5660673274253227</v>
      </c>
      <c r="AC517" s="47" t="str">
        <f t="shared" si="432"/>
        <v>-0.431470753059309-0.0173468783316743i</v>
      </c>
      <c r="AD517" s="20">
        <f t="shared" si="433"/>
        <v>-7.2939586209889571</v>
      </c>
      <c r="AE517" s="43">
        <f t="shared" si="434"/>
        <v>-177.69771664958063</v>
      </c>
      <c r="AF517" t="str">
        <f t="shared" si="416"/>
        <v>69.5520360182888</v>
      </c>
      <c r="AG517" t="str">
        <f t="shared" si="417"/>
        <v>1+1099.38148484538i</v>
      </c>
      <c r="AH517">
        <f t="shared" si="435"/>
        <v>1099.3819396464692</v>
      </c>
      <c r="AI517">
        <f t="shared" si="436"/>
        <v>1.5698867246795321</v>
      </c>
      <c r="AJ517" t="str">
        <f t="shared" si="418"/>
        <v>1+23.087011181753i</v>
      </c>
      <c r="AK517">
        <f t="shared" si="437"/>
        <v>23.108658232497795</v>
      </c>
      <c r="AL517">
        <f t="shared" si="438"/>
        <v>1.5275089858683275</v>
      </c>
      <c r="AM517" t="str">
        <f t="shared" si="419"/>
        <v>1-2.80258794539454i</v>
      </c>
      <c r="AN517">
        <f t="shared" si="439"/>
        <v>2.9756510534118057</v>
      </c>
      <c r="AO517">
        <f t="shared" si="440"/>
        <v>-1.2280649005925666</v>
      </c>
      <c r="AP517" s="41" t="str">
        <f t="shared" si="441"/>
        <v>1.28706776371921-4.15553362882724i</v>
      </c>
      <c r="AQ517">
        <f t="shared" si="442"/>
        <v>12.770359608884736</v>
      </c>
      <c r="AR517" s="43">
        <f t="shared" si="443"/>
        <v>-72.791001351296785</v>
      </c>
      <c r="AS517" t="str">
        <f t="shared" si="420"/>
        <v>-0.0000166666666666667</v>
      </c>
      <c r="AT517" t="str">
        <f t="shared" si="421"/>
        <v>0.0208765526643511i</v>
      </c>
      <c r="AU517">
        <f t="shared" si="444"/>
        <v>2.0876552664351102E-2</v>
      </c>
      <c r="AV517">
        <f t="shared" si="445"/>
        <v>1.5707963267948966</v>
      </c>
      <c r="AW517" t="str">
        <f t="shared" si="422"/>
        <v>1+21.216067534671i</v>
      </c>
      <c r="AX517">
        <f t="shared" si="446"/>
        <v>21.239621504059834</v>
      </c>
      <c r="AY517">
        <f t="shared" si="447"/>
        <v>1.5236970967813577</v>
      </c>
      <c r="AZ517" t="str">
        <f t="shared" si="423"/>
        <v>1+721.346296178815i</v>
      </c>
      <c r="BA517">
        <f t="shared" si="448"/>
        <v>721.34698932683898</v>
      </c>
      <c r="BB517">
        <f t="shared" si="449"/>
        <v>1.5694100309690335</v>
      </c>
      <c r="BC517" s="41" t="str">
        <f t="shared" si="450"/>
        <v>-0.00123901124169719+0.0270852899935582i</v>
      </c>
      <c r="BD517">
        <f t="shared" si="451"/>
        <v>-31.336251709766472</v>
      </c>
      <c r="BE517" s="43">
        <f t="shared" si="452"/>
        <v>92.619158198113112</v>
      </c>
      <c r="BF517" s="41" t="str">
        <f t="shared" si="453"/>
        <v>0.00100444234360041-0.011665017493089i</v>
      </c>
      <c r="BG517" s="20">
        <f t="shared" si="454"/>
        <v>-38.630210330755453</v>
      </c>
      <c r="BH517" s="43">
        <f t="shared" si="455"/>
        <v>-85.078558451467501</v>
      </c>
      <c r="BI517" s="41" t="str">
        <f t="shared" si="460"/>
        <v>0.110959141986695+0.0400093565030629i</v>
      </c>
      <c r="BJ517" s="20">
        <f t="shared" si="456"/>
        <v>-18.565892100881729</v>
      </c>
      <c r="BK517" s="43">
        <f t="shared" si="461"/>
        <v>19.828156846816302</v>
      </c>
      <c r="BL517">
        <f t="shared" si="457"/>
        <v>-38.630210330755453</v>
      </c>
      <c r="BM517" s="43">
        <f t="shared" si="458"/>
        <v>-85.078558451467501</v>
      </c>
    </row>
    <row r="518" spans="14:65" x14ac:dyDescent="0.25">
      <c r="N518" s="9">
        <v>100</v>
      </c>
      <c r="O518" s="34">
        <f t="shared" si="459"/>
        <v>1000000</v>
      </c>
      <c r="P518" s="33" t="str">
        <f t="shared" si="411"/>
        <v>19.1021967526266</v>
      </c>
      <c r="Q518" s="4" t="str">
        <f t="shared" si="412"/>
        <v>1+1410.26604315874i</v>
      </c>
      <c r="R518" s="4">
        <f t="shared" si="424"/>
        <v>1410.2663977017285</v>
      </c>
      <c r="S518" s="4">
        <f t="shared" si="425"/>
        <v>1.570087240848135</v>
      </c>
      <c r="T518" s="4" t="str">
        <f t="shared" si="413"/>
        <v>1+23.6247767549952i</v>
      </c>
      <c r="U518" s="4">
        <f t="shared" si="426"/>
        <v>23.645931504666112</v>
      </c>
      <c r="V518" s="4">
        <f t="shared" si="427"/>
        <v>1.5284931372563555</v>
      </c>
      <c r="W518" t="str">
        <f t="shared" si="414"/>
        <v>1-13.0899693899575i</v>
      </c>
      <c r="X518" s="4">
        <f t="shared" si="428"/>
        <v>13.128111007682117</v>
      </c>
      <c r="Y518" s="4">
        <f t="shared" si="429"/>
        <v>-1.4945500509415501</v>
      </c>
      <c r="Z518" t="str">
        <f t="shared" si="415"/>
        <v>9.73893722612836i</v>
      </c>
      <c r="AA518" s="4">
        <f t="shared" si="430"/>
        <v>9.7389372261283604</v>
      </c>
      <c r="AB518" s="4">
        <f t="shared" si="431"/>
        <v>1.5707963267948966</v>
      </c>
      <c r="AC518" s="47" t="str">
        <f t="shared" si="432"/>
        <v>-0.431487739657643-0.0149579750070838i</v>
      </c>
      <c r="AD518" s="20">
        <f t="shared" si="433"/>
        <v>-7.2954148622903343</v>
      </c>
      <c r="AE518" s="43">
        <f t="shared" si="434"/>
        <v>-178.0145767784519</v>
      </c>
      <c r="AF518" t="str">
        <f t="shared" si="416"/>
        <v>69.5520360182888</v>
      </c>
      <c r="AG518" t="str">
        <f t="shared" si="417"/>
        <v>1+1124.98936928549i</v>
      </c>
      <c r="AH518">
        <f t="shared" si="435"/>
        <v>1124.9898137340465</v>
      </c>
      <c r="AI518">
        <f t="shared" si="436"/>
        <v>1.5699074297404687</v>
      </c>
      <c r="AJ518" t="str">
        <f t="shared" si="418"/>
        <v>1+23.6247767549952i</v>
      </c>
      <c r="AK518">
        <f t="shared" si="437"/>
        <v>23.645931504666112</v>
      </c>
      <c r="AL518">
        <f t="shared" si="438"/>
        <v>1.5284931372563555</v>
      </c>
      <c r="AM518" t="str">
        <f t="shared" si="419"/>
        <v>1-2.86786860477275i</v>
      </c>
      <c r="AN518">
        <f t="shared" si="439"/>
        <v>3.0372142391081338</v>
      </c>
      <c r="AO518">
        <f t="shared" si="440"/>
        <v>-1.2352881212226179</v>
      </c>
      <c r="AP518" s="41" t="str">
        <f t="shared" si="441"/>
        <v>1.28706522166519-4.24946865783607i</v>
      </c>
      <c r="AQ518">
        <f t="shared" si="442"/>
        <v>12.947862242517683</v>
      </c>
      <c r="AR518" s="43">
        <f t="shared" si="443"/>
        <v>-73.149659999560967</v>
      </c>
      <c r="AS518" t="str">
        <f t="shared" si="420"/>
        <v>-0.0000166666666666667</v>
      </c>
      <c r="AT518" t="str">
        <f t="shared" si="421"/>
        <v>0.0213628300444106i</v>
      </c>
      <c r="AU518">
        <f t="shared" si="444"/>
        <v>2.13628300444106E-2</v>
      </c>
      <c r="AV518">
        <f t="shared" si="445"/>
        <v>1.5707963267948966</v>
      </c>
      <c r="AW518" t="str">
        <f t="shared" si="422"/>
        <v>1+21.7102532319841i</v>
      </c>
      <c r="AX518">
        <f t="shared" si="446"/>
        <v>21.733271622028656</v>
      </c>
      <c r="AY518">
        <f t="shared" si="447"/>
        <v>1.524767674927479</v>
      </c>
      <c r="AZ518" t="str">
        <f t="shared" si="423"/>
        <v>1+738.148609887458i</v>
      </c>
      <c r="BA518">
        <f t="shared" si="448"/>
        <v>738.14928725752122</v>
      </c>
      <c r="BB518">
        <f t="shared" si="449"/>
        <v>1.5694415868755476</v>
      </c>
      <c r="BC518" s="41" t="str">
        <f t="shared" si="450"/>
        <v>-0.00118336461153401+0.0264713166718379i</v>
      </c>
      <c r="BD518">
        <f t="shared" si="451"/>
        <v>-31.535818777630173</v>
      </c>
      <c r="BE518" s="43">
        <f t="shared" si="452"/>
        <v>92.559626608963384</v>
      </c>
      <c r="BF518" s="41" t="str">
        <f t="shared" si="453"/>
        <v>0.000906564614603607-0.0114043478582094i</v>
      </c>
      <c r="BG518" s="20">
        <f t="shared" si="454"/>
        <v>-38.831233639920526</v>
      </c>
      <c r="BH518" s="43">
        <f t="shared" si="455"/>
        <v>-85.454950169488498</v>
      </c>
      <c r="BI518" s="41" t="str">
        <f t="shared" si="460"/>
        <v>0.110965963092574+0.0390989818875146i</v>
      </c>
      <c r="BJ518" s="20">
        <f t="shared" si="456"/>
        <v>-18.587956535112479</v>
      </c>
      <c r="BK518" s="43">
        <f t="shared" si="461"/>
        <v>19.409966609402403</v>
      </c>
      <c r="BL518">
        <f t="shared" si="457"/>
        <v>-38.831233639920526</v>
      </c>
      <c r="BM518" s="43">
        <f t="shared" si="458"/>
        <v>-85.454950169488498</v>
      </c>
    </row>
    <row r="519" spans="14:65" x14ac:dyDescent="0.25">
      <c r="N519" s="9">
        <v>1</v>
      </c>
      <c r="O519" s="34">
        <f>10^(6+(N519/100))</f>
        <v>1023292.9922807553</v>
      </c>
      <c r="P519" s="33" t="str">
        <f t="shared" si="411"/>
        <v>19.1021967526266</v>
      </c>
      <c r="Q519" s="4" t="str">
        <f t="shared" si="412"/>
        <v>1+1443.11535921585i</v>
      </c>
      <c r="R519" s="4">
        <f t="shared" si="424"/>
        <v>1443.1157056884565</v>
      </c>
      <c r="S519" s="4">
        <f t="shared" si="425"/>
        <v>1.5701033816096372</v>
      </c>
      <c r="T519" s="4" t="str">
        <f t="shared" si="413"/>
        <v>1+24.1750684975839i</v>
      </c>
      <c r="U519" s="4">
        <f t="shared" si="426"/>
        <v>24.195742122589952</v>
      </c>
      <c r="V519" s="4">
        <f t="shared" si="427"/>
        <v>1.5294549658606302</v>
      </c>
      <c r="W519" t="str">
        <f t="shared" si="414"/>
        <v>1-13.3948739459131i</v>
      </c>
      <c r="X519" s="4">
        <f t="shared" si="428"/>
        <v>13.432149791708754</v>
      </c>
      <c r="Y519" s="4">
        <f t="shared" si="429"/>
        <v>-1.4962791360222254</v>
      </c>
      <c r="Z519" t="str">
        <f t="shared" si="415"/>
        <v>-0.0471285480509001+9.96578621575933i</v>
      </c>
      <c r="AA519" s="4">
        <f t="shared" si="430"/>
        <v>9.9658976514040134</v>
      </c>
      <c r="AB519" s="4">
        <f t="shared" si="431"/>
        <v>1.5755253261644706</v>
      </c>
      <c r="AC519" s="47" t="str">
        <f t="shared" si="432"/>
        <v>-0.431485096659283-0.0125769389204137i</v>
      </c>
      <c r="AD519" s="20">
        <f t="shared" si="433"/>
        <v>-7.2969957696619456</v>
      </c>
      <c r="AE519" s="43">
        <f t="shared" si="434"/>
        <v>-178.33041383906257</v>
      </c>
      <c r="AF519" t="str">
        <f t="shared" si="416"/>
        <v>69.5520360182888</v>
      </c>
      <c r="AG519" t="str">
        <f t="shared" si="417"/>
        <v>1+1151.19373798019i</v>
      </c>
      <c r="AH519">
        <f t="shared" si="435"/>
        <v>1151.1941723118659</v>
      </c>
      <c r="AI519">
        <f t="shared" si="436"/>
        <v>1.5699276634974144</v>
      </c>
      <c r="AJ519" t="str">
        <f t="shared" si="418"/>
        <v>1+24.1750684975839i</v>
      </c>
      <c r="AK519">
        <f t="shared" si="437"/>
        <v>24.195742122589952</v>
      </c>
      <c r="AL519">
        <f t="shared" si="438"/>
        <v>1.5294549658606302</v>
      </c>
      <c r="AM519" t="str">
        <f t="shared" si="419"/>
        <v>1-2.93466984604594i</v>
      </c>
      <c r="AN519">
        <f t="shared" si="439"/>
        <v>3.1003688660047053</v>
      </c>
      <c r="AO519">
        <f t="shared" si="440"/>
        <v>-1.2423822551141106</v>
      </c>
      <c r="AP519" s="41" t="str">
        <f t="shared" si="441"/>
        <v>1.28706279402229-4.34565681117222i</v>
      </c>
      <c r="AQ519">
        <f t="shared" si="442"/>
        <v>13.126271590996099</v>
      </c>
      <c r="AR519" s="43">
        <f t="shared" si="443"/>
        <v>-73.502174520080985</v>
      </c>
      <c r="AS519" t="str">
        <f t="shared" si="420"/>
        <v>-0.0000166666666666667</v>
      </c>
      <c r="AT519" t="str">
        <f t="shared" si="421"/>
        <v>0.0218604342797301i</v>
      </c>
      <c r="AU519">
        <f t="shared" si="444"/>
        <v>2.1860434279730102E-2</v>
      </c>
      <c r="AV519">
        <f t="shared" si="445"/>
        <v>1.5707963267948966</v>
      </c>
      <c r="AW519" t="str">
        <f t="shared" si="422"/>
        <v>1+22.2159499929299i</v>
      </c>
      <c r="AX519">
        <f t="shared" si="446"/>
        <v>22.238444956614256</v>
      </c>
      <c r="AY519">
        <f t="shared" si="447"/>
        <v>1.5258139857748683</v>
      </c>
      <c r="AZ519" t="str">
        <f t="shared" si="423"/>
        <v>1+755.342299759617i</v>
      </c>
      <c r="BA519">
        <f t="shared" si="448"/>
        <v>755.34296171086896</v>
      </c>
      <c r="BB519">
        <f t="shared" si="449"/>
        <v>1.5694724244845413</v>
      </c>
      <c r="BC519" s="41" t="str">
        <f t="shared" si="450"/>
        <v>-0.00113021212514513+0.0258711484766101i</v>
      </c>
      <c r="BD519">
        <f t="shared" si="451"/>
        <v>-31.735405290288373</v>
      </c>
      <c r="BE519" s="43">
        <f t="shared" si="452"/>
        <v>92.501444278194839</v>
      </c>
      <c r="BF519" s="41" t="str">
        <f t="shared" si="453"/>
        <v>0.000813049542255019-0.0111488003922517i</v>
      </c>
      <c r="BG519" s="20">
        <f t="shared" si="454"/>
        <v>-39.032401059950324</v>
      </c>
      <c r="BH519" s="43">
        <f t="shared" si="455"/>
        <v>-85.828969560867733</v>
      </c>
      <c r="BI519" s="41" t="str">
        <f t="shared" si="460"/>
        <v>0.110972478614601+0.0382093066625777i</v>
      </c>
      <c r="BJ519" s="20">
        <f t="shared" si="456"/>
        <v>-18.609133699292297</v>
      </c>
      <c r="BK519" s="43">
        <f t="shared" si="461"/>
        <v>18.999269758113932</v>
      </c>
      <c r="BL519">
        <f t="shared" si="457"/>
        <v>-39.032401059950324</v>
      </c>
      <c r="BM519" s="43">
        <f t="shared" si="458"/>
        <v>-85.828969560867733</v>
      </c>
    </row>
    <row r="520" spans="14:65" x14ac:dyDescent="0.25">
      <c r="N520" s="9">
        <v>2</v>
      </c>
      <c r="O520" s="34">
        <f t="shared" ref="O520:O560" si="462">10^(6+(N520/100))</f>
        <v>1047128.5480509007</v>
      </c>
      <c r="P520" s="33" t="str">
        <f t="shared" si="411"/>
        <v>19.1021967526266</v>
      </c>
      <c r="Q520" s="4" t="str">
        <f t="shared" si="412"/>
        <v>1+1476.7298341383i</v>
      </c>
      <c r="R520" s="4">
        <f t="shared" si="424"/>
        <v>1476.7301727242291</v>
      </c>
      <c r="S520" s="4">
        <f t="shared" si="425"/>
        <v>1.570119154962901</v>
      </c>
      <c r="T520" s="4" t="str">
        <f t="shared" si="413"/>
        <v>1+24.7381781814848i</v>
      </c>
      <c r="U520" s="4">
        <f t="shared" si="426"/>
        <v>24.758381605809586</v>
      </c>
      <c r="V520" s="4">
        <f t="shared" si="427"/>
        <v>1.5303949745329408</v>
      </c>
      <c r="W520" t="str">
        <f t="shared" si="414"/>
        <v>1-13.7068806413369i</v>
      </c>
      <c r="X520" s="4">
        <f t="shared" si="428"/>
        <v>13.743310260481506</v>
      </c>
      <c r="Y520" s="4">
        <f t="shared" si="429"/>
        <v>-1.4979692937803808</v>
      </c>
      <c r="Z520" t="str">
        <f t="shared" si="415"/>
        <v>-0.09647819614319+10.1979191971546i</v>
      </c>
      <c r="AA520" s="4">
        <f t="shared" si="430"/>
        <v>10.198375556627896</v>
      </c>
      <c r="AB520" s="4">
        <f t="shared" si="431"/>
        <v>1.5802566212025786</v>
      </c>
      <c r="AC520" s="47" t="str">
        <f t="shared" si="432"/>
        <v>-0.431462820187794-0.0102027859172688i</v>
      </c>
      <c r="AD520" s="20">
        <f t="shared" si="433"/>
        <v>-7.2987046386689514</v>
      </c>
      <c r="AE520" s="43">
        <f t="shared" si="434"/>
        <v>-178.64538119957263</v>
      </c>
      <c r="AF520" t="str">
        <f t="shared" si="416"/>
        <v>69.5520360182888</v>
      </c>
      <c r="AG520" t="str">
        <f t="shared" si="417"/>
        <v>1+1178.00848483261i</v>
      </c>
      <c r="AH520">
        <f t="shared" si="435"/>
        <v>1178.0089092776939</v>
      </c>
      <c r="AI520">
        <f t="shared" si="436"/>
        <v>1.5699474366785089</v>
      </c>
      <c r="AJ520" t="str">
        <f t="shared" si="418"/>
        <v>1+24.7381781814848i</v>
      </c>
      <c r="AK520">
        <f t="shared" si="437"/>
        <v>24.758381605809586</v>
      </c>
      <c r="AL520">
        <f t="shared" si="438"/>
        <v>1.5303949745329408</v>
      </c>
      <c r="AM520" t="str">
        <f t="shared" si="419"/>
        <v>1-3.00302708811644i</v>
      </c>
      <c r="AN520">
        <f t="shared" si="439"/>
        <v>3.1651495528586171</v>
      </c>
      <c r="AO520">
        <f t="shared" si="440"/>
        <v>-1.2493482065522192</v>
      </c>
      <c r="AP520" s="41" t="str">
        <f t="shared" si="441"/>
        <v>1.28706047564117-4.44414908908135i</v>
      </c>
      <c r="AQ520">
        <f t="shared" si="442"/>
        <v>13.305555208574834</v>
      </c>
      <c r="AR520" s="43">
        <f t="shared" si="443"/>
        <v>-73.848568527972745</v>
      </c>
      <c r="AS520" t="str">
        <f t="shared" si="420"/>
        <v>-0.0000166666666666667</v>
      </c>
      <c r="AT520" t="str">
        <f t="shared" si="421"/>
        <v>0.0223696292066618i</v>
      </c>
      <c r="AU520">
        <f t="shared" si="444"/>
        <v>2.2369629206661801E-2</v>
      </c>
      <c r="AV520">
        <f t="shared" si="445"/>
        <v>1.5707963267948966</v>
      </c>
      <c r="AW520" t="str">
        <f t="shared" si="422"/>
        <v>1+22.7334259446248i</v>
      </c>
      <c r="AX520">
        <f t="shared" si="446"/>
        <v>22.755409360847363</v>
      </c>
      <c r="AY520">
        <f t="shared" si="447"/>
        <v>1.5268365749224442</v>
      </c>
      <c r="AZ520" t="str">
        <f t="shared" si="423"/>
        <v>1+772.936482117244i</v>
      </c>
      <c r="BA520">
        <f t="shared" si="448"/>
        <v>772.93712900065862</v>
      </c>
      <c r="BB520">
        <f t="shared" si="449"/>
        <v>1.5695025601462884</v>
      </c>
      <c r="BC520" s="41" t="str">
        <f t="shared" si="450"/>
        <v>-0.00107944243706043+0.0252844825018566i</v>
      </c>
      <c r="BD520">
        <f t="shared" si="451"/>
        <v>-31.935010376125582</v>
      </c>
      <c r="BE520" s="43">
        <f t="shared" si="452"/>
        <v>92.444580882093788</v>
      </c>
      <c r="BF520" s="41" t="str">
        <f t="shared" si="453"/>
        <v>0.00072371144011985-0.0108983008071446i</v>
      </c>
      <c r="BG520" s="20">
        <f t="shared" si="454"/>
        <v>-39.233715014794562</v>
      </c>
      <c r="BH520" s="43">
        <f t="shared" si="455"/>
        <v>-86.200800317478823</v>
      </c>
      <c r="BI520" s="41" t="str">
        <f t="shared" si="460"/>
        <v>0.110978702182049+0.0373398611985583i</v>
      </c>
      <c r="BJ520" s="20">
        <f t="shared" si="456"/>
        <v>-18.629455167550756</v>
      </c>
      <c r="BK520" s="43">
        <f t="shared" si="461"/>
        <v>18.596012354121076</v>
      </c>
      <c r="BL520">
        <f t="shared" si="457"/>
        <v>-39.233715014794562</v>
      </c>
      <c r="BM520" s="43">
        <f t="shared" si="458"/>
        <v>-86.200800317478823</v>
      </c>
    </row>
    <row r="521" spans="14:65" x14ac:dyDescent="0.25">
      <c r="N521" s="9">
        <v>3</v>
      </c>
      <c r="O521" s="34">
        <f t="shared" si="462"/>
        <v>1071519.3052376076</v>
      </c>
      <c r="P521" s="33" t="str">
        <f t="shared" si="411"/>
        <v>19.1021967526266</v>
      </c>
      <c r="Q521" s="4" t="str">
        <f t="shared" si="412"/>
        <v>1+1511.12729076564i</v>
      </c>
      <c r="R521" s="4">
        <f t="shared" si="424"/>
        <v>1511.1276216444141</v>
      </c>
      <c r="S521" s="4">
        <f t="shared" si="425"/>
        <v>1.570134569271135</v>
      </c>
      <c r="T521" s="4" t="str">
        <f t="shared" si="413"/>
        <v>1+25.314404374906i</v>
      </c>
      <c r="U521" s="4">
        <f t="shared" si="426"/>
        <v>25.334148275721844</v>
      </c>
      <c r="V521" s="4">
        <f t="shared" si="427"/>
        <v>1.5313136550296842</v>
      </c>
      <c r="W521" t="str">
        <f t="shared" si="414"/>
        <v>1-14.0261549063088i</v>
      </c>
      <c r="X521" s="4">
        <f t="shared" si="428"/>
        <v>14.061757409931747</v>
      </c>
      <c r="Y521" s="4">
        <f t="shared" si="429"/>
        <v>-1.4996213817131072</v>
      </c>
      <c r="Z521" t="str">
        <f t="shared" si="415"/>
        <v>-0.14815362149688+10.4354592502937i</v>
      </c>
      <c r="AA521" s="4">
        <f t="shared" si="430"/>
        <v>10.436510875771797</v>
      </c>
      <c r="AB521" s="4">
        <f t="shared" si="431"/>
        <v>1.5849925078413307</v>
      </c>
      <c r="AC521" s="47" t="str">
        <f t="shared" si="432"/>
        <v>-0.431420870003302-0.00783453640956363i</v>
      </c>
      <c r="AD521" s="20">
        <f t="shared" si="433"/>
        <v>-7.3005450140076764</v>
      </c>
      <c r="AE521" s="43">
        <f t="shared" si="434"/>
        <v>-178.9596318417768</v>
      </c>
      <c r="AF521" t="str">
        <f t="shared" si="416"/>
        <v>69.5520360182888</v>
      </c>
      <c r="AG521" t="str">
        <f t="shared" si="417"/>
        <v>1+1205.44782737648i</v>
      </c>
      <c r="AH521">
        <f t="shared" si="435"/>
        <v>1205.4482421600173</v>
      </c>
      <c r="AI521">
        <f t="shared" si="436"/>
        <v>1.5699667597676927</v>
      </c>
      <c r="AJ521" t="str">
        <f t="shared" si="418"/>
        <v>1+25.314404374906i</v>
      </c>
      <c r="AK521">
        <f t="shared" si="437"/>
        <v>25.334148275721844</v>
      </c>
      <c r="AL521">
        <f t="shared" si="438"/>
        <v>1.5313136550296842</v>
      </c>
      <c r="AM521" t="str">
        <f t="shared" si="419"/>
        <v>1-3.07297657489884i</v>
      </c>
      <c r="AN521">
        <f t="shared" si="439"/>
        <v>3.2315917176953226</v>
      </c>
      <c r="AO521">
        <f t="shared" si="440"/>
        <v>-1.2561869639262471</v>
      </c>
      <c r="AP521" s="41" t="str">
        <f t="shared" si="441"/>
        <v>1.28705826160422-4.54499771348557i</v>
      </c>
      <c r="AQ521">
        <f t="shared" si="442"/>
        <v>13.485681484424909</v>
      </c>
      <c r="AR521" s="43">
        <f t="shared" si="443"/>
        <v>-74.188871078891566</v>
      </c>
      <c r="AS521" t="str">
        <f t="shared" si="420"/>
        <v>-0.0000166666666666667</v>
      </c>
      <c r="AT521" t="str">
        <f t="shared" si="421"/>
        <v>0.0228906848070959i</v>
      </c>
      <c r="AU521">
        <f t="shared" si="444"/>
        <v>2.2890684807095898E-2</v>
      </c>
      <c r="AV521">
        <f t="shared" si="445"/>
        <v>1.5707963267948966</v>
      </c>
      <c r="AW521" t="str">
        <f t="shared" si="422"/>
        <v>1+23.2629554596681i</v>
      </c>
      <c r="AX521">
        <f t="shared" si="446"/>
        <v>23.284438939310991</v>
      </c>
      <c r="AY521">
        <f t="shared" si="447"/>
        <v>1.5278359760011611</v>
      </c>
      <c r="AZ521" t="str">
        <f t="shared" si="423"/>
        <v>1+790.940485628714i</v>
      </c>
      <c r="BA521">
        <f t="shared" si="448"/>
        <v>790.94111778727631</v>
      </c>
      <c r="BB521">
        <f t="shared" si="449"/>
        <v>1.5695320098388963</v>
      </c>
      <c r="BC521" s="41" t="str">
        <f t="shared" si="450"/>
        <v>-0.00103094913350428+0.0247110219853327i</v>
      </c>
      <c r="BD521">
        <f t="shared" si="451"/>
        <v>-32.134633202444427</v>
      </c>
      <c r="BE521" s="43">
        <f t="shared" si="452"/>
        <v>92.389006761336915</v>
      </c>
      <c r="BF521" s="41" t="str">
        <f t="shared" si="453"/>
        <v>0.000638372373567183-0.0106527735950601i</v>
      </c>
      <c r="BG521" s="20">
        <f t="shared" si="454"/>
        <v>-39.435178216452115</v>
      </c>
      <c r="BH521" s="43">
        <f t="shared" si="455"/>
        <v>-86.570625080439896</v>
      </c>
      <c r="BI521" s="41" t="str">
        <f t="shared" si="460"/>
        <v>0.110984646821658+0.0364901864534029i</v>
      </c>
      <c r="BJ521" s="20">
        <f t="shared" si="456"/>
        <v>-18.64895171801955</v>
      </c>
      <c r="BK521" s="43">
        <f t="shared" si="461"/>
        <v>18.200135682445431</v>
      </c>
      <c r="BL521">
        <f t="shared" si="457"/>
        <v>-39.435178216452115</v>
      </c>
      <c r="BM521" s="43">
        <f t="shared" si="458"/>
        <v>-86.570625080439896</v>
      </c>
    </row>
    <row r="522" spans="14:65" x14ac:dyDescent="0.25">
      <c r="N522" s="9">
        <v>4</v>
      </c>
      <c r="O522" s="34">
        <f t="shared" si="462"/>
        <v>1096478.196143186</v>
      </c>
      <c r="P522" s="33" t="str">
        <f t="shared" si="411"/>
        <v>19.1021967526266</v>
      </c>
      <c r="Q522" s="4" t="str">
        <f t="shared" si="412"/>
        <v>1+1546.32596708469i</v>
      </c>
      <c r="R522" s="4">
        <f t="shared" si="424"/>
        <v>1546.3262904317453</v>
      </c>
      <c r="S522" s="4">
        <f t="shared" si="425"/>
        <v>1.5701496327071804</v>
      </c>
      <c r="T522" s="4" t="str">
        <f t="shared" si="413"/>
        <v>1+25.9040526006026i</v>
      </c>
      <c r="U522" s="4">
        <f t="shared" si="426"/>
        <v>25.923347413765573</v>
      </c>
      <c r="V522" s="4">
        <f t="shared" si="427"/>
        <v>1.5322114882411442</v>
      </c>
      <c r="W522" t="str">
        <f t="shared" si="414"/>
        <v>1-14.3528660242701i</v>
      </c>
      <c r="X522" s="4">
        <f t="shared" si="428"/>
        <v>14.387660098523561</v>
      </c>
      <c r="Y522" s="4">
        <f t="shared" si="429"/>
        <v>-1.5012362396854646</v>
      </c>
      <c r="Z522" t="str">
        <f t="shared" si="415"/>
        <v>-0.20226443461741+10.6785323220569i</v>
      </c>
      <c r="AA522" s="4">
        <f t="shared" si="430"/>
        <v>10.68044771789671</v>
      </c>
      <c r="AB522" s="4">
        <f t="shared" si="431"/>
        <v>1.589735282536304</v>
      </c>
      <c r="AC522" s="47" t="str">
        <f t="shared" si="432"/>
        <v>-0.43135916947174-0.00547121606285232i</v>
      </c>
      <c r="AD522" s="20">
        <f t="shared" si="433"/>
        <v>-7.3025206963680311</v>
      </c>
      <c r="AE522" s="43">
        <f t="shared" si="434"/>
        <v>-179.27331837889639</v>
      </c>
      <c r="AF522" t="str">
        <f t="shared" si="416"/>
        <v>69.5520360182888</v>
      </c>
      <c r="AG522" t="str">
        <f t="shared" si="417"/>
        <v>1+1233.52631431441i</v>
      </c>
      <c r="AH522">
        <f t="shared" si="435"/>
        <v>1233.5267196563243</v>
      </c>
      <c r="AI522">
        <f t="shared" si="436"/>
        <v>1.5699856430102654</v>
      </c>
      <c r="AJ522" t="str">
        <f t="shared" si="418"/>
        <v>1+25.9040526006026i</v>
      </c>
      <c r="AK522">
        <f t="shared" si="437"/>
        <v>25.923347413765573</v>
      </c>
      <c r="AL522">
        <f t="shared" si="438"/>
        <v>1.5322114882411442</v>
      </c>
      <c r="AM522" t="str">
        <f t="shared" si="419"/>
        <v>1-3.14455539453689i</v>
      </c>
      <c r="AN522">
        <f t="shared" si="439"/>
        <v>3.2997315995867078</v>
      </c>
      <c r="AO522">
        <f t="shared" si="440"/>
        <v>-1.2628995936516296</v>
      </c>
      <c r="AP522" s="41" t="str">
        <f t="shared" si="441"/>
        <v>1.28705614721523-4.64825615567226i</v>
      </c>
      <c r="AQ522">
        <f t="shared" si="442"/>
        <v>13.666619647652869</v>
      </c>
      <c r="AR522" s="43">
        <f t="shared" si="443"/>
        <v>-74.523116307969573</v>
      </c>
      <c r="AS522" t="str">
        <f t="shared" si="420"/>
        <v>-0.0000166666666666667</v>
      </c>
      <c r="AT522" t="str">
        <f t="shared" si="421"/>
        <v>0.0234238773516088i</v>
      </c>
      <c r="AU522">
        <f t="shared" si="444"/>
        <v>2.34238773516088E-2</v>
      </c>
      <c r="AV522">
        <f t="shared" si="445"/>
        <v>1.5707963267948966</v>
      </c>
      <c r="AW522" t="str">
        <f t="shared" si="422"/>
        <v>1+23.8048193016176i</v>
      </c>
      <c r="AX522">
        <f t="shared" si="446"/>
        <v>23.825814193489084</v>
      </c>
      <c r="AY522">
        <f t="shared" si="447"/>
        <v>1.5288127109165162</v>
      </c>
      <c r="AZ522" t="str">
        <f t="shared" si="423"/>
        <v>1+809.363856255i</v>
      </c>
      <c r="BA522">
        <f t="shared" si="448"/>
        <v>809.36447402388762</v>
      </c>
      <c r="BB522">
        <f t="shared" si="449"/>
        <v>1.5695607891767775</v>
      </c>
      <c r="BC522" s="41" t="str">
        <f t="shared" si="450"/>
        <v>-0.00098463051739868+0.0241504762182637i</v>
      </c>
      <c r="BD522">
        <f t="shared" si="451"/>
        <v>-32.334272973741264</v>
      </c>
      <c r="BE522" s="43">
        <f t="shared" si="452"/>
        <v>92.334692907581754</v>
      </c>
      <c r="BF522" s="41" t="str">
        <f t="shared" si="453"/>
        <v>0.000556861875632522-0.0104121422375545i</v>
      </c>
      <c r="BG522" s="20">
        <f t="shared" si="454"/>
        <v>-39.63679367010927</v>
      </c>
      <c r="BH522" s="43">
        <f t="shared" si="455"/>
        <v>-86.938625471314623</v>
      </c>
      <c r="BI522" s="41" t="str">
        <f t="shared" si="460"/>
        <v>0.110990324983807+0.0356598337384527i</v>
      </c>
      <c r="BJ522" s="20">
        <f t="shared" si="456"/>
        <v>-18.667653326088395</v>
      </c>
      <c r="BK522" s="43">
        <f t="shared" si="461"/>
        <v>17.811576599612206</v>
      </c>
      <c r="BL522">
        <f t="shared" si="457"/>
        <v>-39.63679367010927</v>
      </c>
      <c r="BM522" s="43">
        <f t="shared" si="458"/>
        <v>-86.938625471314623</v>
      </c>
    </row>
    <row r="523" spans="14:65" x14ac:dyDescent="0.25">
      <c r="N523" s="9">
        <v>5</v>
      </c>
      <c r="O523" s="34">
        <f t="shared" si="462"/>
        <v>1122018.4543019643</v>
      </c>
      <c r="P523" s="33" t="str">
        <f t="shared" si="411"/>
        <v>19.1021967526266</v>
      </c>
      <c r="Q523" s="4" t="str">
        <f t="shared" si="412"/>
        <v>1+1582.34452589952i</v>
      </c>
      <c r="R523" s="4">
        <f t="shared" si="424"/>
        <v>1582.344841886299</v>
      </c>
      <c r="S523" s="4">
        <f t="shared" si="425"/>
        <v>1.5701643532578433</v>
      </c>
      <c r="T523" s="4" t="str">
        <f t="shared" si="413"/>
        <v>1+26.5074354978687i</v>
      </c>
      <c r="U523" s="4">
        <f t="shared" si="426"/>
        <v>26.526291423296801</v>
      </c>
      <c r="V523" s="4">
        <f t="shared" si="427"/>
        <v>1.5330889444170914</v>
      </c>
      <c r="W523" t="str">
        <f t="shared" si="414"/>
        <v>1-14.6871872217801i</v>
      </c>
      <c r="X523" s="4">
        <f t="shared" si="428"/>
        <v>14.721191136848288</v>
      </c>
      <c r="Y523" s="4">
        <f t="shared" si="429"/>
        <v>-1.5028146902082327</v>
      </c>
      <c r="Z523" t="str">
        <f t="shared" si="415"/>
        <v>-0.25892541179417+10.9272672930044i</v>
      </c>
      <c r="AA523" s="4">
        <f t="shared" si="430"/>
        <v>10.93033452652006</v>
      </c>
      <c r="AB523" s="4">
        <f t="shared" si="431"/>
        <v>1.5944872425190184</v>
      </c>
      <c r="AC523" s="47" t="str">
        <f t="shared" si="432"/>
        <v>-0.431277605498499-0.00311185649370743i</v>
      </c>
      <c r="AD523" s="20">
        <f t="shared" si="433"/>
        <v>-7.3046357496563488</v>
      </c>
      <c r="AE523" s="43">
        <f t="shared" si="434"/>
        <v>-179.58659307328142</v>
      </c>
      <c r="AF523" t="str">
        <f t="shared" si="416"/>
        <v>69.5520360182888</v>
      </c>
      <c r="AG523" t="str">
        <f t="shared" si="417"/>
        <v>1+1262.25883323185i</v>
      </c>
      <c r="AH523">
        <f t="shared" si="435"/>
        <v>1262.2592293470591</v>
      </c>
      <c r="AI523">
        <f t="shared" si="436"/>
        <v>1.5700040964183184</v>
      </c>
      <c r="AJ523" t="str">
        <f t="shared" si="418"/>
        <v>1+26.5074354978687i</v>
      </c>
      <c r="AK523">
        <f t="shared" si="437"/>
        <v>26.526291423296801</v>
      </c>
      <c r="AL523">
        <f t="shared" si="438"/>
        <v>1.5330889444170914</v>
      </c>
      <c r="AM523" t="str">
        <f t="shared" si="419"/>
        <v>1-3.21780149906824i</v>
      </c>
      <c r="AN523">
        <f t="shared" si="439"/>
        <v>3.3696062807701752</v>
      </c>
      <c r="AO523">
        <f t="shared" si="440"/>
        <v>-1.2694872342724637</v>
      </c>
      <c r="AP523" s="41" t="str">
        <f t="shared" si="441"/>
        <v>1.28705412798927-4.75397916464528i</v>
      </c>
      <c r="AQ523">
        <f t="shared" si="442"/>
        <v>13.848339769678104</v>
      </c>
      <c r="AR523" s="43">
        <f t="shared" si="443"/>
        <v>-74.851343079302055</v>
      </c>
      <c r="AS523" t="str">
        <f t="shared" si="420"/>
        <v>-0.0000166666666666667</v>
      </c>
      <c r="AT523" t="str">
        <f t="shared" si="421"/>
        <v>0.0239694895459451i</v>
      </c>
      <c r="AU523">
        <f t="shared" si="444"/>
        <v>2.3969489545945102E-2</v>
      </c>
      <c r="AV523">
        <f t="shared" si="445"/>
        <v>1.5707963267948966</v>
      </c>
      <c r="AW523" t="str">
        <f t="shared" si="422"/>
        <v>1+24.359304773855i</v>
      </c>
      <c r="AX523">
        <f t="shared" si="446"/>
        <v>24.379822170507211</v>
      </c>
      <c r="AY523">
        <f t="shared" si="447"/>
        <v>1.5297672900875166</v>
      </c>
      <c r="AZ523" t="str">
        <f t="shared" si="423"/>
        <v>1+828.216362311069i</v>
      </c>
      <c r="BA523">
        <f t="shared" si="448"/>
        <v>828.21696601783026</v>
      </c>
      <c r="BB523">
        <f t="shared" si="449"/>
        <v>1.5695889134189274</v>
      </c>
      <c r="BC523" s="41" t="str">
        <f t="shared" si="450"/>
        <v>-0.000940389402435635+0.0236025604538531i</v>
      </c>
      <c r="BD523">
        <f t="shared" si="451"/>
        <v>-32.533928930057371</v>
      </c>
      <c r="BE523" s="43">
        <f t="shared" si="452"/>
        <v>92.281610950249529</v>
      </c>
      <c r="BF523" s="41" t="str">
        <f t="shared" si="453"/>
        <v>0.00047901667073505-0.0101763293993027i</v>
      </c>
      <c r="BG523" s="20">
        <f t="shared" si="454"/>
        <v>-39.838564679713755</v>
      </c>
      <c r="BH523" s="43">
        <f t="shared" si="455"/>
        <v>-87.304982123031863</v>
      </c>
      <c r="BI523" s="41" t="str">
        <f t="shared" si="460"/>
        <v>0.110995748567576+0.0348483644890802i</v>
      </c>
      <c r="BJ523" s="20">
        <f t="shared" si="456"/>
        <v>-18.685589160379273</v>
      </c>
      <c r="BK523" s="43">
        <f t="shared" si="461"/>
        <v>17.430267870947514</v>
      </c>
      <c r="BL523">
        <f t="shared" si="457"/>
        <v>-39.838564679713755</v>
      </c>
      <c r="BM523" s="43">
        <f t="shared" si="458"/>
        <v>-87.304982123031863</v>
      </c>
    </row>
    <row r="524" spans="14:65" x14ac:dyDescent="0.25">
      <c r="N524" s="9">
        <v>6</v>
      </c>
      <c r="O524" s="34">
        <f t="shared" si="462"/>
        <v>1148153.6214968837</v>
      </c>
      <c r="P524" s="33" t="str">
        <f t="shared" si="411"/>
        <v>19.1021967526266</v>
      </c>
      <c r="Q524" s="4" t="str">
        <f t="shared" si="412"/>
        <v>1+1619.20206472679i</v>
      </c>
      <c r="R524" s="4">
        <f t="shared" si="424"/>
        <v>1619.2023735208331</v>
      </c>
      <c r="S524" s="4">
        <f t="shared" si="425"/>
        <v>1.5701787387281285</v>
      </c>
      <c r="T524" s="4" t="str">
        <f t="shared" si="413"/>
        <v>1+27.1248729883031i</v>
      </c>
      <c r="U524" s="4">
        <f t="shared" si="426"/>
        <v>27.143299995239619</v>
      </c>
      <c r="V524" s="4">
        <f t="shared" si="427"/>
        <v>1.5339464833886869</v>
      </c>
      <c r="W524" t="str">
        <f t="shared" si="414"/>
        <v>1-15.029295760363i</v>
      </c>
      <c r="X524" s="4">
        <f t="shared" si="428"/>
        <v>15.062527379310062</v>
      </c>
      <c r="Y524" s="4">
        <f t="shared" si="429"/>
        <v>-1.5043575387173371</v>
      </c>
      <c r="Z524" t="str">
        <f t="shared" si="415"/>
        <v>-0.31825673855641+11.1817960457101i</v>
      </c>
      <c r="AA524" s="4">
        <f t="shared" si="430"/>
        <v>11.18632424702121</v>
      </c>
      <c r="AB524" s="4">
        <f t="shared" si="431"/>
        <v>1.5992506860382918</v>
      </c>
      <c r="AC524" s="47" t="str">
        <f t="shared" si="432"/>
        <v>-0.431176028427073-0.000755495981722261i</v>
      </c>
      <c r="AD524" s="20">
        <f t="shared" si="433"/>
        <v>-7.3068945085860202</v>
      </c>
      <c r="AE524" s="43">
        <f t="shared" si="434"/>
        <v>-179.8996078537777</v>
      </c>
      <c r="AF524" t="str">
        <f t="shared" si="416"/>
        <v>69.5520360182888</v>
      </c>
      <c r="AG524" t="str">
        <f t="shared" si="417"/>
        <v>1+1291.66061849063i</v>
      </c>
      <c r="AH524">
        <f t="shared" si="435"/>
        <v>1291.6610055891588</v>
      </c>
      <c r="AI524">
        <f t="shared" si="436"/>
        <v>1.5700221297760428</v>
      </c>
      <c r="AJ524" t="str">
        <f t="shared" si="418"/>
        <v>1+27.1248729883031i</v>
      </c>
      <c r="AK524">
        <f t="shared" si="437"/>
        <v>27.143299995239619</v>
      </c>
      <c r="AL524">
        <f t="shared" si="438"/>
        <v>1.5339464833886869</v>
      </c>
      <c r="AM524" t="str">
        <f t="shared" si="419"/>
        <v>1-3.29275372454704i</v>
      </c>
      <c r="AN524">
        <f t="shared" si="439"/>
        <v>3.4412537091180022</v>
      </c>
      <c r="AO524">
        <f t="shared" si="440"/>
        <v>-1.2759510907544891</v>
      </c>
      <c r="AP524" s="41" t="str">
        <f t="shared" si="441"/>
        <v>1.28705219964336-4.86222279615374i</v>
      </c>
      <c r="AQ524">
        <f t="shared" si="442"/>
        <v>14.030812764167495</v>
      </c>
      <c r="AR524" s="43">
        <f t="shared" si="443"/>
        <v>-75.173594646547983</v>
      </c>
      <c r="AS524" t="str">
        <f t="shared" si="420"/>
        <v>-0.0000166666666666667</v>
      </c>
      <c r="AT524" t="str">
        <f t="shared" si="421"/>
        <v>0.0245278106809125i</v>
      </c>
      <c r="AU524">
        <f t="shared" si="444"/>
        <v>2.4527810680912501E-2</v>
      </c>
      <c r="AV524">
        <f t="shared" si="445"/>
        <v>1.5707963267948966</v>
      </c>
      <c r="AW524" t="str">
        <f t="shared" si="422"/>
        <v>1+24.9267058719169i</v>
      </c>
      <c r="AX524">
        <f t="shared" si="446"/>
        <v>24.946756615340934</v>
      </c>
      <c r="AY524">
        <f t="shared" si="447"/>
        <v>1.5307002126820435</v>
      </c>
      <c r="AZ524" t="str">
        <f t="shared" si="423"/>
        <v>1+847.507999645175i</v>
      </c>
      <c r="BA524">
        <f t="shared" si="448"/>
        <v>847.5085896099024</v>
      </c>
      <c r="BB524">
        <f t="shared" si="449"/>
        <v>1.569616397477013</v>
      </c>
      <c r="BC524" s="41" t="str">
        <f t="shared" si="450"/>
        <v>-0.000898132915863399+0.0230669958148424i</v>
      </c>
      <c r="BD524">
        <f t="shared" si="451"/>
        <v>-32.733600345401527</v>
      </c>
      <c r="BE524" s="43">
        <f t="shared" si="452"/>
        <v>92.229733143502941</v>
      </c>
      <c r="BF524" s="41" t="str">
        <f t="shared" si="453"/>
        <v>0.000404680406310124-0.00994525710737867i</v>
      </c>
      <c r="BG524" s="20">
        <f t="shared" si="454"/>
        <v>-40.040494853987539</v>
      </c>
      <c r="BH524" s="43">
        <f t="shared" si="455"/>
        <v>-87.669874710274769</v>
      </c>
      <c r="BI524" s="41" t="str">
        <f t="shared" si="460"/>
        <v>0.111000928944776+0.0340553500401441i</v>
      </c>
      <c r="BJ524" s="20">
        <f t="shared" si="456"/>
        <v>-18.702787581233995</v>
      </c>
      <c r="BK524" s="43">
        <f t="shared" si="461"/>
        <v>17.056138496954883</v>
      </c>
      <c r="BL524">
        <f t="shared" si="457"/>
        <v>-40.040494853987539</v>
      </c>
      <c r="BM524" s="43">
        <f t="shared" si="458"/>
        <v>-87.669874710274769</v>
      </c>
    </row>
    <row r="525" spans="14:65" x14ac:dyDescent="0.25">
      <c r="N525" s="9">
        <v>7</v>
      </c>
      <c r="O525" s="34">
        <f t="shared" si="462"/>
        <v>1174897.5549395324</v>
      </c>
      <c r="P525" s="33" t="str">
        <f t="shared" si="411"/>
        <v>19.1021967526266</v>
      </c>
      <c r="Q525" s="4" t="str">
        <f t="shared" si="412"/>
        <v>1+1656.91812592145i</v>
      </c>
      <c r="R525" s="4">
        <f t="shared" si="424"/>
        <v>1656.9184276864837</v>
      </c>
      <c r="S525" s="4">
        <f t="shared" si="425"/>
        <v>1.570192796745379</v>
      </c>
      <c r="T525" s="4" t="str">
        <f t="shared" si="413"/>
        <v>1+27.7566924454362i</v>
      </c>
      <c r="U525" s="4">
        <f t="shared" si="426"/>
        <v>27.774700277600388</v>
      </c>
      <c r="V525" s="4">
        <f t="shared" si="427"/>
        <v>1.5347845547866761</v>
      </c>
      <c r="W525" t="str">
        <f t="shared" si="414"/>
        <v>1-15.3793730304944i</v>
      </c>
      <c r="X525" s="4">
        <f t="shared" si="428"/>
        <v>15.411849817951719</v>
      </c>
      <c r="Y525" s="4">
        <f t="shared" si="429"/>
        <v>-1.5058655738544064</v>
      </c>
      <c r="Z525" t="str">
        <f t="shared" si="415"/>
        <v>-0.38038426460289+11.4422535346878i</v>
      </c>
      <c r="AA525" s="4">
        <f t="shared" si="430"/>
        <v>11.448574502567249</v>
      </c>
      <c r="AB525" s="4">
        <f t="shared" si="431"/>
        <v>1.6040279125867005</v>
      </c>
      <c r="AC525" s="47" t="str">
        <f t="shared" si="432"/>
        <v>-0.431054251903408+0.00159881979927275i</v>
      </c>
      <c r="AD525" s="20">
        <f t="shared" si="433"/>
        <v>-7.3093015866448416</v>
      </c>
      <c r="AE525" s="43">
        <f t="shared" si="434"/>
        <v>179.78748566748774</v>
      </c>
      <c r="AF525" t="str">
        <f t="shared" si="416"/>
        <v>69.5520360182888</v>
      </c>
      <c r="AG525" t="str">
        <f t="shared" si="417"/>
        <v>1+1321.74725930649i</v>
      </c>
      <c r="AH525">
        <f t="shared" si="435"/>
        <v>1321.747637593583</v>
      </c>
      <c r="AI525">
        <f t="shared" si="436"/>
        <v>1.5700397526449164</v>
      </c>
      <c r="AJ525" t="str">
        <f t="shared" si="418"/>
        <v>1+27.7566924454362i</v>
      </c>
      <c r="AK525">
        <f t="shared" si="437"/>
        <v>27.774700277600388</v>
      </c>
      <c r="AL525">
        <f t="shared" si="438"/>
        <v>1.5347845547866761</v>
      </c>
      <c r="AM525" t="str">
        <f t="shared" si="419"/>
        <v>1-3.36945181163534i</v>
      </c>
      <c r="AN525">
        <f t="shared" si="439"/>
        <v>3.5147127209677711</v>
      </c>
      <c r="AO525">
        <f t="shared" si="440"/>
        <v>-1.2822924289765147</v>
      </c>
      <c r="AP525" s="41" t="str">
        <f t="shared" si="441"/>
        <v>1.28705035808721-4.97304444241343i</v>
      </c>
      <c r="AQ525">
        <f t="shared" si="442"/>
        <v>14.214010384721046</v>
      </c>
      <c r="AR525" s="43">
        <f t="shared" si="443"/>
        <v>-75.489918325109002</v>
      </c>
      <c r="AS525" t="str">
        <f t="shared" si="420"/>
        <v>-0.0000166666666666667</v>
      </c>
      <c r="AT525" t="str">
        <f t="shared" si="421"/>
        <v>0.0250991367857668i</v>
      </c>
      <c r="AU525">
        <f t="shared" si="444"/>
        <v>2.50991367857668E-2</v>
      </c>
      <c r="AV525">
        <f t="shared" si="445"/>
        <v>1.5707963267948966</v>
      </c>
      <c r="AW525" t="str">
        <f t="shared" si="422"/>
        <v>1+25.5073234393761i</v>
      </c>
      <c r="AX525">
        <f t="shared" si="446"/>
        <v>25.526918126576611</v>
      </c>
      <c r="AY525">
        <f t="shared" si="447"/>
        <v>1.5316119668485892</v>
      </c>
      <c r="AZ525" t="str">
        <f t="shared" si="423"/>
        <v>1+867.248996938789i</v>
      </c>
      <c r="BA525">
        <f t="shared" si="448"/>
        <v>867.2495734742887</v>
      </c>
      <c r="BB525">
        <f t="shared" si="449"/>
        <v>1.5696432559232796</v>
      </c>
      <c r="BC525" s="41" t="str">
        <f t="shared" si="450"/>
        <v>-0.000857772309642358+0.0225435092003365i</v>
      </c>
      <c r="BD525">
        <f t="shared" si="451"/>
        <v>-32.933286526242014</v>
      </c>
      <c r="BE525" s="43">
        <f t="shared" si="452"/>
        <v>92.179032353421761</v>
      </c>
      <c r="BF525" s="41" t="str">
        <f t="shared" si="453"/>
        <v>0.00033370339238176-0.00971884691698057i</v>
      </c>
      <c r="BG525" s="20">
        <f t="shared" si="454"/>
        <v>-40.242588112886857</v>
      </c>
      <c r="BH525" s="43">
        <f t="shared" si="455"/>
        <v>-88.033481979090496</v>
      </c>
      <c r="BI525" s="41" t="str">
        <f t="shared" si="460"/>
        <v>0.111005876982947+0.0332803714061585i</v>
      </c>
      <c r="BJ525" s="20">
        <f t="shared" si="456"/>
        <v>-18.719276141520965</v>
      </c>
      <c r="BK525" s="43">
        <f t="shared" si="461"/>
        <v>16.68911402831278</v>
      </c>
      <c r="BL525">
        <f t="shared" si="457"/>
        <v>-40.242588112886857</v>
      </c>
      <c r="BM525" s="43">
        <f t="shared" si="458"/>
        <v>-88.033481979090496</v>
      </c>
    </row>
    <row r="526" spans="14:65" x14ac:dyDescent="0.25">
      <c r="N526" s="9">
        <v>8</v>
      </c>
      <c r="O526" s="34">
        <f t="shared" si="462"/>
        <v>1202264.4346174158</v>
      </c>
      <c r="P526" s="33" t="str">
        <f t="shared" si="411"/>
        <v>19.1021967526266</v>
      </c>
      <c r="Q526" s="4" t="str">
        <f t="shared" si="412"/>
        <v>1+1695.51270703839i</v>
      </c>
      <c r="R526" s="4">
        <f t="shared" si="424"/>
        <v>1695.5130019344144</v>
      </c>
      <c r="S526" s="4">
        <f t="shared" si="425"/>
        <v>1.5702065347633198</v>
      </c>
      <c r="T526" s="4" t="str">
        <f t="shared" si="413"/>
        <v>1+28.403228868307i</v>
      </c>
      <c r="U526" s="4">
        <f t="shared" si="426"/>
        <v>28.420827048934171</v>
      </c>
      <c r="V526" s="4">
        <f t="shared" si="427"/>
        <v>1.5356035982558709</v>
      </c>
      <c r="W526" t="str">
        <f t="shared" si="414"/>
        <v>1-15.7376046477765i</v>
      </c>
      <c r="X526" s="4">
        <f t="shared" si="428"/>
        <v>15.769343678470468</v>
      </c>
      <c r="Y526" s="4">
        <f t="shared" si="429"/>
        <v>-1.5073395677479542</v>
      </c>
      <c r="Z526" t="str">
        <f t="shared" si="415"/>
        <v>-0.44543977074593+11.7087778579457i</v>
      </c>
      <c r="AA526" s="4">
        <f t="shared" si="430"/>
        <v>11.71724777906833</v>
      </c>
      <c r="AB526" s="4">
        <f t="shared" si="431"/>
        <v>1.6088212231083281</v>
      </c>
      <c r="AC526" s="47" t="str">
        <f t="shared" si="432"/>
        <v>-0.430912052706895+0.00395203702616821i</v>
      </c>
      <c r="AD526" s="20">
        <f t="shared" si="433"/>
        <v>-7.31186188444706</v>
      </c>
      <c r="AE526" s="43">
        <f t="shared" si="434"/>
        <v>179.47453617915022</v>
      </c>
      <c r="AF526" t="str">
        <f t="shared" si="416"/>
        <v>69.5520360182888</v>
      </c>
      <c r="AG526" t="str">
        <f t="shared" si="417"/>
        <v>1+1352.53470801462i</v>
      </c>
      <c r="AH526">
        <f t="shared" si="435"/>
        <v>1352.5350776908501</v>
      </c>
      <c r="AI526">
        <f t="shared" si="436"/>
        <v>1.5700569743687738</v>
      </c>
      <c r="AJ526" t="str">
        <f t="shared" si="418"/>
        <v>1+28.403228868307i</v>
      </c>
      <c r="AK526">
        <f t="shared" si="437"/>
        <v>28.420827048934171</v>
      </c>
      <c r="AL526">
        <f t="shared" si="438"/>
        <v>1.5356035982558709</v>
      </c>
      <c r="AM526" t="str">
        <f t="shared" si="419"/>
        <v>1-3.44793642667414i</v>
      </c>
      <c r="AN526">
        <f t="shared" si="439"/>
        <v>3.5900230643251358</v>
      </c>
      <c r="AO526">
        <f t="shared" si="440"/>
        <v>-1.288512570426396</v>
      </c>
      <c r="AP526" s="41" t="str">
        <f t="shared" si="441"/>
        <v>1.28704859941465-5.08650286253708i</v>
      </c>
      <c r="AQ526">
        <f t="shared" si="442"/>
        <v>14.397905220498764</v>
      </c>
      <c r="AR526" s="43">
        <f t="shared" si="443"/>
        <v>-75.800365176231907</v>
      </c>
      <c r="AS526" t="str">
        <f t="shared" si="420"/>
        <v>-0.0000166666666666667</v>
      </c>
      <c r="AT526" t="str">
        <f t="shared" si="421"/>
        <v>0.0256837707851712i</v>
      </c>
      <c r="AU526">
        <f t="shared" si="444"/>
        <v>2.56837707851712E-2</v>
      </c>
      <c r="AV526">
        <f t="shared" si="445"/>
        <v>1.5707963267948966</v>
      </c>
      <c r="AW526" t="str">
        <f t="shared" si="422"/>
        <v>1+26.1014653273522i</v>
      </c>
      <c r="AX526">
        <f t="shared" si="446"/>
        <v>26.120614315803703</v>
      </c>
      <c r="AY526">
        <f t="shared" si="447"/>
        <v>1.532503029944325</v>
      </c>
      <c r="AZ526" t="str">
        <f t="shared" si="423"/>
        <v>1+887.449821129976i</v>
      </c>
      <c r="BA526">
        <f t="shared" si="448"/>
        <v>887.450384541934</v>
      </c>
      <c r="BB526">
        <f t="shared" si="449"/>
        <v>1.5696695029982759</v>
      </c>
      <c r="BC526" s="41" t="str">
        <f t="shared" si="450"/>
        <v>-0.000819222779638017+0.0220318331920975i</v>
      </c>
      <c r="BD526">
        <f t="shared" si="451"/>
        <v>-33.132986810064594</v>
      </c>
      <c r="BE526" s="43">
        <f t="shared" si="452"/>
        <v>92.129482045378083</v>
      </c>
      <c r="BF526" s="41" t="str">
        <f t="shared" si="453"/>
        <v>0.000265942349068535-0.00949702006446045i</v>
      </c>
      <c r="BG526" s="20">
        <f t="shared" si="454"/>
        <v>-40.444848694511649</v>
      </c>
      <c r="BH526" s="43">
        <f t="shared" si="455"/>
        <v>-88.395981775471697</v>
      </c>
      <c r="BI526" s="41" t="str">
        <f t="shared" si="460"/>
        <v>0.111010603067402+0.0325230190661106i</v>
      </c>
      <c r="BJ526" s="20">
        <f t="shared" si="456"/>
        <v>-18.735081589565809</v>
      </c>
      <c r="BK526" s="43">
        <f t="shared" si="461"/>
        <v>16.329116869146127</v>
      </c>
      <c r="BL526">
        <f t="shared" si="457"/>
        <v>-40.444848694511649</v>
      </c>
      <c r="BM526" s="43">
        <f t="shared" si="458"/>
        <v>-88.395981775471697</v>
      </c>
    </row>
    <row r="527" spans="14:65" x14ac:dyDescent="0.25">
      <c r="N527" s="9">
        <v>9</v>
      </c>
      <c r="O527" s="34">
        <f t="shared" si="462"/>
        <v>1230268.770812382</v>
      </c>
      <c r="P527" s="33" t="str">
        <f t="shared" si="411"/>
        <v>19.1021967526266</v>
      </c>
      <c r="Q527" s="4" t="str">
        <f t="shared" si="412"/>
        <v>1+1735.00627143535i</v>
      </c>
      <c r="R527" s="4">
        <f t="shared" si="424"/>
        <v>1735.0065596187226</v>
      </c>
      <c r="S527" s="4">
        <f t="shared" si="425"/>
        <v>1.5702199600660087</v>
      </c>
      <c r="T527" s="4" t="str">
        <f t="shared" si="413"/>
        <v>1+29.0648250590849i</v>
      </c>
      <c r="U527" s="4">
        <f t="shared" si="426"/>
        <v>29.082022895858014</v>
      </c>
      <c r="V527" s="4">
        <f t="shared" si="427"/>
        <v>1.5364040436659236</v>
      </c>
      <c r="W527" t="str">
        <f t="shared" si="414"/>
        <v>1-16.1041805513547i</v>
      </c>
      <c r="X527" s="4">
        <f t="shared" si="428"/>
        <v>16.135198518476027</v>
      </c>
      <c r="Y527" s="4">
        <f t="shared" si="429"/>
        <v>-1.5087802762947373</v>
      </c>
      <c r="Z527" t="str">
        <f t="shared" si="415"/>
        <v>-0.51356124843621+11.9815103302079i</v>
      </c>
      <c r="AA527" s="4">
        <f t="shared" si="430"/>
        <v>11.992511619705606</v>
      </c>
      <c r="AB527" s="4">
        <f t="shared" si="431"/>
        <v>1.6136329201839461</v>
      </c>
      <c r="AC527" s="47" t="str">
        <f t="shared" si="432"/>
        <v>-0.430749170549279+0.00630509294308994i</v>
      </c>
      <c r="AD527" s="20">
        <f t="shared" si="433"/>
        <v>-7.3145805984753887</v>
      </c>
      <c r="AE527" s="43">
        <f t="shared" si="434"/>
        <v>179.16139265572667</v>
      </c>
      <c r="AF527" t="str">
        <f t="shared" si="416"/>
        <v>69.5520360182888</v>
      </c>
      <c r="AG527" t="str">
        <f t="shared" si="417"/>
        <v>1+1384.03928852786i</v>
      </c>
      <c r="AH527">
        <f t="shared" si="435"/>
        <v>1384.0396497892336</v>
      </c>
      <c r="AI527">
        <f t="shared" si="436"/>
        <v>1.5700738040787601</v>
      </c>
      <c r="AJ527" t="str">
        <f t="shared" si="418"/>
        <v>1+29.0648250590849i</v>
      </c>
      <c r="AK527">
        <f t="shared" si="437"/>
        <v>29.082022895858014</v>
      </c>
      <c r="AL527">
        <f t="shared" si="438"/>
        <v>1.5364040436659236</v>
      </c>
      <c r="AM527" t="str">
        <f t="shared" si="419"/>
        <v>1-3.52824918324519i</v>
      </c>
      <c r="AN527">
        <f t="shared" si="439"/>
        <v>3.6672254224509229</v>
      </c>
      <c r="AO527">
        <f t="shared" si="440"/>
        <v>-1.2946128871059792</v>
      </c>
      <c r="AP527" s="41" t="str">
        <f t="shared" si="441"/>
        <v>1.2870469198953-5.20265821368915i</v>
      </c>
      <c r="AQ527">
        <f t="shared" si="442"/>
        <v>14.582470689970858</v>
      </c>
      <c r="AR527" s="43">
        <f t="shared" si="443"/>
        <v>-76.104989703291253</v>
      </c>
      <c r="AS527" t="str">
        <f t="shared" si="420"/>
        <v>-0.0000166666666666667</v>
      </c>
      <c r="AT527" t="str">
        <f t="shared" si="421"/>
        <v>0.0262820226598108i</v>
      </c>
      <c r="AU527">
        <f t="shared" si="444"/>
        <v>2.6282022659810798E-2</v>
      </c>
      <c r="AV527">
        <f t="shared" si="445"/>
        <v>1.5707963267948966</v>
      </c>
      <c r="AW527" t="str">
        <f t="shared" si="422"/>
        <v>1+26.7094465577386i</v>
      </c>
      <c r="AX527">
        <f t="shared" si="446"/>
        <v>26.728159970725528</v>
      </c>
      <c r="AY527">
        <f t="shared" si="447"/>
        <v>1.5333738687594833</v>
      </c>
      <c r="AZ527" t="str">
        <f t="shared" si="423"/>
        <v>1+908.121182963111i</v>
      </c>
      <c r="BA527">
        <f t="shared" si="448"/>
        <v>908.12173355025493</v>
      </c>
      <c r="BB527">
        <f t="shared" si="449"/>
        <v>1.5696951526184038</v>
      </c>
      <c r="BC527" s="41" t="str">
        <f t="shared" si="450"/>
        <v>-0.000782403292529455+0.02153170596049i</v>
      </c>
      <c r="BD527">
        <f t="shared" si="451"/>
        <v>-33.332700563993868</v>
      </c>
      <c r="BE527" s="43">
        <f t="shared" si="452"/>
        <v>92.081056271612781</v>
      </c>
      <c r="BF527" s="41" t="str">
        <f t="shared" si="453"/>
        <v>0.000201260161987915-0.00927969760847041i</v>
      </c>
      <c r="BG527" s="20">
        <f t="shared" si="454"/>
        <v>-40.647281162469262</v>
      </c>
      <c r="BH527" s="43">
        <f t="shared" si="455"/>
        <v>-88.757551072660547</v>
      </c>
      <c r="BI527" s="41" t="str">
        <f t="shared" si="460"/>
        <v>0.111015117122317+0.0317828927528357i</v>
      </c>
      <c r="BJ527" s="20">
        <f t="shared" si="456"/>
        <v>-18.750229874023006</v>
      </c>
      <c r="BK527" s="43">
        <f t="shared" si="461"/>
        <v>15.976066568321503</v>
      </c>
      <c r="BL527">
        <f t="shared" si="457"/>
        <v>-40.647281162469262</v>
      </c>
      <c r="BM527" s="43">
        <f t="shared" si="458"/>
        <v>-88.757551072660547</v>
      </c>
    </row>
    <row r="528" spans="14:65" x14ac:dyDescent="0.25">
      <c r="N528" s="9">
        <v>10</v>
      </c>
      <c r="O528" s="34">
        <f t="shared" si="462"/>
        <v>1258925.4117941677</v>
      </c>
      <c r="P528" s="33" t="str">
        <f t="shared" si="411"/>
        <v>19.1021967526266</v>
      </c>
      <c r="Q528" s="4" t="str">
        <f t="shared" si="412"/>
        <v>1+1775.41975912295i</v>
      </c>
      <c r="R528" s="4">
        <f t="shared" si="424"/>
        <v>1775.4200407464691</v>
      </c>
      <c r="S528" s="4">
        <f t="shared" si="425"/>
        <v>1.5702330797716997</v>
      </c>
      <c r="T528" s="4" t="str">
        <f t="shared" si="413"/>
        <v>1+29.7418318048276i</v>
      </c>
      <c r="U528" s="4">
        <f t="shared" si="426"/>
        <v>29.75863839470238</v>
      </c>
      <c r="V528" s="4">
        <f t="shared" si="427"/>
        <v>1.537186311318397</v>
      </c>
      <c r="W528" t="str">
        <f t="shared" si="414"/>
        <v>1-16.4792951046253i</v>
      </c>
      <c r="X528" s="4">
        <f t="shared" si="428"/>
        <v>16.509608328041203</v>
      </c>
      <c r="Y528" s="4">
        <f t="shared" si="429"/>
        <v>-1.5101884394408507</v>
      </c>
      <c r="Z528" t="str">
        <f t="shared" si="415"/>
        <v>-0.58489319246111+12.2605955578412i</v>
      </c>
      <c r="AA528" s="4">
        <f t="shared" si="430"/>
        <v>12.274538829607518</v>
      </c>
      <c r="AB528" s="4">
        <f t="shared" si="431"/>
        <v>1.6184653081896769</v>
      </c>
      <c r="AC528" s="47" t="str">
        <f t="shared" si="432"/>
        <v>-0.430565307842809+0.00865891504481261i</v>
      </c>
      <c r="AD528" s="20">
        <f t="shared" si="433"/>
        <v>-7.3174632302214278</v>
      </c>
      <c r="AE528" s="43">
        <f t="shared" si="434"/>
        <v>178.84790434406224</v>
      </c>
      <c r="AF528" t="str">
        <f t="shared" si="416"/>
        <v>69.5520360182888</v>
      </c>
      <c r="AG528" t="str">
        <f t="shared" si="417"/>
        <v>1+1416.27770499179i</v>
      </c>
      <c r="AH528">
        <f t="shared" si="435"/>
        <v>1416.2780580298531</v>
      </c>
      <c r="AI528">
        <f t="shared" si="436"/>
        <v>1.570090250698172</v>
      </c>
      <c r="AJ528" t="str">
        <f t="shared" si="418"/>
        <v>1+29.7418318048276i</v>
      </c>
      <c r="AK528">
        <f t="shared" si="437"/>
        <v>29.75863839470238</v>
      </c>
      <c r="AL528">
        <f t="shared" si="438"/>
        <v>1.537186311318397</v>
      </c>
      <c r="AM528" t="str">
        <f t="shared" si="419"/>
        <v>1-3.61043266423509i</v>
      </c>
      <c r="AN528">
        <f t="shared" si="439"/>
        <v>3.7463614378454846</v>
      </c>
      <c r="AO528">
        <f t="shared" si="440"/>
        <v>-1.3005947966478946</v>
      </c>
      <c r="AP528" s="41" t="str">
        <f t="shared" si="441"/>
        <v>1.2870453159667-5.32157208298222i</v>
      </c>
      <c r="AQ528">
        <f t="shared" si="442"/>
        <v>14.767681032968568</v>
      </c>
      <c r="AR528" s="43">
        <f t="shared" si="443"/>
        <v>-76.403849560415352</v>
      </c>
      <c r="AS528" t="str">
        <f t="shared" si="420"/>
        <v>-0.0000166666666666667</v>
      </c>
      <c r="AT528" t="str">
        <f t="shared" si="421"/>
        <v>0.0268942096107484i</v>
      </c>
      <c r="AU528">
        <f t="shared" si="444"/>
        <v>2.6894209610748399E-2</v>
      </c>
      <c r="AV528">
        <f t="shared" si="445"/>
        <v>1.5707963267948966</v>
      </c>
      <c r="AW528" t="str">
        <f t="shared" si="422"/>
        <v>1+27.3315894902312i</v>
      </c>
      <c r="AX528">
        <f t="shared" si="446"/>
        <v>27.349877222073893</v>
      </c>
      <c r="AY528">
        <f t="shared" si="447"/>
        <v>1.5342249397380394</v>
      </c>
      <c r="AZ528" t="str">
        <f t="shared" si="423"/>
        <v>1+929.274042667859i</v>
      </c>
      <c r="BA528">
        <f t="shared" si="448"/>
        <v>929.27458072211687</v>
      </c>
      <c r="BB528">
        <f t="shared" si="449"/>
        <v>1.5697202183832961</v>
      </c>
      <c r="BC528" s="41" t="str">
        <f t="shared" si="450"/>
        <v>-0.00074723642012277+0.0210428711702485i</v>
      </c>
      <c r="BD528">
        <f t="shared" si="451"/>
        <v>-33.532427183474873</v>
      </c>
      <c r="BE528" s="43">
        <f t="shared" si="452"/>
        <v>92.033729659014043</v>
      </c>
      <c r="BF528" s="41" t="str">
        <f t="shared" si="453"/>
        <v>0.000139525645499401-0.00906680055999485i</v>
      </c>
      <c r="BG528" s="20">
        <f t="shared" si="454"/>
        <v>-40.849890413696301</v>
      </c>
      <c r="BH528" s="43">
        <f t="shared" si="455"/>
        <v>-89.1183659969237</v>
      </c>
      <c r="BI528" s="41" t="str">
        <f t="shared" si="460"/>
        <v>0.111019428630947+0.0310596012468719i</v>
      </c>
      <c r="BJ528" s="20">
        <f t="shared" si="456"/>
        <v>-18.764746150506312</v>
      </c>
      <c r="BK528" s="43">
        <f t="shared" si="461"/>
        <v>15.629880098598703</v>
      </c>
      <c r="BL528">
        <f t="shared" si="457"/>
        <v>-40.849890413696301</v>
      </c>
      <c r="BM528" s="43">
        <f t="shared" si="458"/>
        <v>-89.1183659969237</v>
      </c>
    </row>
    <row r="529" spans="14:65" x14ac:dyDescent="0.25">
      <c r="N529" s="9">
        <v>11</v>
      </c>
      <c r="O529" s="34">
        <f t="shared" si="462"/>
        <v>1288249.5516931366</v>
      </c>
      <c r="P529" s="33" t="str">
        <f t="shared" si="411"/>
        <v>19.1021967526266</v>
      </c>
      <c r="Q529" s="4" t="str">
        <f t="shared" si="412"/>
        <v>1+1816.7745978673i</v>
      </c>
      <c r="R529" s="4">
        <f t="shared" si="424"/>
        <v>1816.7748730802859</v>
      </c>
      <c r="S529" s="4">
        <f t="shared" si="425"/>
        <v>1.5702459008366163</v>
      </c>
      <c r="T529" s="4" t="str">
        <f t="shared" si="413"/>
        <v>1+30.434608063473i</v>
      </c>
      <c r="U529" s="4">
        <f t="shared" si="426"/>
        <v>30.451032297398655</v>
      </c>
      <c r="V529" s="4">
        <f t="shared" si="427"/>
        <v>1.5379508121501426</v>
      </c>
      <c r="W529" t="str">
        <f t="shared" si="414"/>
        <v>1-16.8631471982896i</v>
      </c>
      <c r="X529" s="4">
        <f t="shared" si="428"/>
        <v>16.892771632600208</v>
      </c>
      <c r="Y529" s="4">
        <f t="shared" si="429"/>
        <v>-1.511564781462184</v>
      </c>
      <c r="Z529" t="str">
        <f t="shared" si="415"/>
        <v>-0.65958690743756+12.5461815155274i</v>
      </c>
      <c r="AA529" s="4">
        <f t="shared" si="430"/>
        <v>12.563507691286873</v>
      </c>
      <c r="AB529" s="4">
        <f t="shared" si="431"/>
        <v>1.6233206934251361</v>
      </c>
      <c r="AC529" s="47" t="str">
        <f t="shared" si="432"/>
        <v>-0.43036012943939+0.0110144202224063i</v>
      </c>
      <c r="AD529" s="20">
        <f t="shared" si="433"/>
        <v>-7.320515595728132</v>
      </c>
      <c r="AE529" s="43">
        <f t="shared" si="434"/>
        <v>178.53392075135611</v>
      </c>
      <c r="AF529" t="str">
        <f t="shared" si="416"/>
        <v>69.5520360182888</v>
      </c>
      <c r="AG529" t="str">
        <f t="shared" si="417"/>
        <v>1+1449.26705064157i</v>
      </c>
      <c r="AH529">
        <f t="shared" si="435"/>
        <v>1449.2673956435076</v>
      </c>
      <c r="AI529">
        <f t="shared" si="436"/>
        <v>1.5701063229471892</v>
      </c>
      <c r="AJ529" t="str">
        <f t="shared" si="418"/>
        <v>1+30.434608063473i</v>
      </c>
      <c r="AK529">
        <f t="shared" si="437"/>
        <v>30.451032297398655</v>
      </c>
      <c r="AL529">
        <f t="shared" si="438"/>
        <v>1.5379508121501426</v>
      </c>
      <c r="AM529" t="str">
        <f t="shared" si="419"/>
        <v>1-3.69453044441331i</v>
      </c>
      <c r="AN529">
        <f t="shared" si="439"/>
        <v>3.8274737366436375</v>
      </c>
      <c r="AO529">
        <f t="shared" si="440"/>
        <v>-1.3064597576456582</v>
      </c>
      <c r="AP529" s="41" t="str">
        <f t="shared" si="441"/>
        <v>1.28704378422671-5.44330752013106i</v>
      </c>
      <c r="AQ529">
        <f t="shared" si="442"/>
        <v>14.953511301202946</v>
      </c>
      <c r="AR529" s="43">
        <f t="shared" si="443"/>
        <v>-76.697005273538736</v>
      </c>
      <c r="AS529" t="str">
        <f t="shared" si="420"/>
        <v>-0.0000166666666666667</v>
      </c>
      <c r="AT529" t="str">
        <f t="shared" si="421"/>
        <v>0.0275206562276086i</v>
      </c>
      <c r="AU529">
        <f t="shared" si="444"/>
        <v>2.75206562276086E-2</v>
      </c>
      <c r="AV529">
        <f t="shared" si="445"/>
        <v>1.5707963267948966</v>
      </c>
      <c r="AW529" t="str">
        <f t="shared" si="422"/>
        <v>1+27.9682239932479i</v>
      </c>
      <c r="AX529">
        <f t="shared" si="446"/>
        <v>27.986095714416603</v>
      </c>
      <c r="AY529">
        <f t="shared" si="447"/>
        <v>1.535056689194682</v>
      </c>
      <c r="AZ529" t="str">
        <f t="shared" si="423"/>
        <v>1+950.919615770429i</v>
      </c>
      <c r="BA529">
        <f t="shared" si="448"/>
        <v>950.92014157708343</v>
      </c>
      <c r="BB529">
        <f t="shared" si="449"/>
        <v>1.5697447135830274</v>
      </c>
      <c r="BC529" s="41" t="str">
        <f t="shared" si="450"/>
        <v>-0.000713648180769698+0.0205650778862207i</v>
      </c>
      <c r="BD529">
        <f t="shared" si="451"/>
        <v>-33.732166091012694</v>
      </c>
      <c r="BE529" s="43">
        <f t="shared" si="452"/>
        <v>91.987477397099042</v>
      </c>
      <c r="BF529" s="41" t="str">
        <f t="shared" si="453"/>
        <v>0.0000806133137048826-0.00885825000199903i</v>
      </c>
      <c r="BG529" s="20">
        <f t="shared" si="454"/>
        <v>-41.052681686740826</v>
      </c>
      <c r="BH529" s="43">
        <f t="shared" si="455"/>
        <v>-89.478601851544852</v>
      </c>
      <c r="BI529" s="41" t="str">
        <f t="shared" si="460"/>
        <v>0.111023546654962+0.0303527621747101i</v>
      </c>
      <c r="BJ529" s="20">
        <f t="shared" si="456"/>
        <v>-18.778654789809725</v>
      </c>
      <c r="BK529" s="43">
        <f t="shared" si="461"/>
        <v>15.290472123560299</v>
      </c>
      <c r="BL529">
        <f t="shared" si="457"/>
        <v>-41.052681686740826</v>
      </c>
      <c r="BM529" s="43">
        <f t="shared" si="458"/>
        <v>-89.478601851544852</v>
      </c>
    </row>
    <row r="530" spans="14:65" x14ac:dyDescent="0.25">
      <c r="N530" s="9">
        <v>12</v>
      </c>
      <c r="O530" s="34">
        <f t="shared" si="462"/>
        <v>1318256.7385564097</v>
      </c>
      <c r="P530" s="33" t="str">
        <f t="shared" si="411"/>
        <v>19.1021967526266</v>
      </c>
      <c r="Q530" s="4" t="str">
        <f t="shared" si="412"/>
        <v>1+1859.0927145513i</v>
      </c>
      <c r="R530" s="4">
        <f t="shared" si="424"/>
        <v>1859.0929834996746</v>
      </c>
      <c r="S530" s="4">
        <f t="shared" si="425"/>
        <v>1.57025843005864</v>
      </c>
      <c r="T530" s="4" t="str">
        <f t="shared" si="413"/>
        <v>1+31.1435211541633i</v>
      </c>
      <c r="U530" s="4">
        <f t="shared" si="426"/>
        <v>31.159571721700811</v>
      </c>
      <c r="V530" s="4">
        <f t="shared" si="427"/>
        <v>1.5386979479330072</v>
      </c>
      <c r="W530" t="str">
        <f t="shared" si="414"/>
        <v>1-17.2559403558086i</v>
      </c>
      <c r="X530" s="4">
        <f t="shared" si="428"/>
        <v>17.284891598249146</v>
      </c>
      <c r="Y530" s="4">
        <f t="shared" si="429"/>
        <v>-1.5129100112438811</v>
      </c>
      <c r="Z530" t="str">
        <f t="shared" si="415"/>
        <v>-0.73780082874938+12.8384196247216i</v>
      </c>
      <c r="AA530" s="4">
        <f t="shared" si="430"/>
        <v>12.859602191488662</v>
      </c>
      <c r="AB530" s="4">
        <f t="shared" si="431"/>
        <v>1.6282013842069289</v>
      </c>
      <c r="AC530" s="47" t="str">
        <f t="shared" si="432"/>
        <v>-0.430133262342681+0.013372513866417i</v>
      </c>
      <c r="AD530" s="20">
        <f t="shared" si="433"/>
        <v>-7.3237438355390427</v>
      </c>
      <c r="AE530" s="43">
        <f t="shared" si="434"/>
        <v>178.21929163502324</v>
      </c>
      <c r="AF530" t="str">
        <f t="shared" si="416"/>
        <v>69.5520360182888</v>
      </c>
      <c r="AG530" t="str">
        <f t="shared" si="417"/>
        <v>1+1483.02481686492i</v>
      </c>
      <c r="AH530">
        <f t="shared" si="435"/>
        <v>1483.0251540136564</v>
      </c>
      <c r="AI530">
        <f t="shared" si="436"/>
        <v>1.5701220293474978</v>
      </c>
      <c r="AJ530" t="str">
        <f t="shared" si="418"/>
        <v>1+31.1435211541633i</v>
      </c>
      <c r="AK530">
        <f t="shared" si="437"/>
        <v>31.159571721700811</v>
      </c>
      <c r="AL530">
        <f t="shared" si="438"/>
        <v>1.5386979479330072</v>
      </c>
      <c r="AM530" t="str">
        <f t="shared" si="419"/>
        <v>1-3.78058711353604i</v>
      </c>
      <c r="AN530">
        <f t="shared" si="439"/>
        <v>3.9106059534341684</v>
      </c>
      <c r="AO530">
        <f t="shared" si="440"/>
        <v>-1.3122092651972801</v>
      </c>
      <c r="AP530" s="41" t="str">
        <f t="shared" si="441"/>
        <v>1.28704232142631-5.56792907088256i</v>
      </c>
      <c r="AQ530">
        <f t="shared" si="442"/>
        <v>15.139937347414239</v>
      </c>
      <c r="AR530" s="43">
        <f t="shared" si="443"/>
        <v>-76.984519973892901</v>
      </c>
      <c r="AS530" t="str">
        <f t="shared" si="420"/>
        <v>-0.0000166666666666667</v>
      </c>
      <c r="AT530" t="str">
        <f t="shared" si="421"/>
        <v>0.0281616946606796i</v>
      </c>
      <c r="AU530">
        <f t="shared" si="444"/>
        <v>2.8161694660679599E-2</v>
      </c>
      <c r="AV530">
        <f t="shared" si="445"/>
        <v>1.5707963267948966</v>
      </c>
      <c r="AW530" t="str">
        <f t="shared" si="422"/>
        <v>1+28.6196876188291i</v>
      </c>
      <c r="AX530">
        <f t="shared" si="446"/>
        <v>28.637152780948032</v>
      </c>
      <c r="AY530">
        <f t="shared" si="447"/>
        <v>1.535869553528072</v>
      </c>
      <c r="AZ530" t="str">
        <f t="shared" si="423"/>
        <v>1+973.069379040188i</v>
      </c>
      <c r="BA530">
        <f t="shared" si="448"/>
        <v>973.06989287802821</v>
      </c>
      <c r="BB530">
        <f t="shared" si="449"/>
        <v>1.5697686512051587</v>
      </c>
      <c r="BC530" s="41" t="str">
        <f t="shared" si="450"/>
        <v>-0.00068156788760237+0.0200980804792274i</v>
      </c>
      <c r="BD530">
        <f t="shared" si="451"/>
        <v>-33.931916734968112</v>
      </c>
      <c r="BE530" s="43">
        <f t="shared" si="452"/>
        <v>91.942275226198802</v>
      </c>
      <c r="BF530" s="41" t="str">
        <f t="shared" si="453"/>
        <v>0.0000244031591055838-0.0086539671993837i</v>
      </c>
      <c r="BG530" s="20">
        <f t="shared" si="454"/>
        <v>-41.255660570507153</v>
      </c>
      <c r="BH530" s="43">
        <f t="shared" si="455"/>
        <v>-89.838433138777972</v>
      </c>
      <c r="BI530" s="41" t="str">
        <f t="shared" si="460"/>
        <v>0.111027479852958+0.0296620018113589i</v>
      </c>
      <c r="BJ530" s="20">
        <f t="shared" si="456"/>
        <v>-18.791979387553887</v>
      </c>
      <c r="BK530" s="43">
        <f t="shared" si="461"/>
        <v>14.95775525230593</v>
      </c>
      <c r="BL530">
        <f t="shared" si="457"/>
        <v>-41.255660570507153</v>
      </c>
      <c r="BM530" s="43">
        <f t="shared" si="458"/>
        <v>-89.838433138777972</v>
      </c>
    </row>
    <row r="531" spans="14:65" x14ac:dyDescent="0.25">
      <c r="N531" s="9">
        <v>13</v>
      </c>
      <c r="O531" s="34">
        <f t="shared" si="462"/>
        <v>1348962.8825916562</v>
      </c>
      <c r="P531" s="33" t="str">
        <f t="shared" ref="P531:P560" si="463">COMPLEX(Adc,0)</f>
        <v>19.1021967526266</v>
      </c>
      <c r="Q531" s="4" t="str">
        <f t="shared" ref="Q531:Q560" si="464">IMSUM(COMPLEX(1,0),IMDIV(COMPLEX(0,2*PI()*O531),COMPLEX(wp_lf,0)))</f>
        <v>1+1902.39654680054i</v>
      </c>
      <c r="R531" s="4">
        <f t="shared" si="424"/>
        <v>1902.396809626903</v>
      </c>
      <c r="S531" s="4">
        <f t="shared" si="425"/>
        <v>1.5702706740809143</v>
      </c>
      <c r="T531" s="4" t="str">
        <f t="shared" ref="T531:T560" si="465">IMSUM(COMPLEX(1,0),IMDIV(COMPLEX(0,2*PI()*O531),COMPLEX(wz_esr,0)))</f>
        <v>1+31.8689469520027i</v>
      </c>
      <c r="U531" s="4">
        <f t="shared" si="426"/>
        <v>31.884632345842761</v>
      </c>
      <c r="V531" s="4">
        <f t="shared" si="427"/>
        <v>1.539428111469884</v>
      </c>
      <c r="W531" t="str">
        <f t="shared" ref="W531:W560" si="466">IMSUB(COMPLEX(1,0),IMDIV(COMPLEX(0,2*PI()*O531),COMPLEX(wz_rhp,0)))</f>
        <v>1-17.6578828413136i</v>
      </c>
      <c r="X531" s="4">
        <f t="shared" si="428"/>
        <v>17.686176139503907</v>
      </c>
      <c r="Y531" s="4">
        <f t="shared" si="429"/>
        <v>-1.5142248225584793</v>
      </c>
      <c r="Z531" t="str">
        <f t="shared" ref="Z531:Z560" si="467">IMSUM(COMPLEX(1,0),IMDIV(COMPLEX(0,2*PI()*O531),COMPLEX(Q*(wsl/2),0)),IMDIV(IMPOWER(COMPLEX(0,2*PI()*O531),2),IMPOWER(COMPLEX(wsl/2,0),2)))</f>
        <v>-0.81970085860999+13.1374648339373i</v>
      </c>
      <c r="AA531" s="4">
        <f t="shared" si="430"/>
        <v>13.163012260138069</v>
      </c>
      <c r="AB531" s="4">
        <f t="shared" si="431"/>
        <v>1.6331096909233149</v>
      </c>
      <c r="AC531" s="47" t="str">
        <f t="shared" si="432"/>
        <v>-0.429884295395348+0.0157340889228607i</v>
      </c>
      <c r="AD531" s="20">
        <f t="shared" si="433"/>
        <v>-7.3271544250580458</v>
      </c>
      <c r="AE531" s="43">
        <f t="shared" si="434"/>
        <v>177.90386699465287</v>
      </c>
      <c r="AF531" t="str">
        <f t="shared" ref="AF531:AF560" si="468">COMPLEX($B$72,0)</f>
        <v>69.5520360182888</v>
      </c>
      <c r="AG531" t="str">
        <f t="shared" ref="AG531:AG560" si="469">IMSUM(COMPLEX(1,0),IMDIV(COMPLEX(0,2*PI()*O531),COMPLEX(wp_lf_DCM,0)))</f>
        <v>1+1517.56890247632i</v>
      </c>
      <c r="AH531">
        <f t="shared" si="435"/>
        <v>1517.5692319506159</v>
      </c>
      <c r="AI531">
        <f t="shared" si="436"/>
        <v>1.5701373782268082</v>
      </c>
      <c r="AJ531" t="str">
        <f t="shared" ref="AJ531:AJ560" si="470">IMSUM(COMPLEX(1,0),IMDIV(COMPLEX(0,2*PI()*O531),COMPLEX(wz1_dcm,0)))</f>
        <v>1+31.8689469520027i</v>
      </c>
      <c r="AK531">
        <f t="shared" si="437"/>
        <v>31.884632345842761</v>
      </c>
      <c r="AL531">
        <f t="shared" si="438"/>
        <v>1.539428111469884</v>
      </c>
      <c r="AM531" t="str">
        <f t="shared" ref="AM531:AM560" si="471">IMSUB(COMPLEX(1,0),IMDIV(COMPLEX(0,2*PI()*O531),COMPLEX(wz2_dcm,0)))</f>
        <v>1-3.86864829998835i</v>
      </c>
      <c r="AN531">
        <f t="shared" si="439"/>
        <v>3.9958027565187386</v>
      </c>
      <c r="AO531">
        <f t="shared" si="440"/>
        <v>-1.3178448466614727</v>
      </c>
      <c r="AP531" s="41" t="str">
        <f t="shared" si="441"/>
        <v>1.28704092446271-5.6955028112389i</v>
      </c>
      <c r="AQ531">
        <f t="shared" si="442"/>
        <v>15.326935813304086</v>
      </c>
      <c r="AR531" s="43">
        <f t="shared" si="443"/>
        <v>-77.266459143880681</v>
      </c>
      <c r="AS531" t="str">
        <f t="shared" ref="AS531:AS560" si="472">COMPLEX(Adc_ea,0)</f>
        <v>-0.0000166666666666667</v>
      </c>
      <c r="AT531" t="str">
        <f t="shared" ref="AT531:AT560" si="473">COMPLEX(0,2*PI()*O531*wp0_ea)</f>
        <v>0.0288176647970238i</v>
      </c>
      <c r="AU531">
        <f t="shared" si="444"/>
        <v>2.8817664797023801E-2</v>
      </c>
      <c r="AV531">
        <f t="shared" si="445"/>
        <v>1.5707963267948966</v>
      </c>
      <c r="AW531" t="str">
        <f t="shared" ref="AW531:AW560" si="474">IMSUM(COMPLEX(1,0),IMDIV(COMPLEX(0,2*PI()*O531),COMPLEX(wp1_ea,0)))</f>
        <v>1+29.286325781612i</v>
      </c>
      <c r="AX531">
        <f t="shared" si="446"/>
        <v>29.303393622355614</v>
      </c>
      <c r="AY531">
        <f t="shared" si="447"/>
        <v>1.5366639594303932</v>
      </c>
      <c r="AZ531" t="str">
        <f t="shared" ref="AZ531:AZ560" si="475">IMSUM(COMPLEX(1,0),IMDIV(COMPLEX(0,2*PI()*O531),COMPLEX(wz_ea,0)))</f>
        <v>1+995.735076574808i</v>
      </c>
      <c r="BA531">
        <f t="shared" si="448"/>
        <v>995.73557871627679</v>
      </c>
      <c r="BB531">
        <f t="shared" si="449"/>
        <v>1.5697920439416249</v>
      </c>
      <c r="BC531" s="41" t="str">
        <f t="shared" si="450"/>
        <v>-0.000650928003305331+0.0196416385321725i</v>
      </c>
      <c r="BD531">
        <f t="shared" si="451"/>
        <v>-34.1316785884053</v>
      </c>
      <c r="BE531" s="43">
        <f t="shared" si="452"/>
        <v>91.898099425846283</v>
      </c>
      <c r="BF531" s="41" t="str">
        <f t="shared" si="453"/>
        <v>-0.0000292195612018763-0.00845387369989948i</v>
      </c>
      <c r="BG531" s="20">
        <f t="shared" si="454"/>
        <v>-41.458833013463341</v>
      </c>
      <c r="BH531" s="43">
        <f t="shared" si="455"/>
        <v>-90.19803357950083</v>
      </c>
      <c r="BI531" s="41" t="str">
        <f t="shared" si="460"/>
        <v>0.111031236498194+0.0289869548871493i</v>
      </c>
      <c r="BJ531" s="20">
        <f t="shared" si="456"/>
        <v>-18.804742775101214</v>
      </c>
      <c r="BK531" s="43">
        <f t="shared" si="461"/>
        <v>14.631640281965602</v>
      </c>
      <c r="BL531">
        <f t="shared" si="457"/>
        <v>-41.458833013463341</v>
      </c>
      <c r="BM531" s="43">
        <f t="shared" si="458"/>
        <v>-90.19803357950083</v>
      </c>
    </row>
    <row r="532" spans="14:65" x14ac:dyDescent="0.25">
      <c r="N532" s="9">
        <v>14</v>
      </c>
      <c r="O532" s="34">
        <f t="shared" si="462"/>
        <v>1380384.2646028849</v>
      </c>
      <c r="P532" s="33" t="str">
        <f t="shared" si="463"/>
        <v>19.1021967526266</v>
      </c>
      <c r="Q532" s="4" t="str">
        <f t="shared" si="464"/>
        <v>1+1946.7090548801i</v>
      </c>
      <c r="R532" s="4">
        <f t="shared" ref="R532:R560" si="476">IMABS(Q532)</f>
        <v>1946.7093117238055</v>
      </c>
      <c r="S532" s="4">
        <f t="shared" ref="S532:S560" si="477">IMARGUMENT(Q532)</f>
        <v>1.5702826393953673</v>
      </c>
      <c r="T532" s="4" t="str">
        <f t="shared" si="465"/>
        <v>1+32.6112700873514i</v>
      </c>
      <c r="U532" s="4">
        <f t="shared" ref="U532:U560" si="478">IMABS(T532)</f>
        <v>32.626598607733847</v>
      </c>
      <c r="V532" s="4">
        <f t="shared" ref="V532:V560" si="479">IMARGUMENT(T532)</f>
        <v>1.5401416867871365</v>
      </c>
      <c r="W532" t="str">
        <f t="shared" si="466"/>
        <v>1-18.0691877700307i</v>
      </c>
      <c r="X532" s="4">
        <f t="shared" ref="X532:X560" si="480">IMABS(W532)</f>
        <v>18.09683802957376</v>
      </c>
      <c r="Y532" s="4">
        <f t="shared" ref="Y532:Y560" si="481">IMARGUMENT(W532)</f>
        <v>-1.5155098943424345</v>
      </c>
      <c r="Z532" t="str">
        <f t="shared" si="467"/>
        <v>-0.90546071796324+13.4434757009028i</v>
      </c>
      <c r="AA532" s="4">
        <f t="shared" ref="AA532:AA560" si="482">IMABS(Z532)</f>
        <v>13.473934022123551</v>
      </c>
      <c r="AB532" s="4">
        <f t="shared" ref="AB532:AB560" si="483">IMARGUMENT(Z532)</f>
        <v>1.6380479260457048</v>
      </c>
      <c r="AC532" s="47" t="str">
        <f t="shared" ref="AC532:AC560" si="484">(IMDIV(IMPRODUCT(P532,T532,W532),IMPRODUCT(Q532,Z532)))</f>
        <v>-0.429612778943985+0.018100024897285i</v>
      </c>
      <c r="AD532" s="20">
        <f t="shared" ref="AD532:AD560" si="485">20*LOG(IMABS(AC532))</f>
        <v>-7.3307541853223945</v>
      </c>
      <c r="AE532" s="43">
        <f t="shared" ref="AE532:AE560" si="486">(180/PI())*IMARGUMENT(AC532)</f>
        <v>177.58749706632923</v>
      </c>
      <c r="AF532" t="str">
        <f t="shared" si="468"/>
        <v>69.5520360182888</v>
      </c>
      <c r="AG532" t="str">
        <f t="shared" si="469"/>
        <v>1+1552.91762320721i</v>
      </c>
      <c r="AH532">
        <f t="shared" ref="AH532:AH560" si="487">IMABS(AG532)</f>
        <v>1552.917945181757</v>
      </c>
      <c r="AI532">
        <f t="shared" ref="AI532:AI560" si="488">IMARGUMENT(AG532)</f>
        <v>1.5701523777232702</v>
      </c>
      <c r="AJ532" t="str">
        <f t="shared" si="470"/>
        <v>1+32.6112700873514i</v>
      </c>
      <c r="AK532">
        <f t="shared" ref="AK532:AK560" si="489">IMABS(AJ532)</f>
        <v>32.626598607733847</v>
      </c>
      <c r="AL532">
        <f t="shared" ref="AL532:AL560" si="490">IMARGUMENT(AJ532)</f>
        <v>1.5401416867871365</v>
      </c>
      <c r="AM532" t="str">
        <f t="shared" si="471"/>
        <v>1-3.95876069497692i</v>
      </c>
      <c r="AN532">
        <f t="shared" ref="AN532:AN560" si="491">IMABS(AM532)</f>
        <v>4.0831098736250224</v>
      </c>
      <c r="AO532">
        <f t="shared" ref="AO532:AO560" si="492">IMARGUMENT(AM532)</f>
        <v>-1.323368057624511</v>
      </c>
      <c r="AP532" s="41" t="str">
        <f t="shared" ref="AP532:AP560" si="493">(IMDIV(IMPRODUCT(AF532,AJ532,AM532),IMPRODUCT(AG532)))</f>
        <v>1.28703959037278-5.82609638249176i</v>
      </c>
      <c r="AQ532">
        <f t="shared" ref="AQ532:AQ560" si="494">20*LOG(IMABS(AP532))</f>
        <v>15.514484116394872</v>
      </c>
      <c r="AR532" s="43">
        <f t="shared" ref="AR532:AR560" si="495">(180/PI())*IMARGUMENT(AP532)</f>
        <v>-77.542890375221987</v>
      </c>
      <c r="AS532" t="str">
        <f t="shared" si="472"/>
        <v>-0.0000166666666666667</v>
      </c>
      <c r="AT532" t="str">
        <f t="shared" si="473"/>
        <v>0.0294889144406901i</v>
      </c>
      <c r="AU532">
        <f t="shared" ref="AU532:AU560" si="496">IMABS(AT532)</f>
        <v>2.94889144406901E-2</v>
      </c>
      <c r="AV532">
        <f t="shared" ref="AV532:AV560" si="497">IMARGUMENT(AT532)</f>
        <v>1.5707963267948966</v>
      </c>
      <c r="AW532" t="str">
        <f t="shared" si="474"/>
        <v>1+29.9684919419747i</v>
      </c>
      <c r="AX532">
        <f t="shared" ref="AX532:AX560" si="498">IMABS(AW532)</f>
        <v>29.985171489858157</v>
      </c>
      <c r="AY532">
        <f t="shared" ref="AY532:AY560" si="499">IMARGUMENT(AW532)</f>
        <v>1.5374403240932053</v>
      </c>
      <c r="AZ532" t="str">
        <f t="shared" si="475"/>
        <v>1+1018.92872602714i</v>
      </c>
      <c r="BA532">
        <f t="shared" ref="BA532:BA560" si="500">IMABS(AZ532)</f>
        <v>1018.9292167384792</v>
      </c>
      <c r="BB532">
        <f t="shared" ref="BB532:BB560" si="501">IMARGUMENT(AZ532)</f>
        <v>1.5698149041954617</v>
      </c>
      <c r="BC532" s="41" t="str">
        <f t="shared" ref="BC532:BC560" si="502">IMPRODUCT(AS532,IMDIV(AZ532,IMPRODUCT(AT532,AW532)))</f>
        <v>-0.000621664001156166+0.0191955167465165i</v>
      </c>
      <c r="BD532">
        <f t="shared" ref="BD532:BD560" si="503">20*LOG(IMABS(BC532))</f>
        <v>-34.331451147991075</v>
      </c>
      <c r="BE532" s="43">
        <f t="shared" ref="BE532:BE560" si="504">(180/PI())*IMARGUMENT(BC532)</f>
        <v>91.854926803367505</v>
      </c>
      <c r="BF532" s="41" t="str">
        <f t="shared" ref="BF532:BF560" si="505">IMPRODUCT(AC532,BC532)</f>
        <v>-0.0000803645319220626-0.00825789142663543i</v>
      </c>
      <c r="BG532" s="20">
        <f t="shared" ref="BG532:BG560" si="506">20*LOG(IMABS(BF532))</f>
        <v>-41.662205333313473</v>
      </c>
      <c r="BH532" s="43">
        <f t="shared" ref="BH532:BH560" si="507">(180/PI())*IMARGUMENT(BF532)</f>
        <v>-90.557576130303246</v>
      </c>
      <c r="BI532" s="41" t="str">
        <f t="shared" si="460"/>
        <v>0.111034824495542+0.0283272643986917i</v>
      </c>
      <c r="BJ532" s="20">
        <f t="shared" ref="BJ532:BJ560" si="508">20*LOG(IMABS(BI532))</f>
        <v>-18.816967031596224</v>
      </c>
      <c r="BK532" s="43">
        <f t="shared" si="461"/>
        <v>14.312036428145538</v>
      </c>
      <c r="BL532">
        <f t="shared" ref="BL532:BL560" si="509">IF($B$31=0,BJ532,BG532)</f>
        <v>-41.662205333313473</v>
      </c>
      <c r="BM532" s="43">
        <f t="shared" ref="BM532:BM560" si="510">IF($B$31=0,BK532,BH532)</f>
        <v>-90.557576130303246</v>
      </c>
    </row>
    <row r="533" spans="14:65" x14ac:dyDescent="0.25">
      <c r="N533" s="9">
        <v>15</v>
      </c>
      <c r="O533" s="34">
        <f t="shared" si="462"/>
        <v>1412537.5446227565</v>
      </c>
      <c r="P533" s="33" t="str">
        <f t="shared" si="463"/>
        <v>19.1021967526266</v>
      </c>
      <c r="Q533" s="4" t="str">
        <f t="shared" si="464"/>
        <v>1+1992.0537338683i</v>
      </c>
      <c r="R533" s="4">
        <f t="shared" si="476"/>
        <v>1992.0539848655299</v>
      </c>
      <c r="S533" s="4">
        <f t="shared" si="477"/>
        <v>1.5702943323461531</v>
      </c>
      <c r="T533" s="4" t="str">
        <f t="shared" si="465"/>
        <v>1+33.3708841497617i</v>
      </c>
      <c r="U533" s="4">
        <f t="shared" si="478"/>
        <v>33.385863908798541</v>
      </c>
      <c r="V533" s="4">
        <f t="shared" si="479"/>
        <v>1.5408390493234188</v>
      </c>
      <c r="W533" t="str">
        <f t="shared" si="466"/>
        <v>1-18.4900732212776i</v>
      </c>
      <c r="X533" s="4">
        <f t="shared" si="480"/>
        <v>18.51709501320893</v>
      </c>
      <c r="Y533" s="4">
        <f t="shared" si="481"/>
        <v>-1.516765890970766</v>
      </c>
      <c r="Z533" t="str">
        <f t="shared" si="467"/>
        <v>-0.99526231496888+13.7566144766305i</v>
      </c>
      <c r="AA533" s="4">
        <f t="shared" si="482"/>
        <v>13.792570062690894</v>
      </c>
      <c r="AB533" s="4">
        <f t="shared" si="483"/>
        <v>1.6430184040925691</v>
      </c>
      <c r="AC533" s="47" t="str">
        <f t="shared" si="484"/>
        <v>-0.429318224484582+0.0204711868021448i</v>
      </c>
      <c r="AD533" s="20">
        <f t="shared" si="485"/>
        <v>-7.3345502941893672</v>
      </c>
      <c r="AE533" s="43">
        <f t="shared" si="486"/>
        <v>177.27003231958489</v>
      </c>
      <c r="AF533" t="str">
        <f t="shared" si="468"/>
        <v>69.5520360182888</v>
      </c>
      <c r="AG533" t="str">
        <f t="shared" si="469"/>
        <v>1+1589.08972141723i</v>
      </c>
      <c r="AH533">
        <f t="shared" si="487"/>
        <v>1589.0900360627431</v>
      </c>
      <c r="AI533">
        <f t="shared" si="488"/>
        <v>1.5701670357897886</v>
      </c>
      <c r="AJ533" t="str">
        <f t="shared" si="470"/>
        <v>1+33.3708841497617i</v>
      </c>
      <c r="AK533">
        <f t="shared" si="489"/>
        <v>33.385863908798541</v>
      </c>
      <c r="AL533">
        <f t="shared" si="490"/>
        <v>1.5408390493234188</v>
      </c>
      <c r="AM533" t="str">
        <f t="shared" si="471"/>
        <v>1-4.05097207728638i</v>
      </c>
      <c r="AN533">
        <f t="shared" si="491"/>
        <v>4.1725741180899263</v>
      </c>
      <c r="AO533">
        <f t="shared" si="492"/>
        <v>-1.3287804780749548</v>
      </c>
      <c r="AP533" s="41" t="str">
        <f t="shared" si="493"/>
        <v>1.28703831632673-5.95977902708677i</v>
      </c>
      <c r="AQ533">
        <f t="shared" si="494"/>
        <v>15.702560435953426</v>
      </c>
      <c r="AR533" s="43">
        <f t="shared" si="495"/>
        <v>-77.813883139210546</v>
      </c>
      <c r="AS533" t="str">
        <f t="shared" si="472"/>
        <v>-0.0000166666666666667</v>
      </c>
      <c r="AT533" t="str">
        <f t="shared" si="473"/>
        <v>0.030175799497125i</v>
      </c>
      <c r="AU533">
        <f t="shared" si="496"/>
        <v>3.0175799497125001E-2</v>
      </c>
      <c r="AV533">
        <f t="shared" si="497"/>
        <v>1.5707963267948966</v>
      </c>
      <c r="AW533" t="str">
        <f t="shared" si="474"/>
        <v>1+30.666547793445i</v>
      </c>
      <c r="AX533">
        <f t="shared" si="498"/>
        <v>30.682847872510902</v>
      </c>
      <c r="AY533">
        <f t="shared" si="499"/>
        <v>1.5381990554096079</v>
      </c>
      <c r="AZ533" t="str">
        <f t="shared" si="475"/>
        <v>1+1042.66262497713i</v>
      </c>
      <c r="BA533">
        <f t="shared" si="500"/>
        <v>1042.6631045185206</v>
      </c>
      <c r="BB533">
        <f t="shared" si="501"/>
        <v>1.5698372440873827</v>
      </c>
      <c r="BC533" s="41" t="str">
        <f t="shared" si="502"/>
        <v>-0.00059371423207597+0.0187594848492229i</v>
      </c>
      <c r="BD533">
        <f t="shared" si="503"/>
        <v>-34.531233932942946</v>
      </c>
      <c r="BE533" s="43">
        <f t="shared" si="504"/>
        <v>91.812734682675085</v>
      </c>
      <c r="BF533" s="41" t="str">
        <f t="shared" si="505"/>
        <v>-0.000129136578694365-0.00806594276266571i</v>
      </c>
      <c r="BG533" s="20">
        <f t="shared" si="506"/>
        <v>-41.865784227132316</v>
      </c>
      <c r="BH533" s="43">
        <f t="shared" si="507"/>
        <v>-90.91723299774003</v>
      </c>
      <c r="BI533" s="41" t="str">
        <f t="shared" si="460"/>
        <v>0.11103825139772+0.0276825814239099i</v>
      </c>
      <c r="BJ533" s="20">
        <f t="shared" si="508"/>
        <v>-18.828673496989552</v>
      </c>
      <c r="BK533" s="43">
        <f t="shared" si="461"/>
        <v>13.99885154346457</v>
      </c>
      <c r="BL533">
        <f t="shared" si="509"/>
        <v>-41.865784227132316</v>
      </c>
      <c r="BM533" s="43">
        <f t="shared" si="510"/>
        <v>-90.91723299774003</v>
      </c>
    </row>
    <row r="534" spans="14:65" x14ac:dyDescent="0.25">
      <c r="N534" s="9">
        <v>16</v>
      </c>
      <c r="O534" s="34">
        <f t="shared" si="462"/>
        <v>1445439.7707459298</v>
      </c>
      <c r="P534" s="33" t="str">
        <f t="shared" si="463"/>
        <v>19.1021967526266</v>
      </c>
      <c r="Q534" s="4" t="str">
        <f t="shared" si="464"/>
        <v>1+2038.45462611414i</v>
      </c>
      <c r="R534" s="4">
        <f t="shared" si="476"/>
        <v>2038.4548713979759</v>
      </c>
      <c r="S534" s="4">
        <f t="shared" si="477"/>
        <v>1.5703057591330167</v>
      </c>
      <c r="T534" s="4" t="str">
        <f t="shared" si="465"/>
        <v>1+34.1481918966641i</v>
      </c>
      <c r="U534" s="4">
        <f t="shared" si="478"/>
        <v>34.162830822567912</v>
      </c>
      <c r="V534" s="4">
        <f t="shared" si="479"/>
        <v>1.5415205661149263</v>
      </c>
      <c r="W534" t="str">
        <f t="shared" si="466"/>
        <v>1-18.9207623540914i</v>
      </c>
      <c r="X534" s="4">
        <f t="shared" si="480"/>
        <v>18.947169922181054</v>
      </c>
      <c r="Y534" s="4">
        <f t="shared" si="481"/>
        <v>-1.5179934625295748</v>
      </c>
      <c r="Z534" t="str">
        <f t="shared" si="467"/>
        <v>-1.08929613085404+14.077047191444i</v>
      </c>
      <c r="AA534" s="4">
        <f t="shared" si="482"/>
        <v>14.119129707274277</v>
      </c>
      <c r="AB534" s="4">
        <f t="shared" si="483"/>
        <v>1.6480234415411783</v>
      </c>
      <c r="AC534" s="47" t="str">
        <f t="shared" si="484"/>
        <v>-0.429000104291718+0.0228484240427105i</v>
      </c>
      <c r="AD534" s="20">
        <f t="shared" si="485"/>
        <v>-7.3385502979364423</v>
      </c>
      <c r="AE534" s="43">
        <f t="shared" si="486"/>
        <v>176.95132345726458</v>
      </c>
      <c r="AF534" t="str">
        <f t="shared" si="468"/>
        <v>69.5520360182888</v>
      </c>
      <c r="AG534" t="str">
        <f t="shared" si="469"/>
        <v>1+1626.10437603163i</v>
      </c>
      <c r="AH534">
        <f t="shared" si="487"/>
        <v>1626.1046835149377</v>
      </c>
      <c r="AI534">
        <f t="shared" si="488"/>
        <v>1.5701813601982386</v>
      </c>
      <c r="AJ534" t="str">
        <f t="shared" si="470"/>
        <v>1+34.1481918966641i</v>
      </c>
      <c r="AK534">
        <f t="shared" si="489"/>
        <v>34.162830822567912</v>
      </c>
      <c r="AL534">
        <f t="shared" si="490"/>
        <v>1.5415205661149263</v>
      </c>
      <c r="AM534" t="str">
        <f t="shared" si="471"/>
        <v>1-4.14533133861217i</v>
      </c>
      <c r="AN534">
        <f t="shared" si="491"/>
        <v>4.2642434155287345</v>
      </c>
      <c r="AO534">
        <f t="shared" si="492"/>
        <v>-1.3340837087826509</v>
      </c>
      <c r="AP534" s="41" t="str">
        <f t="shared" si="493"/>
        <v>1.28703709962216-6.09662162533678i</v>
      </c>
      <c r="AQ534">
        <f t="shared" si="494"/>
        <v>15.891143698106468</v>
      </c>
      <c r="AR534" s="43">
        <f t="shared" si="495"/>
        <v>-78.079508568873266</v>
      </c>
      <c r="AS534" t="str">
        <f t="shared" si="472"/>
        <v>-0.0000166666666666667</v>
      </c>
      <c r="AT534" t="str">
        <f t="shared" si="473"/>
        <v>0.0308786841618771i</v>
      </c>
      <c r="AU534">
        <f t="shared" si="496"/>
        <v>3.0878684161877099E-2</v>
      </c>
      <c r="AV534">
        <f t="shared" si="497"/>
        <v>1.5707963267948966</v>
      </c>
      <c r="AW534" t="str">
        <f t="shared" si="474"/>
        <v>1+31.3808634544751i</v>
      </c>
      <c r="AX534">
        <f t="shared" si="498"/>
        <v>31.396792688878442</v>
      </c>
      <c r="AY534">
        <f t="shared" si="499"/>
        <v>1.53894055217274</v>
      </c>
      <c r="AZ534" t="str">
        <f t="shared" si="475"/>
        <v>1+1066.94935745215i</v>
      </c>
      <c r="BA534">
        <f t="shared" si="500"/>
        <v>1066.9498260778507</v>
      </c>
      <c r="BB534">
        <f t="shared" si="501"/>
        <v>1.5698590754622048</v>
      </c>
      <c r="BC534" s="41" t="str">
        <f t="shared" si="502"/>
        <v>-0.000567019797440496+0.0183333175002772i</v>
      </c>
      <c r="BD534">
        <f t="shared" si="503"/>
        <v>-34.731026484022635</v>
      </c>
      <c r="BE534" s="43">
        <f t="shared" si="504"/>
        <v>91.771500893263266</v>
      </c>
      <c r="BF534" s="41" t="str">
        <f t="shared" si="505"/>
        <v>-0.000175635860118537-0.00787795062840463i</v>
      </c>
      <c r="BG534" s="20">
        <f t="shared" si="506"/>
        <v>-42.069576781959071</v>
      </c>
      <c r="BH534" s="43">
        <f t="shared" si="507"/>
        <v>-91.277175649472142</v>
      </c>
      <c r="BI534" s="41" t="str">
        <f t="shared" si="460"/>
        <v>0.111041524420829+0.0270525649410788i</v>
      </c>
      <c r="BJ534" s="20">
        <f t="shared" si="508"/>
        <v>-18.839882785916167</v>
      </c>
      <c r="BK534" s="43">
        <f t="shared" si="461"/>
        <v>13.691992324390032</v>
      </c>
      <c r="BL534">
        <f t="shared" si="509"/>
        <v>-42.069576781959071</v>
      </c>
      <c r="BM534" s="43">
        <f t="shared" si="510"/>
        <v>-91.277175649472142</v>
      </c>
    </row>
    <row r="535" spans="14:65" x14ac:dyDescent="0.25">
      <c r="N535" s="9">
        <v>17</v>
      </c>
      <c r="O535" s="34">
        <f t="shared" si="462"/>
        <v>1479108.3881682095</v>
      </c>
      <c r="P535" s="33" t="str">
        <f t="shared" si="463"/>
        <v>19.1021967526266</v>
      </c>
      <c r="Q535" s="4" t="str">
        <f t="shared" si="464"/>
        <v>1+2085.93633398488i</v>
      </c>
      <c r="R535" s="4">
        <f t="shared" si="476"/>
        <v>2085.9365736853747</v>
      </c>
      <c r="S535" s="4">
        <f t="shared" si="477"/>
        <v>1.5703169258145795</v>
      </c>
      <c r="T535" s="4" t="str">
        <f t="shared" si="465"/>
        <v>1+34.9436054669147i</v>
      </c>
      <c r="U535" s="4">
        <f t="shared" si="478"/>
        <v>34.957911308134392</v>
      </c>
      <c r="V535" s="4">
        <f t="shared" si="479"/>
        <v>1.5421865959771071</v>
      </c>
      <c r="W535" t="str">
        <f t="shared" si="466"/>
        <v>1-19.3614835255512i</v>
      </c>
      <c r="X535" s="4">
        <f t="shared" si="480"/>
        <v>19.387290793460302</v>
      </c>
      <c r="Y535" s="4">
        <f t="shared" si="481"/>
        <v>-1.5191932450862262</v>
      </c>
      <c r="Z535" t="str">
        <f t="shared" si="467"/>
        <v>-1.18776162394955+14.4049437430101i</v>
      </c>
      <c r="AA535" s="4">
        <f t="shared" si="482"/>
        <v>14.453829316641771</v>
      </c>
      <c r="AB535" s="4">
        <f t="shared" si="483"/>
        <v>1.6530653566824947</v>
      </c>
      <c r="AC535" s="47" t="str">
        <f t="shared" si="484"/>
        <v>-0.428657851034917+0.0252325692367369i</v>
      </c>
      <c r="AD535" s="20">
        <f t="shared" si="485"/>
        <v>-7.3427621232753033</v>
      </c>
      <c r="AE535" s="43">
        <f t="shared" si="486"/>
        <v>176.63122141858244</v>
      </c>
      <c r="AF535" t="str">
        <f t="shared" si="468"/>
        <v>69.5520360182888</v>
      </c>
      <c r="AG535" t="str">
        <f t="shared" si="469"/>
        <v>1+1663.98121271023i</v>
      </c>
      <c r="AH535">
        <f t="shared" si="487"/>
        <v>1663.9815131943647</v>
      </c>
      <c r="AI535">
        <f t="shared" si="488"/>
        <v>1.5701953585435884</v>
      </c>
      <c r="AJ535" t="str">
        <f t="shared" si="470"/>
        <v>1+34.9436054669147i</v>
      </c>
      <c r="AK535">
        <f t="shared" si="489"/>
        <v>34.957911308134392</v>
      </c>
      <c r="AL535">
        <f t="shared" si="490"/>
        <v>1.5421865959771071</v>
      </c>
      <c r="AM535" t="str">
        <f t="shared" si="471"/>
        <v>1-4.24188850948362i</v>
      </c>
      <c r="AN535">
        <f t="shared" si="491"/>
        <v>4.358166831006951</v>
      </c>
      <c r="AO535">
        <f t="shared" si="492"/>
        <v>-1.3392793678778006</v>
      </c>
      <c r="AP535" s="41" t="str">
        <f t="shared" si="493"/>
        <v>1.28703593767828-6.23669673300346i</v>
      </c>
      <c r="AQ535">
        <f t="shared" si="494"/>
        <v>16.080213560267577</v>
      </c>
      <c r="AR535" s="43">
        <f t="shared" si="495"/>
        <v>-78.339839252790114</v>
      </c>
      <c r="AS535" t="str">
        <f t="shared" si="472"/>
        <v>-0.0000166666666666667</v>
      </c>
      <c r="AT535" t="str">
        <f t="shared" si="473"/>
        <v>0.0315979411136996i</v>
      </c>
      <c r="AU535">
        <f t="shared" si="496"/>
        <v>3.1597941113699603E-2</v>
      </c>
      <c r="AV535">
        <f t="shared" si="497"/>
        <v>1.5707963267948966</v>
      </c>
      <c r="AW535" t="str">
        <f t="shared" si="474"/>
        <v>1+32.1118176646836i</v>
      </c>
      <c r="AX535">
        <f t="shared" si="498"/>
        <v>32.127384483177053</v>
      </c>
      <c r="AY535">
        <f t="shared" si="499"/>
        <v>1.5396652042706329</v>
      </c>
      <c r="AZ535" t="str">
        <f t="shared" si="475"/>
        <v>1+1091.80180059924i</v>
      </c>
      <c r="BA535">
        <f t="shared" si="500"/>
        <v>1091.8022585577219</v>
      </c>
      <c r="BB535">
        <f t="shared" si="501"/>
        <v>1.5698804098951291</v>
      </c>
      <c r="BC535" s="41" t="str">
        <f t="shared" si="502"/>
        <v>-0.00054152442741211+0.0179167942008627i</v>
      </c>
      <c r="BD535">
        <f t="shared" si="503"/>
        <v>-34.930828362575099</v>
      </c>
      <c r="BE535" s="43">
        <f t="shared" si="504"/>
        <v>91.731203759403584</v>
      </c>
      <c r="BF535" s="41" t="str">
        <f t="shared" si="505"/>
        <v>-0.000219958052836245-0.00769383855218473i</v>
      </c>
      <c r="BG535" s="20">
        <f t="shared" si="506"/>
        <v>-42.273590485850399</v>
      </c>
      <c r="BH535" s="43">
        <f t="shared" si="507"/>
        <v>-91.63757482201396</v>
      </c>
      <c r="BI535" s="41" t="str">
        <f t="shared" si="460"/>
        <v>0.111044650459206+0.0264368816517788i</v>
      </c>
      <c r="BJ535" s="20">
        <f t="shared" si="508"/>
        <v>-18.850614802307501</v>
      </c>
      <c r="BK535" s="43">
        <f t="shared" si="461"/>
        <v>13.391364506613442</v>
      </c>
      <c r="BL535">
        <f t="shared" si="509"/>
        <v>-42.273590485850399</v>
      </c>
      <c r="BM535" s="43">
        <f t="shared" si="510"/>
        <v>-91.63757482201396</v>
      </c>
    </row>
    <row r="536" spans="14:65" x14ac:dyDescent="0.25">
      <c r="N536" s="9">
        <v>18</v>
      </c>
      <c r="O536" s="34">
        <f t="shared" si="462"/>
        <v>1513561.2484362102</v>
      </c>
      <c r="P536" s="33" t="str">
        <f t="shared" si="463"/>
        <v>19.1021967526266</v>
      </c>
      <c r="Q536" s="4" t="str">
        <f t="shared" si="464"/>
        <v>1+2134.52403291054i</v>
      </c>
      <c r="R536" s="4">
        <f t="shared" si="476"/>
        <v>2134.5242671547862</v>
      </c>
      <c r="S536" s="4">
        <f t="shared" si="477"/>
        <v>1.5703278383115526</v>
      </c>
      <c r="T536" s="4" t="str">
        <f t="shared" si="465"/>
        <v>1+35.7575465993173i</v>
      </c>
      <c r="U536" s="4">
        <f t="shared" si="478"/>
        <v>35.771526928583135</v>
      </c>
      <c r="V536" s="4">
        <f t="shared" si="479"/>
        <v>1.5428374896828734</v>
      </c>
      <c r="W536" t="str">
        <f t="shared" si="466"/>
        <v>1-19.8124704118558i</v>
      </c>
      <c r="X536" s="4">
        <f t="shared" si="480"/>
        <v>19.837690990149571</v>
      </c>
      <c r="Y536" s="4">
        <f t="shared" si="481"/>
        <v>-1.5203658609569879</v>
      </c>
      <c r="Z536" t="str">
        <f t="shared" si="467"/>
        <v>-1.29086765276778+14.7404779864207i</v>
      </c>
      <c r="AA536" s="4">
        <f t="shared" si="482"/>
        <v>14.796892598282771</v>
      </c>
      <c r="AB536" s="4">
        <f t="shared" si="483"/>
        <v>1.6581464694143617</v>
      </c>
      <c r="AC536" s="47" t="str">
        <f t="shared" si="484"/>
        <v>-0.428290857386214+0.0276244369631245i</v>
      </c>
      <c r="AD536" s="20">
        <f t="shared" si="485"/>
        <v>-7.347194089773776</v>
      </c>
      <c r="AE536" s="43">
        <f t="shared" si="486"/>
        <v>176.30957738566309</v>
      </c>
      <c r="AF536" t="str">
        <f t="shared" si="468"/>
        <v>69.5520360182888</v>
      </c>
      <c r="AG536" t="str">
        <f t="shared" si="469"/>
        <v>1+1702.74031425321i</v>
      </c>
      <c r="AH536">
        <f t="shared" si="487"/>
        <v>1702.7406078974921</v>
      </c>
      <c r="AI536">
        <f t="shared" si="488"/>
        <v>1.5702090382479232</v>
      </c>
      <c r="AJ536" t="str">
        <f t="shared" si="470"/>
        <v>1+35.7575465993173i</v>
      </c>
      <c r="AK536">
        <f t="shared" si="489"/>
        <v>35.771526928583135</v>
      </c>
      <c r="AL536">
        <f t="shared" si="490"/>
        <v>1.5428374896828734</v>
      </c>
      <c r="AM536" t="str">
        <f t="shared" si="471"/>
        <v>1-4.34069478579085i</v>
      </c>
      <c r="AN536">
        <f t="shared" si="491"/>
        <v>4.454394596731623</v>
      </c>
      <c r="AO536">
        <f t="shared" si="492"/>
        <v>-1.3443690876253012</v>
      </c>
      <c r="AP536" s="41" t="str">
        <f t="shared" si="493"/>
        <v>1.28703482803045-6.3800786197676i</v>
      </c>
      <c r="AQ536">
        <f t="shared" si="494"/>
        <v>16.26975039498776</v>
      </c>
      <c r="AR536" s="43">
        <f t="shared" si="495"/>
        <v>-78.594949040297664</v>
      </c>
      <c r="AS536" t="str">
        <f t="shared" si="472"/>
        <v>-0.0000166666666666667</v>
      </c>
      <c r="AT536" t="str">
        <f t="shared" si="473"/>
        <v>0.0323339517121487i</v>
      </c>
      <c r="AU536">
        <f t="shared" si="496"/>
        <v>3.2333951712148701E-2</v>
      </c>
      <c r="AV536">
        <f t="shared" si="497"/>
        <v>1.5707963267948966</v>
      </c>
      <c r="AW536" t="str">
        <f t="shared" si="474"/>
        <v>1+32.8597979856681i</v>
      </c>
      <c r="AX536">
        <f t="shared" si="498"/>
        <v>32.875010625989425</v>
      </c>
      <c r="AY536">
        <f t="shared" si="499"/>
        <v>1.5403733928774417</v>
      </c>
      <c r="AZ536" t="str">
        <f t="shared" si="475"/>
        <v>1+1117.23313151271i</v>
      </c>
      <c r="BA536">
        <f t="shared" si="500"/>
        <v>1117.2335790467887</v>
      </c>
      <c r="BB536">
        <f t="shared" si="501"/>
        <v>1.5699012586978764</v>
      </c>
      <c r="BC536" s="41" t="str">
        <f t="shared" si="502"/>
        <v>-0.000517174364561901+0.0175096992022764i</v>
      </c>
      <c r="BD536">
        <f t="shared" si="503"/>
        <v>-35.130639149609394</v>
      </c>
      <c r="BE536" s="43">
        <f t="shared" si="504"/>
        <v>91.6918220895395</v>
      </c>
      <c r="BF536" s="41" t="str">
        <f t="shared" si="505"/>
        <v>-0.000262194529840169-0.00751353073455045i</v>
      </c>
      <c r="BG536" s="20">
        <f t="shared" si="506"/>
        <v>-42.477833239383173</v>
      </c>
      <c r="BH536" s="43">
        <f t="shared" si="507"/>
        <v>-91.998600524797382</v>
      </c>
      <c r="BI536" s="41" t="str">
        <f t="shared" si="460"/>
        <v>0.11104763609965+0.0258352058077i</v>
      </c>
      <c r="BJ536" s="20">
        <f t="shared" si="508"/>
        <v>-18.86088875462162</v>
      </c>
      <c r="BK536" s="43">
        <f t="shared" si="461"/>
        <v>13.096873049241823</v>
      </c>
      <c r="BL536">
        <f t="shared" si="509"/>
        <v>-42.477833239383173</v>
      </c>
      <c r="BM536" s="43">
        <f t="shared" si="510"/>
        <v>-91.998600524797382</v>
      </c>
    </row>
    <row r="537" spans="14:65" x14ac:dyDescent="0.25">
      <c r="N537" s="9">
        <v>19</v>
      </c>
      <c r="O537" s="34">
        <f t="shared" si="462"/>
        <v>1548816.6189124861</v>
      </c>
      <c r="P537" s="33" t="str">
        <f t="shared" si="463"/>
        <v>19.1021967526266</v>
      </c>
      <c r="Q537" s="4" t="str">
        <f t="shared" si="464"/>
        <v>1+2184.24348473221i</v>
      </c>
      <c r="R537" s="4">
        <f t="shared" si="476"/>
        <v>2184.2437136444069</v>
      </c>
      <c r="S537" s="4">
        <f t="shared" si="477"/>
        <v>1.5703385024098762</v>
      </c>
      <c r="T537" s="4" t="str">
        <f t="shared" si="465"/>
        <v>1+36.590446856234i</v>
      </c>
      <c r="U537" s="4">
        <f t="shared" si="478"/>
        <v>36.604109074513545</v>
      </c>
      <c r="V537" s="4">
        <f t="shared" si="479"/>
        <v>1.5434735901373464</v>
      </c>
      <c r="W537" t="str">
        <f t="shared" si="466"/>
        <v>1-20.2739621322219i</v>
      </c>
      <c r="X537" s="4">
        <f t="shared" si="480"/>
        <v>20.298609325241166</v>
      </c>
      <c r="Y537" s="4">
        <f t="shared" si="481"/>
        <v>-1.5215119189719577</v>
      </c>
      <c r="Z537" t="str">
        <f t="shared" si="467"/>
        <v>-1.3988329190195+15.0838278263731i</v>
      </c>
      <c r="AA537" s="4">
        <f t="shared" si="482"/>
        <v>15.148550935023456</v>
      </c>
      <c r="AB537" s="4">
        <f t="shared" si="483"/>
        <v>1.6632691009680014</v>
      </c>
      <c r="AC537" s="47" t="str">
        <f t="shared" si="484"/>
        <v>-0.427898475623135+0.0300248224348156i</v>
      </c>
      <c r="AD537" s="20">
        <f t="shared" si="485"/>
        <v>-7.3518549226830086</v>
      </c>
      <c r="AE537" s="43">
        <f t="shared" si="486"/>
        <v>175.9862427938655</v>
      </c>
      <c r="AF537" t="str">
        <f t="shared" si="468"/>
        <v>69.5520360182888</v>
      </c>
      <c r="AG537" t="str">
        <f t="shared" si="469"/>
        <v>1+1742.40223124924i</v>
      </c>
      <c r="AH537">
        <f t="shared" si="487"/>
        <v>1742.4025182093631</v>
      </c>
      <c r="AI537">
        <f t="shared" si="488"/>
        <v>1.5702224065643835</v>
      </c>
      <c r="AJ537" t="str">
        <f t="shared" si="470"/>
        <v>1+36.590446856234i</v>
      </c>
      <c r="AK537">
        <f t="shared" si="489"/>
        <v>36.604109074513545</v>
      </c>
      <c r="AL537">
        <f t="shared" si="490"/>
        <v>1.5434735901373464</v>
      </c>
      <c r="AM537" t="str">
        <f t="shared" si="471"/>
        <v>1-4.44180255592939i</v>
      </c>
      <c r="AN537">
        <f t="shared" si="491"/>
        <v>4.5529781402792677</v>
      </c>
      <c r="AO537">
        <f t="shared" si="492"/>
        <v>-1.3493545113890963</v>
      </c>
      <c r="AP537" s="41" t="str">
        <f t="shared" si="493"/>
        <v>1.28703376832497-6.52684330860755i</v>
      </c>
      <c r="AQ537">
        <f t="shared" si="494"/>
        <v>16.459735273331962</v>
      </c>
      <c r="AR537" s="43">
        <f t="shared" si="495"/>
        <v>-78.844912857772002</v>
      </c>
      <c r="AS537" t="str">
        <f t="shared" si="472"/>
        <v>-0.0000166666666666667</v>
      </c>
      <c r="AT537" t="str">
        <f t="shared" si="473"/>
        <v>0.0330871061997861i</v>
      </c>
      <c r="AU537">
        <f t="shared" si="496"/>
        <v>3.3087106199786102E-2</v>
      </c>
      <c r="AV537">
        <f t="shared" si="497"/>
        <v>1.5707963267948966</v>
      </c>
      <c r="AW537" t="str">
        <f t="shared" si="474"/>
        <v>1+33.6252010064954i</v>
      </c>
      <c r="AX537">
        <f t="shared" si="498"/>
        <v>33.640067519659041</v>
      </c>
      <c r="AY537">
        <f t="shared" si="499"/>
        <v>1.5410654906410852</v>
      </c>
      <c r="AZ537" t="str">
        <f t="shared" si="475"/>
        <v>1+1143.25683422084i</v>
      </c>
      <c r="BA537">
        <f t="shared" si="500"/>
        <v>1143.2572715678027</v>
      </c>
      <c r="BB537">
        <f t="shared" si="501"/>
        <v>1.5699216329246852</v>
      </c>
      <c r="BC537" s="41" t="str">
        <f t="shared" si="502"/>
        <v>-0.000493918252560074+0.0171118214156539i</v>
      </c>
      <c r="BD537">
        <f t="shared" si="503"/>
        <v>-35.33045844492095</v>
      </c>
      <c r="BE537" s="43">
        <f t="shared" si="504"/>
        <v>91.65333516587927</v>
      </c>
      <c r="BF537" s="41" t="str">
        <f t="shared" si="505"/>
        <v>-0.000302432532188385-0.00733695210672405i</v>
      </c>
      <c r="BG537" s="20">
        <f t="shared" si="506"/>
        <v>-42.682313367603967</v>
      </c>
      <c r="BH537" s="43">
        <f t="shared" si="507"/>
        <v>-92.360422040255216</v>
      </c>
      <c r="BI537" s="41" t="str">
        <f t="shared" si="460"/>
        <v>0.111050487635011+0.0252472190412138i</v>
      </c>
      <c r="BJ537" s="20">
        <f t="shared" si="508"/>
        <v>-18.870723171588999</v>
      </c>
      <c r="BK537" s="43">
        <f t="shared" si="461"/>
        <v>12.808422308107287</v>
      </c>
      <c r="BL537">
        <f t="shared" si="509"/>
        <v>-42.682313367603967</v>
      </c>
      <c r="BM537" s="43">
        <f t="shared" si="510"/>
        <v>-92.360422040255216</v>
      </c>
    </row>
    <row r="538" spans="14:65" x14ac:dyDescent="0.25">
      <c r="N538" s="9">
        <v>20</v>
      </c>
      <c r="O538" s="34">
        <f t="shared" si="462"/>
        <v>1584893.1924611153</v>
      </c>
      <c r="P538" s="33" t="str">
        <f t="shared" si="463"/>
        <v>19.1021967526266</v>
      </c>
      <c r="Q538" s="4" t="str">
        <f t="shared" si="464"/>
        <v>1+2235.12105136136i</v>
      </c>
      <c r="R538" s="4">
        <f t="shared" si="476"/>
        <v>2235.1212750628792</v>
      </c>
      <c r="S538" s="4">
        <f t="shared" si="477"/>
        <v>1.5703489237637867</v>
      </c>
      <c r="T538" s="4" t="str">
        <f t="shared" si="465"/>
        <v>1+37.4427478524055i</v>
      </c>
      <c r="U538" s="4">
        <f t="shared" si="478"/>
        <v>37.456099192772562</v>
      </c>
      <c r="V538" s="4">
        <f t="shared" si="479"/>
        <v>1.5440952325491768</v>
      </c>
      <c r="W538" t="str">
        <f t="shared" si="466"/>
        <v>1-20.746203375668i</v>
      </c>
      <c r="X538" s="4">
        <f t="shared" si="480"/>
        <v>20.770290188261171</v>
      </c>
      <c r="Y538" s="4">
        <f t="shared" si="481"/>
        <v>-1.5226320147371151</v>
      </c>
      <c r="Z538" t="str">
        <f t="shared" si="467"/>
        <v>-1.51188643150958+15.435175311497i</v>
      </c>
      <c r="AA538" s="4">
        <f t="shared" si="482"/>
        <v>15.509043731914272</v>
      </c>
      <c r="AB538" s="4">
        <f t="shared" si="483"/>
        <v>1.6684355735626937</v>
      </c>
      <c r="AC538" s="47" t="str">
        <f t="shared" si="484"/>
        <v>-0.427480017231872+0.0324345000912199i</v>
      </c>
      <c r="AD538" s="20">
        <f t="shared" si="485"/>
        <v>-7.3567537661623019</v>
      </c>
      <c r="AE538" s="43">
        <f t="shared" si="486"/>
        <v>175.66106934619395</v>
      </c>
      <c r="AF538" t="str">
        <f t="shared" si="468"/>
        <v>69.5520360182888</v>
      </c>
      <c r="AG538" t="str">
        <f t="shared" si="469"/>
        <v>1+1782.98799297169i</v>
      </c>
      <c r="AH538">
        <f t="shared" si="487"/>
        <v>1782.988273399804</v>
      </c>
      <c r="AI538">
        <f t="shared" si="488"/>
        <v>1.5702354705810082</v>
      </c>
      <c r="AJ538" t="str">
        <f t="shared" si="470"/>
        <v>1+37.4427478524055i</v>
      </c>
      <c r="AK538">
        <f t="shared" si="489"/>
        <v>37.456099192772562</v>
      </c>
      <c r="AL538">
        <f t="shared" si="490"/>
        <v>1.5440952325491768</v>
      </c>
      <c r="AM538" t="str">
        <f t="shared" si="471"/>
        <v>1-4.54526542857728i</v>
      </c>
      <c r="AN538">
        <f t="shared" si="491"/>
        <v>4.6539701133784481</v>
      </c>
      <c r="AO538">
        <f t="shared" si="492"/>
        <v>-1.3542372907809206</v>
      </c>
      <c r="AP538" s="41" t="str">
        <f t="shared" si="493"/>
        <v>1.28703275631406-6.67706861610801i</v>
      </c>
      <c r="AQ538">
        <f t="shared" si="494"/>
        <v>16.650149947879015</v>
      </c>
      <c r="AR538" s="43">
        <f t="shared" si="495"/>
        <v>-79.089806535668927</v>
      </c>
      <c r="AS538" t="str">
        <f t="shared" si="472"/>
        <v>-0.0000166666666666667</v>
      </c>
      <c r="AT538" t="str">
        <f t="shared" si="473"/>
        <v>0.0338578039090901i</v>
      </c>
      <c r="AU538">
        <f t="shared" si="496"/>
        <v>3.3857803909090101E-2</v>
      </c>
      <c r="AV538">
        <f t="shared" si="497"/>
        <v>1.5707963267948966</v>
      </c>
      <c r="AW538" t="str">
        <f t="shared" si="474"/>
        <v>1+34.4084325539785i</v>
      </c>
      <c r="AX538">
        <f t="shared" si="498"/>
        <v>34.422960808473285</v>
      </c>
      <c r="AY538">
        <f t="shared" si="499"/>
        <v>1.5417418618673269</v>
      </c>
      <c r="AZ538" t="str">
        <f t="shared" si="475"/>
        <v>1+1169.88670683527i</v>
      </c>
      <c r="BA538">
        <f t="shared" si="500"/>
        <v>1169.8871342270043</v>
      </c>
      <c r="BB538">
        <f t="shared" si="501"/>
        <v>1.5699415433781727</v>
      </c>
      <c r="BC538" s="41" t="str">
        <f t="shared" si="502"/>
        <v>-0.000471707029721326+0.0167229543225712i</v>
      </c>
      <c r="BD538">
        <f t="shared" si="503"/>
        <v>-35.530285866251816</v>
      </c>
      <c r="BE538" s="43">
        <f t="shared" si="504"/>
        <v>91.615722734184587</v>
      </c>
      <c r="BF538" s="41" t="str">
        <f t="shared" si="505"/>
        <v>-0.000340755334307234-0.00716402838367907i</v>
      </c>
      <c r="BG538" s="20">
        <f t="shared" si="506"/>
        <v>-42.887039632414115</v>
      </c>
      <c r="BH538" s="43">
        <f t="shared" si="507"/>
        <v>-92.723207919621444</v>
      </c>
      <c r="BI538" s="41" t="str">
        <f t="shared" si="460"/>
        <v>0.111053211077213+0.0246726101996427i</v>
      </c>
      <c r="BJ538" s="20">
        <f t="shared" si="508"/>
        <v>-18.880135918372801</v>
      </c>
      <c r="BK538" s="43">
        <f t="shared" si="461"/>
        <v>12.525916198515638</v>
      </c>
      <c r="BL538">
        <f t="shared" si="509"/>
        <v>-42.887039632414115</v>
      </c>
      <c r="BM538" s="43">
        <f t="shared" si="510"/>
        <v>-92.723207919621444</v>
      </c>
    </row>
    <row r="539" spans="14:65" x14ac:dyDescent="0.25">
      <c r="N539" s="9">
        <v>21</v>
      </c>
      <c r="O539" s="34">
        <f t="shared" si="462"/>
        <v>1621810.0973589318</v>
      </c>
      <c r="P539" s="33" t="str">
        <f t="shared" si="463"/>
        <v>19.1021967526266</v>
      </c>
      <c r="Q539" s="4" t="str">
        <f t="shared" si="464"/>
        <v>1+2287.18370875727i</v>
      </c>
      <c r="R539" s="4">
        <f t="shared" si="476"/>
        <v>2287.183927366721</v>
      </c>
      <c r="S539" s="4">
        <f t="shared" si="477"/>
        <v>1.5703591078988144</v>
      </c>
      <c r="T539" s="4" t="str">
        <f t="shared" si="465"/>
        <v>1+38.3149014891017i</v>
      </c>
      <c r="U539" s="4">
        <f t="shared" si="478"/>
        <v>38.327949020519839</v>
      </c>
      <c r="V539" s="4">
        <f t="shared" si="479"/>
        <v>1.5447027445984829</v>
      </c>
      <c r="W539" t="str">
        <f t="shared" si="466"/>
        <v>1-21.2294445307523i</v>
      </c>
      <c r="X539" s="4">
        <f t="shared" si="480"/>
        <v>21.252983674869956</v>
      </c>
      <c r="Y539" s="4">
        <f t="shared" si="481"/>
        <v>-1.523726730893366</v>
      </c>
      <c r="Z539" t="str">
        <f t="shared" si="467"/>
        <v>-1.63026799189536+15.7947067308797i</v>
      </c>
      <c r="AA539" s="4">
        <f t="shared" si="482"/>
        <v>15.878618782497897</v>
      </c>
      <c r="AB539" s="4">
        <f t="shared" si="483"/>
        <v>1.6736482099833165</v>
      </c>
      <c r="AC539" s="47" t="str">
        <f t="shared" si="484"/>
        <v>-0.427034752515833+0.0348542221055025i</v>
      </c>
      <c r="AD539" s="20">
        <f t="shared" si="485"/>
        <v>-7.3619001968929618</v>
      </c>
      <c r="AE539" s="43">
        <f t="shared" si="486"/>
        <v>175.33390903211162</v>
      </c>
      <c r="AF539" t="str">
        <f t="shared" si="468"/>
        <v>69.5520360182888</v>
      </c>
      <c r="AG539" t="str">
        <f t="shared" si="469"/>
        <v>1+1824.51911852866i</v>
      </c>
      <c r="AH539">
        <f t="shared" si="487"/>
        <v>1824.519392573452</v>
      </c>
      <c r="AI539">
        <f t="shared" si="488"/>
        <v>1.5702482372244939</v>
      </c>
      <c r="AJ539" t="str">
        <f t="shared" si="470"/>
        <v>1+38.3149014891017i</v>
      </c>
      <c r="AK539">
        <f t="shared" si="489"/>
        <v>38.327949020519839</v>
      </c>
      <c r="AL539">
        <f t="shared" si="490"/>
        <v>1.5447027445984829</v>
      </c>
      <c r="AM539" t="str">
        <f t="shared" si="471"/>
        <v>1-4.65113826111909i</v>
      </c>
      <c r="AN539">
        <f t="shared" si="491"/>
        <v>4.7574244212647159</v>
      </c>
      <c r="AO539">
        <f t="shared" si="492"/>
        <v>-1.3590190829874806</v>
      </c>
      <c r="AP539" s="41" t="str">
        <f t="shared" si="493"/>
        <v>1.28703178985111-6.83083419371896i</v>
      </c>
      <c r="AQ539">
        <f t="shared" si="494"/>
        <v>16.840976835431213</v>
      </c>
      <c r="AR539" s="43">
        <f t="shared" si="495"/>
        <v>-79.329706645975037</v>
      </c>
      <c r="AS539" t="str">
        <f t="shared" si="472"/>
        <v>-0.0000166666666666667</v>
      </c>
      <c r="AT539" t="str">
        <f t="shared" si="473"/>
        <v>0.0346464534741879i</v>
      </c>
      <c r="AU539">
        <f t="shared" si="496"/>
        <v>3.4646453474187898E-2</v>
      </c>
      <c r="AV539">
        <f t="shared" si="497"/>
        <v>1.5707963267948966</v>
      </c>
      <c r="AW539" t="str">
        <f t="shared" si="474"/>
        <v>1+35.209907907851i</v>
      </c>
      <c r="AX539">
        <f t="shared" si="498"/>
        <v>35.224105593745719</v>
      </c>
      <c r="AY539">
        <f t="shared" si="499"/>
        <v>1.5424028627003268</v>
      </c>
      <c r="AZ539" t="str">
        <f t="shared" si="475"/>
        <v>1+1197.13686886693i</v>
      </c>
      <c r="BA539">
        <f t="shared" si="500"/>
        <v>1197.1372865300441</v>
      </c>
      <c r="BB539">
        <f t="shared" si="501"/>
        <v>1.5699610006150617</v>
      </c>
      <c r="BC539" s="41" t="str">
        <f t="shared" si="502"/>
        <v>-0.000450493827200161+0.016342895886577i</v>
      </c>
      <c r="BD539">
        <f t="shared" si="503"/>
        <v>-35.73012104848911</v>
      </c>
      <c r="BE539" s="43">
        <f t="shared" si="504"/>
        <v>91.578964993753772</v>
      </c>
      <c r="BF539" s="41" t="str">
        <f t="shared" si="505"/>
        <v>-0.000377242403069527-0.00699468611222683i</v>
      </c>
      <c r="BG539" s="20">
        <f t="shared" si="506"/>
        <v>-43.092021245382064</v>
      </c>
      <c r="BH539" s="43">
        <f t="shared" si="507"/>
        <v>-93.087125974134622</v>
      </c>
      <c r="BI539" s="41" t="str">
        <f t="shared" si="460"/>
        <v>0.111055812169681+0.0241110751831497i</v>
      </c>
      <c r="BJ539" s="20">
        <f t="shared" si="508"/>
        <v>-18.889144213057882</v>
      </c>
      <c r="BK539" s="43">
        <f t="shared" si="461"/>
        <v>12.249258347778699</v>
      </c>
      <c r="BL539">
        <f t="shared" si="509"/>
        <v>-43.092021245382064</v>
      </c>
      <c r="BM539" s="43">
        <f t="shared" si="510"/>
        <v>-93.087125974134622</v>
      </c>
    </row>
    <row r="540" spans="14:65" x14ac:dyDescent="0.25">
      <c r="N540" s="9">
        <v>22</v>
      </c>
      <c r="O540" s="34">
        <f t="shared" si="462"/>
        <v>1659586.9074375622</v>
      </c>
      <c r="P540" s="33" t="str">
        <f t="shared" si="463"/>
        <v>19.1021967526266</v>
      </c>
      <c r="Q540" s="4" t="str">
        <f t="shared" si="464"/>
        <v>1+2340.45906123002i</v>
      </c>
      <c r="R540" s="4">
        <f t="shared" si="476"/>
        <v>2340.4592748633131</v>
      </c>
      <c r="S540" s="4">
        <f t="shared" si="477"/>
        <v>1.5703690602147147</v>
      </c>
      <c r="T540" s="4" t="str">
        <f t="shared" si="465"/>
        <v>1+39.2073701937253i</v>
      </c>
      <c r="U540" s="4">
        <f t="shared" si="478"/>
        <v>39.220120824747845</v>
      </c>
      <c r="V540" s="4">
        <f t="shared" si="479"/>
        <v>1.5452964466014478</v>
      </c>
      <c r="W540" t="str">
        <f t="shared" si="466"/>
        <v>1-21.7239418183319i</v>
      </c>
      <c r="X540" s="4">
        <f t="shared" si="480"/>
        <v>21.746945719485979</v>
      </c>
      <c r="Y540" s="4">
        <f t="shared" si="481"/>
        <v>-1.5247966373724475</v>
      </c>
      <c r="Z540" t="str">
        <f t="shared" si="467"/>
        <v>-1.75422870333816+16.1626127128389i</v>
      </c>
      <c r="AA540" s="4">
        <f t="shared" si="482"/>
        <v>16.257532655628808</v>
      </c>
      <c r="AB540" s="4">
        <f t="shared" si="483"/>
        <v>1.6789093330753098</v>
      </c>
      <c r="AC540" s="47" t="str">
        <f t="shared" si="484"/>
        <v>-0.426561910215276+0.037284716802163i</v>
      </c>
      <c r="AD540" s="20">
        <f t="shared" si="485"/>
        <v>-7.3673042380693898</v>
      </c>
      <c r="AE540" s="43">
        <f t="shared" si="486"/>
        <v>175.00461415107745</v>
      </c>
      <c r="AF540" t="str">
        <f t="shared" si="468"/>
        <v>69.5520360182888</v>
      </c>
      <c r="AG540" t="str">
        <f t="shared" si="469"/>
        <v>1+1867.01762827264i</v>
      </c>
      <c r="AH540">
        <f t="shared" si="487"/>
        <v>1867.0178960794119</v>
      </c>
      <c r="AI540">
        <f t="shared" si="488"/>
        <v>1.5702607132638675</v>
      </c>
      <c r="AJ540" t="str">
        <f t="shared" si="470"/>
        <v>1+39.2073701937253i</v>
      </c>
      <c r="AK540">
        <f t="shared" si="489"/>
        <v>39.220120824747845</v>
      </c>
      <c r="AL540">
        <f t="shared" si="490"/>
        <v>1.5452964466014478</v>
      </c>
      <c r="AM540" t="str">
        <f t="shared" si="471"/>
        <v>1-4.75947718873208i</v>
      </c>
      <c r="AN540">
        <f t="shared" si="491"/>
        <v>4.8633962526264529</v>
      </c>
      <c r="AO540">
        <f t="shared" si="492"/>
        <v>-1.3637015482699035</v>
      </c>
      <c r="AP540" s="41" t="str">
        <f t="shared" si="493"/>
        <v>1.28703086688614-6.9882215699886i</v>
      </c>
      <c r="AQ540">
        <f t="shared" si="494"/>
        <v>17.032198999517171</v>
      </c>
      <c r="AR540" s="43">
        <f t="shared" si="495"/>
        <v>-79.564690349717154</v>
      </c>
      <c r="AS540" t="str">
        <f t="shared" si="472"/>
        <v>-0.0000166666666666667</v>
      </c>
      <c r="AT540" t="str">
        <f t="shared" si="473"/>
        <v>0.0354534730475176i</v>
      </c>
      <c r="AU540">
        <f t="shared" si="496"/>
        <v>3.54534730475176E-2</v>
      </c>
      <c r="AV540">
        <f t="shared" si="497"/>
        <v>1.5707963267948966</v>
      </c>
      <c r="AW540" t="str">
        <f t="shared" si="474"/>
        <v>1+36.0300520209548i</v>
      </c>
      <c r="AX540">
        <f t="shared" si="498"/>
        <v>36.04392665391368</v>
      </c>
      <c r="AY540">
        <f t="shared" si="499"/>
        <v>1.5430488412997077</v>
      </c>
      <c r="AZ540" t="str">
        <f t="shared" si="475"/>
        <v>1+1225.02176871246i</v>
      </c>
      <c r="BA540">
        <f t="shared" si="500"/>
        <v>1225.0221768684041</v>
      </c>
      <c r="BB540">
        <f t="shared" si="501"/>
        <v>1.5699800149517777</v>
      </c>
      <c r="BC540" s="41" t="str">
        <f t="shared" si="502"/>
        <v>-0.000430233871639329+0.0159714484657102i</v>
      </c>
      <c r="BD540">
        <f t="shared" si="503"/>
        <v>-35.929963642898329</v>
      </c>
      <c r="BE540" s="43">
        <f t="shared" si="504"/>
        <v>91.54304258759754</v>
      </c>
      <c r="BF540" s="41" t="str">
        <f t="shared" si="505"/>
        <v>-0.000411969550838559-0.00682885271450095i</v>
      </c>
      <c r="BG540" s="20">
        <f t="shared" si="506"/>
        <v>-43.297267880967716</v>
      </c>
      <c r="BH540" s="43">
        <f t="shared" si="507"/>
        <v>-93.452343261325012</v>
      </c>
      <c r="BI540" s="41" t="str">
        <f t="shared" si="460"/>
        <v>0.111058296399258+0.02356231678618i</v>
      </c>
      <c r="BJ540" s="20">
        <f t="shared" si="508"/>
        <v>-18.897764643381123</v>
      </c>
      <c r="BK540" s="43">
        <f t="shared" si="461"/>
        <v>11.978352237880356</v>
      </c>
      <c r="BL540">
        <f t="shared" si="509"/>
        <v>-43.297267880967716</v>
      </c>
      <c r="BM540" s="43">
        <f t="shared" si="510"/>
        <v>-93.452343261325012</v>
      </c>
    </row>
    <row r="541" spans="14:65" x14ac:dyDescent="0.25">
      <c r="N541" s="9">
        <v>23</v>
      </c>
      <c r="O541" s="34">
        <f t="shared" si="462"/>
        <v>1698243.6524617488</v>
      </c>
      <c r="P541" s="33" t="str">
        <f t="shared" si="463"/>
        <v>19.1021967526266</v>
      </c>
      <c r="Q541" s="4" t="str">
        <f t="shared" si="464"/>
        <v>1+2394.97535607669i</v>
      </c>
      <c r="R541" s="4">
        <f t="shared" si="476"/>
        <v>2394.9755648470959</v>
      </c>
      <c r="S541" s="4">
        <f t="shared" si="477"/>
        <v>1.5703787859883287</v>
      </c>
      <c r="T541" s="4" t="str">
        <f t="shared" si="465"/>
        <v>1+40.1206271649967i</v>
      </c>
      <c r="U541" s="4">
        <f t="shared" si="478"/>
        <v>40.133087647384812</v>
      </c>
      <c r="V541" s="4">
        <f t="shared" si="479"/>
        <v>1.5458766516716187</v>
      </c>
      <c r="W541" t="str">
        <f t="shared" si="466"/>
        <v>1-22.229957427414i</v>
      </c>
      <c r="X541" s="4">
        <f t="shared" si="480"/>
        <v>22.252438231003786</v>
      </c>
      <c r="Y541" s="4">
        <f t="shared" si="481"/>
        <v>-1.5258422916495891</v>
      </c>
      <c r="Z541" t="str">
        <f t="shared" si="467"/>
        <v>-1.88403150312663+16.539088325996i</v>
      </c>
      <c r="AA541" s="4">
        <f t="shared" si="482"/>
        <v>16.646051104086844</v>
      </c>
      <c r="AB541" s="4">
        <f t="shared" si="483"/>
        <v>1.6842212651514281</v>
      </c>
      <c r="AC541" s="47" t="str">
        <f t="shared" si="484"/>
        <v>-0.426060677144143+0.0397266869804227i</v>
      </c>
      <c r="AD541" s="20">
        <f t="shared" si="485"/>
        <v>-7.372976373755062</v>
      </c>
      <c r="AE541" s="43">
        <f t="shared" si="486"/>
        <v>174.67303734113796</v>
      </c>
      <c r="AF541" t="str">
        <f t="shared" si="468"/>
        <v>69.5520360182888</v>
      </c>
      <c r="AG541" t="str">
        <f t="shared" si="469"/>
        <v>1+1910.50605547604i</v>
      </c>
      <c r="AH541">
        <f t="shared" si="487"/>
        <v>1910.5063171867864</v>
      </c>
      <c r="AI541">
        <f t="shared" si="488"/>
        <v>1.5702729053140747</v>
      </c>
      <c r="AJ541" t="str">
        <f t="shared" si="470"/>
        <v>1+40.1206271649967i</v>
      </c>
      <c r="AK541">
        <f t="shared" si="489"/>
        <v>40.133087647384812</v>
      </c>
      <c r="AL541">
        <f t="shared" si="490"/>
        <v>1.5458766516716187</v>
      </c>
      <c r="AM541" t="str">
        <f t="shared" si="471"/>
        <v>1-4.87033965414966i</v>
      </c>
      <c r="AN541">
        <f t="shared" si="491"/>
        <v>4.9719421101600361</v>
      </c>
      <c r="AO541">
        <f t="shared" si="492"/>
        <v>-1.3682863476290876</v>
      </c>
      <c r="AP541" s="41" t="str">
        <f t="shared" si="493"/>
        <v>1.28702998546141-7.14931419379018i</v>
      </c>
      <c r="AQ541">
        <f t="shared" si="494"/>
        <v>17.223800132758889</v>
      </c>
      <c r="AR541" s="43">
        <f t="shared" si="495"/>
        <v>-79.794835254160304</v>
      </c>
      <c r="AS541" t="str">
        <f t="shared" si="472"/>
        <v>-0.0000166666666666667</v>
      </c>
      <c r="AT541" t="str">
        <f t="shared" si="473"/>
        <v>0.0362792905215394i</v>
      </c>
      <c r="AU541">
        <f t="shared" si="496"/>
        <v>3.6279290521539401E-2</v>
      </c>
      <c r="AV541">
        <f t="shared" si="497"/>
        <v>1.5707963267948966</v>
      </c>
      <c r="AW541" t="str">
        <f t="shared" si="474"/>
        <v>1+36.8692997445542i</v>
      </c>
      <c r="AX541">
        <f t="shared" si="498"/>
        <v>36.882858669763984</v>
      </c>
      <c r="AY541">
        <f t="shared" si="499"/>
        <v>1.5436801380141636</v>
      </c>
      <c r="AZ541" t="str">
        <f t="shared" si="475"/>
        <v>1+1253.55619131484i</v>
      </c>
      <c r="BA541">
        <f t="shared" si="500"/>
        <v>1253.5565901800237</v>
      </c>
      <c r="BB541">
        <f t="shared" si="501"/>
        <v>1.5699985964699188</v>
      </c>
      <c r="BC541" s="41" t="str">
        <f t="shared" si="502"/>
        <v>-0.000410884392082139+0.0156084187260458i</v>
      </c>
      <c r="BD541">
        <f t="shared" si="503"/>
        <v>-36.129813316391115</v>
      </c>
      <c r="BE541" s="43">
        <f t="shared" si="504"/>
        <v>91.507936592805166</v>
      </c>
      <c r="BF541" s="41" t="str">
        <f t="shared" si="505"/>
        <v>-0.000445009082670514-0.00666645652719778i</v>
      </c>
      <c r="BG541" s="20">
        <f t="shared" si="506"/>
        <v>-43.50278969014618</v>
      </c>
      <c r="BH541" s="43">
        <f t="shared" si="507"/>
        <v>-93.819026066056878</v>
      </c>
      <c r="BI541" s="41" t="str">
        <f t="shared" si="460"/>
        <v>0.111060669007572+0.023026044542378i</v>
      </c>
      <c r="BJ541" s="20">
        <f t="shared" si="508"/>
        <v>-18.906013183632211</v>
      </c>
      <c r="BK541" s="43">
        <f t="shared" si="461"/>
        <v>11.713101338644851</v>
      </c>
      <c r="BL541">
        <f t="shared" si="509"/>
        <v>-43.50278969014618</v>
      </c>
      <c r="BM541" s="43">
        <f t="shared" si="510"/>
        <v>-93.819026066056878</v>
      </c>
    </row>
    <row r="542" spans="14:65" x14ac:dyDescent="0.25">
      <c r="N542" s="9">
        <v>24</v>
      </c>
      <c r="O542" s="34">
        <f t="shared" si="462"/>
        <v>1737800.8287493798</v>
      </c>
      <c r="P542" s="33" t="str">
        <f t="shared" si="463"/>
        <v>19.1021967526266</v>
      </c>
      <c r="Q542" s="4" t="str">
        <f t="shared" si="464"/>
        <v>1+2450.76149855837i</v>
      </c>
      <c r="R542" s="4">
        <f t="shared" si="476"/>
        <v>2450.7617025765821</v>
      </c>
      <c r="S542" s="4">
        <f t="shared" si="477"/>
        <v>1.5703882903763833</v>
      </c>
      <c r="T542" s="4" t="str">
        <f t="shared" si="465"/>
        <v>1+41.0551566238497i</v>
      </c>
      <c r="U542" s="4">
        <f t="shared" si="478"/>
        <v>41.067333556110384</v>
      </c>
      <c r="V542" s="4">
        <f t="shared" si="479"/>
        <v>1.5464436658779557</v>
      </c>
      <c r="W542" t="str">
        <f t="shared" si="466"/>
        <v>1-22.7477596541721i</v>
      </c>
      <c r="X542" s="4">
        <f t="shared" si="480"/>
        <v>22.769729231679062</v>
      </c>
      <c r="Y542" s="4">
        <f t="shared" si="481"/>
        <v>-1.5268642389928366</v>
      </c>
      <c r="Z542" t="str">
        <f t="shared" si="467"/>
        <v>-2.01995172040202+16.924333182704i</v>
      </c>
      <c r="AA542" s="4">
        <f t="shared" si="482"/>
        <v>17.044449496300278</v>
      </c>
      <c r="AB542" s="4">
        <f t="shared" si="483"/>
        <v>1.6895863273045277</v>
      </c>
      <c r="AC542" s="47" t="str">
        <f t="shared" si="484"/>
        <v>-0.425530197850894+0.0421808081390932i</v>
      </c>
      <c r="AD542" s="20">
        <f t="shared" si="485"/>
        <v>-7.3789275635855054</v>
      </c>
      <c r="AE542" s="43">
        <f t="shared" si="486"/>
        <v>174.33903161291195</v>
      </c>
      <c r="AF542" t="str">
        <f t="shared" si="468"/>
        <v>69.5520360182888</v>
      </c>
      <c r="AG542" t="str">
        <f t="shared" si="469"/>
        <v>1+1955.00745827856i</v>
      </c>
      <c r="AH542">
        <f t="shared" si="487"/>
        <v>1955.0077140320432</v>
      </c>
      <c r="AI542">
        <f t="shared" si="488"/>
        <v>1.5702848198394872</v>
      </c>
      <c r="AJ542" t="str">
        <f t="shared" si="470"/>
        <v>1+41.0551566238497i</v>
      </c>
      <c r="AK542">
        <f t="shared" si="489"/>
        <v>41.067333556110384</v>
      </c>
      <c r="AL542">
        <f t="shared" si="490"/>
        <v>1.5464436658779557</v>
      </c>
      <c r="AM542" t="str">
        <f t="shared" si="471"/>
        <v>1-4.9837844381184i</v>
      </c>
      <c r="AN542">
        <f t="shared" si="491"/>
        <v>5.0831198417537955</v>
      </c>
      <c r="AO542">
        <f t="shared" si="492"/>
        <v>-1.3727751406305138</v>
      </c>
      <c r="AP542" s="41" t="str">
        <f t="shared" si="493"/>
        <v>1.2870291437073-7.31419747856811i</v>
      </c>
      <c r="AQ542">
        <f t="shared" si="494"/>
        <v>17.415764539173601</v>
      </c>
      <c r="AR542" s="43">
        <f t="shared" si="495"/>
        <v>-80.020219279323939</v>
      </c>
      <c r="AS542" t="str">
        <f t="shared" si="472"/>
        <v>-0.0000166666666666667</v>
      </c>
      <c r="AT542" t="str">
        <f t="shared" si="473"/>
        <v>0.0371243437556089i</v>
      </c>
      <c r="AU542">
        <f t="shared" si="496"/>
        <v>3.7124343755608899E-2</v>
      </c>
      <c r="AV542">
        <f t="shared" si="497"/>
        <v>1.5707963267948966</v>
      </c>
      <c r="AW542" t="str">
        <f t="shared" si="474"/>
        <v>1+37.7280960589007i</v>
      </c>
      <c r="AX542">
        <f t="shared" si="498"/>
        <v>37.741346454911202</v>
      </c>
      <c r="AY542">
        <f t="shared" si="499"/>
        <v>1.5442970855516631</v>
      </c>
      <c r="AZ542" t="str">
        <f t="shared" si="475"/>
        <v>1+1282.75526600263i</v>
      </c>
      <c r="BA542">
        <f t="shared" si="500"/>
        <v>1282.7556557885364</v>
      </c>
      <c r="BB542">
        <f t="shared" si="501"/>
        <v>1.5700167550216004</v>
      </c>
      <c r="BC542" s="41" t="str">
        <f t="shared" si="502"/>
        <v>-0.000392404530967049+0.0152536175563104i</v>
      </c>
      <c r="BD542">
        <f t="shared" si="503"/>
        <v>-36.329669750825182</v>
      </c>
      <c r="BE542" s="43">
        <f t="shared" si="504"/>
        <v>91.473628511098894</v>
      </c>
      <c r="BF542" s="41" t="str">
        <f t="shared" si="505"/>
        <v>-0.000476429937869837-0.00650742683691227i</v>
      </c>
      <c r="BG542" s="20">
        <f t="shared" si="506"/>
        <v>-43.708597314410682</v>
      </c>
      <c r="BH542" s="43">
        <f t="shared" si="507"/>
        <v>-94.187339875989153</v>
      </c>
      <c r="BI542" s="41" t="str">
        <f t="shared" si="460"/>
        <v>0.11106293500193+0.0225019745729147i</v>
      </c>
      <c r="BJ542" s="20">
        <f t="shared" si="508"/>
        <v>-18.91390521165161</v>
      </c>
      <c r="BK542" s="43">
        <f t="shared" si="461"/>
        <v>11.453409231774993</v>
      </c>
      <c r="BL542">
        <f t="shared" si="509"/>
        <v>-43.708597314410682</v>
      </c>
      <c r="BM542" s="43">
        <f t="shared" si="510"/>
        <v>-94.187339875989153</v>
      </c>
    </row>
    <row r="543" spans="14:65" x14ac:dyDescent="0.25">
      <c r="N543" s="9">
        <v>25</v>
      </c>
      <c r="O543" s="34">
        <f t="shared" si="462"/>
        <v>1778279.4100389241</v>
      </c>
      <c r="P543" s="33" t="str">
        <f t="shared" si="463"/>
        <v>19.1021967526266</v>
      </c>
      <c r="Q543" s="4" t="str">
        <f t="shared" si="464"/>
        <v>1+2507.84706722624i</v>
      </c>
      <c r="R543" s="4">
        <f t="shared" si="476"/>
        <v>2507.8472666004309</v>
      </c>
      <c r="S543" s="4">
        <f t="shared" si="477"/>
        <v>1.5703975784182238</v>
      </c>
      <c r="T543" s="4" t="str">
        <f t="shared" si="465"/>
        <v>1+42.011454070174i</v>
      </c>
      <c r="U543" s="4">
        <f t="shared" si="478"/>
        <v>42.023353901019604</v>
      </c>
      <c r="V543" s="4">
        <f t="shared" si="479"/>
        <v>1.5469977883996775</v>
      </c>
      <c r="W543" t="str">
        <f t="shared" si="466"/>
        <v>1-23.277623044201i</v>
      </c>
      <c r="X543" s="4">
        <f t="shared" si="480"/>
        <v>23.299092999254658</v>
      </c>
      <c r="Y543" s="4">
        <f t="shared" si="481"/>
        <v>-1.5278630127089574</v>
      </c>
      <c r="Z543" t="str">
        <f t="shared" si="467"/>
        <v>-2.16227766016836+17.3185515448856i</v>
      </c>
      <c r="AA543" s="4">
        <f t="shared" si="482"/>
        <v>17.453013272570516</v>
      </c>
      <c r="AB543" s="4">
        <f t="shared" si="483"/>
        <v>1.6950068386204484</v>
      </c>
      <c r="AC543" s="47" t="str">
        <f t="shared" si="484"/>
        <v>-0.424969574310589+0.0446477265987646i</v>
      </c>
      <c r="AD543" s="20">
        <f t="shared" si="485"/>
        <v>-7.3851692577996015</v>
      </c>
      <c r="AE543" s="43">
        <f t="shared" si="486"/>
        <v>174.0024503893149</v>
      </c>
      <c r="AF543" t="str">
        <f t="shared" si="468"/>
        <v>69.5520360182888</v>
      </c>
      <c r="AG543" t="str">
        <f t="shared" si="469"/>
        <v>1+2000.54543191305i</v>
      </c>
      <c r="AH543">
        <f t="shared" si="487"/>
        <v>2000.545681844874</v>
      </c>
      <c r="AI543">
        <f t="shared" si="488"/>
        <v>1.5702964631573306</v>
      </c>
      <c r="AJ543" t="str">
        <f t="shared" si="470"/>
        <v>1+42.011454070174i</v>
      </c>
      <c r="AK543">
        <f t="shared" si="489"/>
        <v>42.023353901019604</v>
      </c>
      <c r="AL543">
        <f t="shared" si="490"/>
        <v>1.5469977883996775</v>
      </c>
      <c r="AM543" t="str">
        <f t="shared" si="471"/>
        <v>1-5.0998716905644i</v>
      </c>
      <c r="AN543">
        <f t="shared" si="491"/>
        <v>5.1969886723197876</v>
      </c>
      <c r="AO543">
        <f t="shared" si="492"/>
        <v>-1.3771695833819628</v>
      </c>
      <c r="AP543" s="41" t="str">
        <f t="shared" si="493"/>
        <v>1.28702833983836-7.48295884762516i</v>
      </c>
      <c r="AQ543">
        <f t="shared" si="494"/>
        <v>17.608077116469751</v>
      </c>
      <c r="AR543" s="43">
        <f t="shared" si="495"/>
        <v>-80.240920533437858</v>
      </c>
      <c r="AS543" t="str">
        <f t="shared" si="472"/>
        <v>-0.0000166666666666667</v>
      </c>
      <c r="AT543" t="str">
        <f t="shared" si="473"/>
        <v>0.0379890808081363i</v>
      </c>
      <c r="AU543">
        <f t="shared" si="496"/>
        <v>3.7989080808136302E-2</v>
      </c>
      <c r="AV543">
        <f t="shared" si="497"/>
        <v>1.5707963267948966</v>
      </c>
      <c r="AW543" t="str">
        <f t="shared" si="474"/>
        <v>1+38.6068963091681i</v>
      </c>
      <c r="AX543">
        <f t="shared" si="498"/>
        <v>38.619845191648004</v>
      </c>
      <c r="AY543">
        <f t="shared" si="499"/>
        <v>1.5449000091462797</v>
      </c>
      <c r="AZ543" t="str">
        <f t="shared" si="475"/>
        <v>1+1312.63447451171i</v>
      </c>
      <c r="BA543">
        <f t="shared" si="500"/>
        <v>1312.6348554250087</v>
      </c>
      <c r="BB543">
        <f t="shared" si="501"/>
        <v>1.5700345002346792</v>
      </c>
      <c r="BC543" s="41" t="str">
        <f t="shared" si="502"/>
        <v>-0.000374755259030187+0.0149068599836002i</v>
      </c>
      <c r="BD543">
        <f t="shared" si="503"/>
        <v>-36.529532642336207</v>
      </c>
      <c r="BE543" s="43">
        <f t="shared" si="504"/>
        <v>91.440100259574464</v>
      </c>
      <c r="BF543" s="41" t="str">
        <f t="shared" si="505"/>
        <v>-0.000506297826093133-0.00635169391188476i</v>
      </c>
      <c r="BG543" s="20">
        <f t="shared" si="506"/>
        <v>-43.91470190013581</v>
      </c>
      <c r="BH543" s="43">
        <f t="shared" si="507"/>
        <v>-94.55744935111062</v>
      </c>
      <c r="BI543" s="41" t="str">
        <f t="shared" si="460"/>
        <v>0.111065099165715+0.0219898294381498i</v>
      </c>
      <c r="BJ543" s="20">
        <f t="shared" si="508"/>
        <v>-18.921455525866474</v>
      </c>
      <c r="BK543" s="43">
        <f t="shared" si="461"/>
        <v>11.199179726136618</v>
      </c>
      <c r="BL543">
        <f t="shared" si="509"/>
        <v>-43.91470190013581</v>
      </c>
      <c r="BM543" s="43">
        <f t="shared" si="510"/>
        <v>-94.55744935111062</v>
      </c>
    </row>
    <row r="544" spans="14:65" x14ac:dyDescent="0.25">
      <c r="N544" s="9">
        <v>26</v>
      </c>
      <c r="O544" s="34">
        <f t="shared" si="462"/>
        <v>1819700.8586099846</v>
      </c>
      <c r="P544" s="33" t="str">
        <f t="shared" si="463"/>
        <v>19.1021967526266</v>
      </c>
      <c r="Q544" s="4" t="str">
        <f t="shared" si="464"/>
        <v>1+2566.26232960446i</v>
      </c>
      <c r="R544" s="4">
        <f t="shared" si="476"/>
        <v>2566.2625244403407</v>
      </c>
      <c r="S544" s="4">
        <f t="shared" si="477"/>
        <v>1.5704066550384868</v>
      </c>
      <c r="T544" s="4" t="str">
        <f t="shared" si="465"/>
        <v>1+42.9900265455339i</v>
      </c>
      <c r="U544" s="4">
        <f t="shared" si="478"/>
        <v>43.001655577264806</v>
      </c>
      <c r="V544" s="4">
        <f t="shared" si="479"/>
        <v>1.5475393116779457</v>
      </c>
      <c r="W544" t="str">
        <f t="shared" si="466"/>
        <v>1-23.819828538084i</v>
      </c>
      <c r="X544" s="4">
        <f t="shared" si="480"/>
        <v>23.840810212400942</v>
      </c>
      <c r="Y544" s="4">
        <f t="shared" si="481"/>
        <v>-1.5288391343858516</v>
      </c>
      <c r="Z544" t="str">
        <f t="shared" si="467"/>
        <v>-2.31131121482589+17.7219524323345i</v>
      </c>
      <c r="AA544" s="4">
        <f t="shared" si="482"/>
        <v>17.872038427266954</v>
      </c>
      <c r="AB544" s="4">
        <f t="shared" si="483"/>
        <v>1.7004851152849096</v>
      </c>
      <c r="AC544" s="47" t="str">
        <f t="shared" si="484"/>
        <v>-0.424377865656101+0.0471280575173597i</v>
      </c>
      <c r="AD544" s="20">
        <f t="shared" si="485"/>
        <v>-7.3917134125767161</v>
      </c>
      <c r="AE544" s="43">
        <f t="shared" si="486"/>
        <v>173.66314755137856</v>
      </c>
      <c r="AF544" t="str">
        <f t="shared" si="468"/>
        <v>69.5520360182888</v>
      </c>
      <c r="AG544" t="str">
        <f t="shared" si="469"/>
        <v>1+2047.1441212159i</v>
      </c>
      <c r="AH544">
        <f t="shared" si="487"/>
        <v>2047.1443654585817</v>
      </c>
      <c r="AI544">
        <f t="shared" si="488"/>
        <v>1.5703078414410336</v>
      </c>
      <c r="AJ544" t="str">
        <f t="shared" si="470"/>
        <v>1+42.9900265455339i</v>
      </c>
      <c r="AK544">
        <f t="shared" si="489"/>
        <v>43.001655577264806</v>
      </c>
      <c r="AL544">
        <f t="shared" si="490"/>
        <v>1.5475393116779457</v>
      </c>
      <c r="AM544" t="str">
        <f t="shared" si="471"/>
        <v>1-5.21866296248557i</v>
      </c>
      <c r="AN544">
        <f t="shared" si="491"/>
        <v>5.3136092362930354</v>
      </c>
      <c r="AO544">
        <f t="shared" si="492"/>
        <v>-1.3814713266575909</v>
      </c>
      <c r="AP544" s="41" t="str">
        <f t="shared" si="493"/>
        <v>1.28702757214946-7.65568778047586i</v>
      </c>
      <c r="AQ544">
        <f t="shared" si="494"/>
        <v>17.800723338393535</v>
      </c>
      <c r="AR544" s="43">
        <f t="shared" si="495"/>
        <v>-80.457017196961587</v>
      </c>
      <c r="AS544" t="str">
        <f t="shared" si="472"/>
        <v>-0.0000166666666666667</v>
      </c>
      <c r="AT544" t="str">
        <f t="shared" si="473"/>
        <v>0.0388739601741531i</v>
      </c>
      <c r="AU544">
        <f t="shared" si="496"/>
        <v>3.8873960174153101E-2</v>
      </c>
      <c r="AV544">
        <f t="shared" si="497"/>
        <v>1.5707963267948966</v>
      </c>
      <c r="AW544" t="str">
        <f t="shared" si="474"/>
        <v>1+39.5061664468815i</v>
      </c>
      <c r="AX544">
        <f t="shared" si="498"/>
        <v>39.518820672291142</v>
      </c>
      <c r="AY544">
        <f t="shared" si="499"/>
        <v>1.5454892267216964</v>
      </c>
      <c r="AZ544" t="str">
        <f t="shared" si="475"/>
        <v>1+1343.20965919397i</v>
      </c>
      <c r="BA544">
        <f t="shared" si="500"/>
        <v>1343.210031436626</v>
      </c>
      <c r="BB544">
        <f t="shared" si="501"/>
        <v>1.570051841517857</v>
      </c>
      <c r="BC544" s="41" t="str">
        <f t="shared" si="502"/>
        <v>-0.000357899293948592+0.0145679650902362i</v>
      </c>
      <c r="BD544">
        <f t="shared" si="503"/>
        <v>-36.729401700697672</v>
      </c>
      <c r="BE544" s="43">
        <f t="shared" si="504"/>
        <v>91.407334161625599</v>
      </c>
      <c r="BF544" s="41" t="str">
        <f t="shared" si="505"/>
        <v>-0.000534675358197811-0.00619918903045766i</v>
      </c>
      <c r="BG544" s="20">
        <f t="shared" si="506"/>
        <v>-44.121115113274385</v>
      </c>
      <c r="BH544" s="43">
        <f t="shared" si="507"/>
        <v>-94.929518286995858</v>
      </c>
      <c r="BI544" s="41" t="str">
        <f t="shared" si="460"/>
        <v>0.111067166068356+0.021489337992568i</v>
      </c>
      <c r="BJ544" s="20">
        <f t="shared" si="508"/>
        <v>-18.928678362304101</v>
      </c>
      <c r="BK544" s="43">
        <f t="shared" si="461"/>
        <v>10.950316964663989</v>
      </c>
      <c r="BL544">
        <f t="shared" si="509"/>
        <v>-44.121115113274385</v>
      </c>
      <c r="BM544" s="43">
        <f t="shared" si="510"/>
        <v>-94.929518286995858</v>
      </c>
    </row>
    <row r="545" spans="14:65" x14ac:dyDescent="0.25">
      <c r="N545" s="9">
        <v>27</v>
      </c>
      <c r="O545" s="34">
        <f t="shared" si="462"/>
        <v>1862087.1366628683</v>
      </c>
      <c r="P545" s="33" t="str">
        <f t="shared" si="463"/>
        <v>19.1021967526266</v>
      </c>
      <c r="Q545" s="4" t="str">
        <f t="shared" si="464"/>
        <v>1+2626.03825823833i</v>
      </c>
      <c r="R545" s="4">
        <f t="shared" si="476"/>
        <v>2626.0384486392045</v>
      </c>
      <c r="S545" s="4">
        <f t="shared" si="477"/>
        <v>1.5704155250497103</v>
      </c>
      <c r="T545" s="4" t="str">
        <f t="shared" si="465"/>
        <v>1+43.9913929020084i</v>
      </c>
      <c r="U545" s="4">
        <f t="shared" si="478"/>
        <v>44.00275729382053</v>
      </c>
      <c r="V545" s="4">
        <f t="shared" si="479"/>
        <v>1.5480685215644396</v>
      </c>
      <c r="W545" t="str">
        <f t="shared" si="466"/>
        <v>1-24.3746636203504i</v>
      </c>
      <c r="X545" s="4">
        <f t="shared" si="480"/>
        <v>24.395168099548595</v>
      </c>
      <c r="Y545" s="4">
        <f t="shared" si="481"/>
        <v>-1.5297931141314176</v>
      </c>
      <c r="Z545" t="str">
        <f t="shared" si="467"/>
        <v>-2.46736850452529+18.1347497335407i</v>
      </c>
      <c r="AA545" s="4">
        <f t="shared" si="482"/>
        <v>18.301832018551529</v>
      </c>
      <c r="AB545" s="4">
        <f t="shared" si="483"/>
        <v>1.7060234695782062</v>
      </c>
      <c r="AC545" s="47" t="str">
        <f t="shared" si="484"/>
        <v>-0.423754087957002+0.0496223827953749i</v>
      </c>
      <c r="AD545" s="20">
        <f t="shared" si="485"/>
        <v>-7.3985725056526856</v>
      </c>
      <c r="AE545" s="43">
        <f t="shared" si="486"/>
        <v>173.32097749052798</v>
      </c>
      <c r="AF545" t="str">
        <f t="shared" si="468"/>
        <v>69.5520360182888</v>
      </c>
      <c r="AG545" t="str">
        <f t="shared" si="469"/>
        <v>1+2094.82823342897i</v>
      </c>
      <c r="AH545">
        <f t="shared" si="487"/>
        <v>2094.8284721120103</v>
      </c>
      <c r="AI545">
        <f t="shared" si="488"/>
        <v>1.5703189607235011</v>
      </c>
      <c r="AJ545" t="str">
        <f t="shared" si="470"/>
        <v>1+43.9913929020084i</v>
      </c>
      <c r="AK545">
        <f t="shared" si="489"/>
        <v>44.00275729382053</v>
      </c>
      <c r="AL545">
        <f t="shared" si="490"/>
        <v>1.5480685215644396</v>
      </c>
      <c r="AM545" t="str">
        <f t="shared" si="471"/>
        <v>1-5.3402212385866i</v>
      </c>
      <c r="AN545">
        <f t="shared" si="491"/>
        <v>5.4330436108181024</v>
      </c>
      <c r="AO545">
        <f t="shared" si="492"/>
        <v>-1.3856820141618229</v>
      </c>
      <c r="AP545" s="41" t="str">
        <f t="shared" si="493"/>
        <v>1.28702683901223-7.83247586028897i</v>
      </c>
      <c r="AQ545">
        <f t="shared" si="494"/>
        <v>17.993689237174049</v>
      </c>
      <c r="AR545" s="43">
        <f t="shared" si="495"/>
        <v>-80.668587414786501</v>
      </c>
      <c r="AS545" t="str">
        <f t="shared" si="472"/>
        <v>-0.0000166666666666667</v>
      </c>
      <c r="AT545" t="str">
        <f t="shared" si="473"/>
        <v>0.039779451028412i</v>
      </c>
      <c r="AU545">
        <f t="shared" si="496"/>
        <v>3.9779451028412002E-2</v>
      </c>
      <c r="AV545">
        <f t="shared" si="497"/>
        <v>1.5707963267948966</v>
      </c>
      <c r="AW545" t="str">
        <f t="shared" si="474"/>
        <v>1+40.4263832769708i</v>
      </c>
      <c r="AX545">
        <f t="shared" si="498"/>
        <v>40.43874954615368</v>
      </c>
      <c r="AY545">
        <f t="shared" si="499"/>
        <v>1.5460650490514298</v>
      </c>
      <c r="AZ545" t="str">
        <f t="shared" si="475"/>
        <v>1+1374.49703141701i</v>
      </c>
      <c r="BA545">
        <f t="shared" si="500"/>
        <v>1374.4973951863908</v>
      </c>
      <c r="BB545">
        <f t="shared" si="501"/>
        <v>1.5700687880656703</v>
      </c>
      <c r="BC545" s="41" t="str">
        <f t="shared" si="502"/>
        <v>-0.000341801022563409+0.0142367559317748i</v>
      </c>
      <c r="BD545">
        <f t="shared" si="503"/>
        <v>-36.929276648711856</v>
      </c>
      <c r="BE545" s="43">
        <f t="shared" si="504"/>
        <v>91.37531293804949</v>
      </c>
      <c r="BF545" s="41" t="str">
        <f t="shared" si="505"/>
        <v>-0.000561622172031725-0.00604984450651716i</v>
      </c>
      <c r="BG545" s="20">
        <f t="shared" si="506"/>
        <v>-44.327849154364536</v>
      </c>
      <c r="BH545" s="43">
        <f t="shared" si="507"/>
        <v>-95.30370957142253</v>
      </c>
      <c r="BI545" s="41" t="str">
        <f t="shared" si="460"/>
        <v>0.111069140074811+0.0210002352429107i</v>
      </c>
      <c r="BJ545" s="20">
        <f t="shared" si="508"/>
        <v>-18.935587411537803</v>
      </c>
      <c r="BK545" s="43">
        <f t="shared" si="461"/>
        <v>10.706725523262985</v>
      </c>
      <c r="BL545">
        <f t="shared" si="509"/>
        <v>-44.327849154364536</v>
      </c>
      <c r="BM545" s="43">
        <f t="shared" si="510"/>
        <v>-95.30370957142253</v>
      </c>
    </row>
    <row r="546" spans="14:65" x14ac:dyDescent="0.25">
      <c r="N546" s="9">
        <v>28</v>
      </c>
      <c r="O546" s="34">
        <f t="shared" si="462"/>
        <v>1905460.7179632513</v>
      </c>
      <c r="P546" s="33" t="str">
        <f t="shared" si="463"/>
        <v>19.1021967526266</v>
      </c>
      <c r="Q546" s="4" t="str">
        <f t="shared" si="464"/>
        <v>1+2687.20654711646i</v>
      </c>
      <c r="R546" s="4">
        <f t="shared" si="476"/>
        <v>2687.2067331832823</v>
      </c>
      <c r="S546" s="4">
        <f t="shared" si="477"/>
        <v>1.5704241931548859</v>
      </c>
      <c r="T546" s="4" t="str">
        <f t="shared" si="465"/>
        <v>1+45.0160840772948i</v>
      </c>
      <c r="U546" s="4">
        <f t="shared" si="478"/>
        <v>45.027189848513466</v>
      </c>
      <c r="V546" s="4">
        <f t="shared" si="479"/>
        <v>1.5485856974668695</v>
      </c>
      <c r="W546" t="str">
        <f t="shared" si="466"/>
        <v>1-24.9424224719054i</v>
      </c>
      <c r="X546" s="4">
        <f t="shared" si="480"/>
        <v>24.962460591195963</v>
      </c>
      <c r="Y546" s="4">
        <f t="shared" si="481"/>
        <v>-1.5307254508088233</v>
      </c>
      <c r="Z546" t="str">
        <f t="shared" si="467"/>
        <v>-2.63078054770105+18.5571623190976i</v>
      </c>
      <c r="AA546" s="4">
        <f t="shared" si="482"/>
        <v>18.74271270727634</v>
      </c>
      <c r="AB546" s="4">
        <f t="shared" si="483"/>
        <v>1.7116242087513627</v>
      </c>
      <c r="AC546" s="47" t="str">
        <f t="shared" si="484"/>
        <v>-0.423097214055255+0.0521312488674442i</v>
      </c>
      <c r="AD546" s="20">
        <f t="shared" si="485"/>
        <v>-7.4057595521851693</v>
      </c>
      <c r="AE546" s="43">
        <f t="shared" si="486"/>
        <v>172.97579516768408</v>
      </c>
      <c r="AF546" t="str">
        <f t="shared" si="468"/>
        <v>69.5520360182888</v>
      </c>
      <c r="AG546" t="str">
        <f t="shared" si="469"/>
        <v>1+2143.62305129976i</v>
      </c>
      <c r="AH546">
        <f t="shared" si="487"/>
        <v>2143.6232845497116</v>
      </c>
      <c r="AI546">
        <f t="shared" si="488"/>
        <v>1.5703298269003125</v>
      </c>
      <c r="AJ546" t="str">
        <f t="shared" si="470"/>
        <v>1+45.0160840772948i</v>
      </c>
      <c r="AK546">
        <f t="shared" si="489"/>
        <v>45.027189848513466</v>
      </c>
      <c r="AL546">
        <f t="shared" si="490"/>
        <v>1.5485856974668695</v>
      </c>
      <c r="AM546" t="str">
        <f t="shared" si="471"/>
        <v>1-5.46461097067456i</v>
      </c>
      <c r="AN546">
        <f t="shared" si="491"/>
        <v>5.555355349643869</v>
      </c>
      <c r="AO546">
        <f t="shared" si="492"/>
        <v>-1.3898032809265994</v>
      </c>
      <c r="AP546" s="41" t="str">
        <f t="shared" si="493"/>
        <v>1.2870261388716-8.01341682244675i</v>
      </c>
      <c r="AQ546">
        <f t="shared" si="494"/>
        <v>18.186961386114209</v>
      </c>
      <c r="AR546" s="43">
        <f t="shared" si="495"/>
        <v>-80.875709196251307</v>
      </c>
      <c r="AS546" t="str">
        <f t="shared" si="472"/>
        <v>-0.0000166666666666667</v>
      </c>
      <c r="AT546" t="str">
        <f t="shared" si="473"/>
        <v>0.0407060334741495i</v>
      </c>
      <c r="AU546">
        <f t="shared" si="496"/>
        <v>4.07060334741495E-2</v>
      </c>
      <c r="AV546">
        <f t="shared" si="497"/>
        <v>1.5707963267948966</v>
      </c>
      <c r="AW546" t="str">
        <f t="shared" si="474"/>
        <v>1+41.3680347105804i</v>
      </c>
      <c r="AX546">
        <f t="shared" si="498"/>
        <v>41.380119572275106</v>
      </c>
      <c r="AY546">
        <f t="shared" si="499"/>
        <v>1.5466277799158168</v>
      </c>
      <c r="AZ546" t="str">
        <f t="shared" si="475"/>
        <v>1+1406.51318015973i</v>
      </c>
      <c r="BA546">
        <f t="shared" si="500"/>
        <v>1406.5135356487108</v>
      </c>
      <c r="BB546">
        <f t="shared" si="501"/>
        <v>1.5700853488633639</v>
      </c>
      <c r="BC546" s="41" t="str">
        <f t="shared" si="502"/>
        <v>-0.000326426426529314+0.0139130594562048i</v>
      </c>
      <c r="BD546">
        <f t="shared" si="503"/>
        <v>-37.129157221625363</v>
      </c>
      <c r="BE546" s="43">
        <f t="shared" si="504"/>
        <v>91.344019698331593</v>
      </c>
      <c r="BF546" s="41" t="str">
        <f t="shared" si="505"/>
        <v>-0.000587195053360395-0.00590359371218368i</v>
      </c>
      <c r="BG546" s="20">
        <f t="shared" si="506"/>
        <v>-44.534916773810536</v>
      </c>
      <c r="BH546" s="43">
        <f t="shared" si="507"/>
        <v>-95.680185133984338</v>
      </c>
      <c r="BI546" s="41" t="str">
        <f t="shared" si="460"/>
        <v>0.111071025354692+0.0205222622094514i</v>
      </c>
      <c r="BJ546" s="20">
        <f t="shared" si="508"/>
        <v>-18.942195835511136</v>
      </c>
      <c r="BK546" s="43">
        <f t="shared" si="461"/>
        <v>10.468310502080241</v>
      </c>
      <c r="BL546">
        <f t="shared" si="509"/>
        <v>-44.534916773810536</v>
      </c>
      <c r="BM546" s="43">
        <f t="shared" si="510"/>
        <v>-95.680185133984338</v>
      </c>
    </row>
    <row r="547" spans="14:65" x14ac:dyDescent="0.25">
      <c r="N547" s="9">
        <v>29</v>
      </c>
      <c r="O547" s="34">
        <f t="shared" si="462"/>
        <v>1949844.5997580495</v>
      </c>
      <c r="P547" s="33" t="str">
        <f t="shared" si="463"/>
        <v>19.1021967526266</v>
      </c>
      <c r="Q547" s="4" t="str">
        <f t="shared" si="464"/>
        <v>1+2749.79962847522i</v>
      </c>
      <c r="R547" s="4">
        <f t="shared" si="476"/>
        <v>2749.7998103066443</v>
      </c>
      <c r="S547" s="4">
        <f t="shared" si="477"/>
        <v>1.5704326639499528</v>
      </c>
      <c r="T547" s="4" t="str">
        <f t="shared" si="465"/>
        <v>1+46.0646433762168i</v>
      </c>
      <c r="U547" s="4">
        <f t="shared" si="478"/>
        <v>46.075496409458623</v>
      </c>
      <c r="V547" s="4">
        <f t="shared" si="479"/>
        <v>1.5490911124914732</v>
      </c>
      <c r="W547" t="str">
        <f t="shared" si="466"/>
        <v>1-25.5234061260067i</v>
      </c>
      <c r="X547" s="4">
        <f t="shared" si="480"/>
        <v>25.542988475765252</v>
      </c>
      <c r="Y547" s="4">
        <f t="shared" si="481"/>
        <v>-1.5316366322681363</v>
      </c>
      <c r="Z547" t="str">
        <f t="shared" si="467"/>
        <v>-2.80189396320559+18.9894141577489i</v>
      </c>
      <c r="AA547" s="4">
        <f t="shared" si="482"/>
        <v>19.19501132678911</v>
      </c>
      <c r="AB547" s="4">
        <f t="shared" si="483"/>
        <v>1.7172896337772598</v>
      </c>
      <c r="AC547" s="47" t="str">
        <f t="shared" si="484"/>
        <v>-0.422406173467538+0.0546551643772125i</v>
      </c>
      <c r="AD547" s="20">
        <f t="shared" si="485"/>
        <v>-7.4132881208343822</v>
      </c>
      <c r="AE547" s="43">
        <f t="shared" si="486"/>
        <v>172.62745617956898</v>
      </c>
      <c r="AF547" t="str">
        <f t="shared" si="468"/>
        <v>69.5520360182888</v>
      </c>
      <c r="AG547" t="str">
        <f t="shared" si="469"/>
        <v>1+2193.55444648652i</v>
      </c>
      <c r="AH547">
        <f t="shared" si="487"/>
        <v>2193.5546744270555</v>
      </c>
      <c r="AI547">
        <f t="shared" si="488"/>
        <v>1.5703404457328487</v>
      </c>
      <c r="AJ547" t="str">
        <f t="shared" si="470"/>
        <v>1+46.0646433762168i</v>
      </c>
      <c r="AK547">
        <f t="shared" si="489"/>
        <v>46.075496409458623</v>
      </c>
      <c r="AL547">
        <f t="shared" si="490"/>
        <v>1.5490911124914732</v>
      </c>
      <c r="AM547" t="str">
        <f t="shared" si="471"/>
        <v>1-5.59189811183177i</v>
      </c>
      <c r="AN547">
        <f t="shared" si="491"/>
        <v>5.6806095177461122</v>
      </c>
      <c r="AO547">
        <f t="shared" si="492"/>
        <v>-1.3938367518355421</v>
      </c>
      <c r="AP547" s="41" t="str">
        <f t="shared" si="493"/>
        <v>1.28702547024247-8.19860660424445i</v>
      </c>
      <c r="AQ547">
        <f t="shared" si="494"/>
        <v>18.380526882364538</v>
      </c>
      <c r="AR547" s="43">
        <f t="shared" si="495"/>
        <v>-81.078460322597934</v>
      </c>
      <c r="AS547" t="str">
        <f t="shared" si="472"/>
        <v>-0.0000166666666666667</v>
      </c>
      <c r="AT547" t="str">
        <f t="shared" si="473"/>
        <v>0.041654198797643i</v>
      </c>
      <c r="AU547">
        <f t="shared" si="496"/>
        <v>4.1654198797642997E-2</v>
      </c>
      <c r="AV547">
        <f t="shared" si="497"/>
        <v>1.5707963267948966</v>
      </c>
      <c r="AW547" t="str">
        <f t="shared" si="474"/>
        <v>1+42.3316200237637i</v>
      </c>
      <c r="AX547">
        <f t="shared" si="498"/>
        <v>42.343429878037888</v>
      </c>
      <c r="AY547">
        <f t="shared" si="499"/>
        <v>1.5471777162558111</v>
      </c>
      <c r="AZ547" t="str">
        <f t="shared" si="475"/>
        <v>1+1439.27508080797i</v>
      </c>
      <c r="BA547">
        <f t="shared" si="500"/>
        <v>1439.2754282050355</v>
      </c>
      <c r="BB547">
        <f t="shared" si="501"/>
        <v>1.5701015326916556</v>
      </c>
      <c r="BC547" s="41" t="str">
        <f t="shared" si="502"/>
        <v>-0.000311743011242326+0.0135967064243425i</v>
      </c>
      <c r="BD547">
        <f t="shared" si="503"/>
        <v>-37.329043166571985</v>
      </c>
      <c r="BE547" s="43">
        <f t="shared" si="504"/>
        <v>91.313437932106538</v>
      </c>
      <c r="BF547" s="41" t="str">
        <f t="shared" si="505"/>
        <v>-0.000611448052127022-0.0057603710979909i</v>
      </c>
      <c r="BG547" s="20">
        <f t="shared" si="506"/>
        <v>-44.742331287406373</v>
      </c>
      <c r="BH547" s="43">
        <f t="shared" si="507"/>
        <v>-96.059105888324453</v>
      </c>
      <c r="BI547" s="41" t="str">
        <f t="shared" si="460"/>
        <v>0.111072825890948+0.0200551657903366i</v>
      </c>
      <c r="BJ547" s="20">
        <f t="shared" si="508"/>
        <v>-18.948516284207479</v>
      </c>
      <c r="BK547" s="43">
        <f t="shared" si="461"/>
        <v>10.234977609508636</v>
      </c>
      <c r="BL547">
        <f t="shared" si="509"/>
        <v>-44.742331287406373</v>
      </c>
      <c r="BM547" s="43">
        <f t="shared" si="510"/>
        <v>-96.059105888324453</v>
      </c>
    </row>
    <row r="548" spans="14:65" x14ac:dyDescent="0.25">
      <c r="N548" s="9">
        <v>30</v>
      </c>
      <c r="O548" s="34">
        <f t="shared" si="462"/>
        <v>1995262.31496888</v>
      </c>
      <c r="P548" s="33" t="str">
        <f t="shared" si="463"/>
        <v>19.1021967526266</v>
      </c>
      <c r="Q548" s="4" t="str">
        <f t="shared" si="464"/>
        <v>1+2813.85068999492i</v>
      </c>
      <c r="R548" s="4">
        <f t="shared" si="476"/>
        <v>2813.8508676873562</v>
      </c>
      <c r="S548" s="4">
        <f t="shared" si="477"/>
        <v>1.5704409419262337</v>
      </c>
      <c r="T548" s="4" t="str">
        <f t="shared" si="465"/>
        <v>1+47.1376267587948i</v>
      </c>
      <c r="U548" s="4">
        <f t="shared" si="478"/>
        <v>47.148232803058988</v>
      </c>
      <c r="V548" s="4">
        <f t="shared" si="479"/>
        <v>1.5495850335825523</v>
      </c>
      <c r="W548" t="str">
        <f t="shared" si="466"/>
        <v>1-26.1179226278783i</v>
      </c>
      <c r="X548" s="4">
        <f t="shared" si="480"/>
        <v>26.137059559098027</v>
      </c>
      <c r="Y548" s="4">
        <f t="shared" si="481"/>
        <v>-1.5325271355742969</v>
      </c>
      <c r="Z548" t="str">
        <f t="shared" si="467"/>
        <v>-2.98107170553496+19.4317344351415i</v>
      </c>
      <c r="AA548" s="4">
        <f t="shared" si="482"/>
        <v>19.65907148548489</v>
      </c>
      <c r="AB548" s="4">
        <f t="shared" si="483"/>
        <v>1.7230220379702244</v>
      </c>
      <c r="AC548" s="47" t="str">
        <f t="shared" si="484"/>
        <v>-0.421679852364753+0.0571945977329887i</v>
      </c>
      <c r="AD548" s="20">
        <f t="shared" si="485"/>
        <v>-7.4211723500200009</v>
      </c>
      <c r="AE548" s="43">
        <f t="shared" si="486"/>
        <v>172.27581683259109</v>
      </c>
      <c r="AF548" t="str">
        <f t="shared" si="468"/>
        <v>69.5520360182888</v>
      </c>
      <c r="AG548" t="str">
        <f t="shared" si="469"/>
        <v>1+2244.64889327594i</v>
      </c>
      <c r="AH548">
        <f t="shared" si="487"/>
        <v>2244.6491160279152</v>
      </c>
      <c r="AI548">
        <f t="shared" si="488"/>
        <v>1.5703508228513454</v>
      </c>
      <c r="AJ548" t="str">
        <f t="shared" si="470"/>
        <v>1+47.1376267587948i</v>
      </c>
      <c r="AK548">
        <f t="shared" si="489"/>
        <v>47.148232803058988</v>
      </c>
      <c r="AL548">
        <f t="shared" si="490"/>
        <v>1.5495850335825523</v>
      </c>
      <c r="AM548" t="str">
        <f t="shared" si="471"/>
        <v>1-5.72215015138544i</v>
      </c>
      <c r="AN548">
        <f t="shared" si="491"/>
        <v>5.8088727267001143</v>
      </c>
      <c r="AO548">
        <f t="shared" si="492"/>
        <v>-1.39778404026879</v>
      </c>
      <c r="AP548" s="41" t="str">
        <f t="shared" si="493"/>
        <v>1.28702483170661-8.38814339575779i</v>
      </c>
      <c r="AQ548">
        <f t="shared" si="494"/>
        <v>18.574373329916291</v>
      </c>
      <c r="AR548" s="43">
        <f t="shared" si="495"/>
        <v>-81.276918261505898</v>
      </c>
      <c r="AS548" t="str">
        <f t="shared" si="472"/>
        <v>-0.0000166666666666667</v>
      </c>
      <c r="AT548" t="str">
        <f t="shared" si="473"/>
        <v>0.0426244497286974i</v>
      </c>
      <c r="AU548">
        <f t="shared" si="496"/>
        <v>4.2624449728697403E-2</v>
      </c>
      <c r="AV548">
        <f t="shared" si="497"/>
        <v>1.5707963267948966</v>
      </c>
      <c r="AW548" t="str">
        <f t="shared" si="474"/>
        <v>1+43.3176501222091i</v>
      </c>
      <c r="AX548">
        <f t="shared" si="498"/>
        <v>43.329191223817254</v>
      </c>
      <c r="AY548">
        <f t="shared" si="499"/>
        <v>1.5477151483236393</v>
      </c>
      <c r="AZ548" t="str">
        <f t="shared" si="475"/>
        <v>1+1472.80010415511i</v>
      </c>
      <c r="BA548">
        <f t="shared" si="500"/>
        <v>1472.8004436444546</v>
      </c>
      <c r="BB548">
        <f t="shared" si="501"/>
        <v>1.5701173481313915</v>
      </c>
      <c r="BC548" s="41" t="str">
        <f t="shared" si="502"/>
        <v>-0.000297719737904394+0.0132875313314415i</v>
      </c>
      <c r="BD548">
        <f t="shared" si="503"/>
        <v>-37.528934242040521</v>
      </c>
      <c r="BE548" s="43">
        <f t="shared" si="504"/>
        <v>91.283551500792996</v>
      </c>
      <c r="BF548" s="41" t="str">
        <f t="shared" si="505"/>
        <v>-0.000634432594240682-0.00562011221078089i</v>
      </c>
      <c r="BG548" s="20">
        <f t="shared" si="506"/>
        <v>-44.950106592060528</v>
      </c>
      <c r="BH548" s="43">
        <f t="shared" si="507"/>
        <v>-96.4406316666159</v>
      </c>
      <c r="BI548" s="41" t="str">
        <f t="shared" si="460"/>
        <v>0.111074545488184+0.0195986986289343i</v>
      </c>
      <c r="BJ548" s="20">
        <f t="shared" si="508"/>
        <v>-18.954560912124201</v>
      </c>
      <c r="BK548" s="43">
        <f t="shared" si="461"/>
        <v>10.006633239287062</v>
      </c>
      <c r="BL548">
        <f t="shared" si="509"/>
        <v>-44.950106592060528</v>
      </c>
      <c r="BM548" s="43">
        <f t="shared" si="510"/>
        <v>-96.4406316666159</v>
      </c>
    </row>
    <row r="549" spans="14:65" x14ac:dyDescent="0.25">
      <c r="N549" s="9">
        <v>31</v>
      </c>
      <c r="O549" s="34">
        <f t="shared" si="462"/>
        <v>2041737.9446695296</v>
      </c>
      <c r="P549" s="33" t="str">
        <f t="shared" si="463"/>
        <v>19.1021967526266</v>
      </c>
      <c r="Q549" s="4" t="str">
        <f t="shared" si="464"/>
        <v>1+2879.39369239615i</v>
      </c>
      <c r="R549" s="4">
        <f t="shared" si="476"/>
        <v>2879.393866043813</v>
      </c>
      <c r="S549" s="4">
        <f t="shared" si="477"/>
        <v>1.5704490314728168</v>
      </c>
      <c r="T549" s="4" t="str">
        <f t="shared" si="465"/>
        <v>1+48.2356031350203i</v>
      </c>
      <c r="U549" s="4">
        <f t="shared" si="478"/>
        <v>48.245967808711015</v>
      </c>
      <c r="V549" s="4">
        <f t="shared" si="479"/>
        <v>1.5500677216590855</v>
      </c>
      <c r="W549" t="str">
        <f t="shared" si="466"/>
        <v>1-26.7262871980387i</v>
      </c>
      <c r="X549" s="4">
        <f t="shared" si="480"/>
        <v>26.744988827667278</v>
      </c>
      <c r="Y549" s="4">
        <f t="shared" si="481"/>
        <v>-1.5333974272313966</v>
      </c>
      <c r="Z549" t="str">
        <f t="shared" si="467"/>
        <v>-3.16869383470332+19.8843576753408i</v>
      </c>
      <c r="AA549" s="4">
        <f t="shared" si="482"/>
        <v>20.135250204032019</v>
      </c>
      <c r="AB549" s="4">
        <f t="shared" si="483"/>
        <v>1.7288237054673616</v>
      </c>
      <c r="AC549" s="47" t="str">
        <f t="shared" si="484"/>
        <v>-0.420917093639974+0.0597499745420939i</v>
      </c>
      <c r="AD549" s="20">
        <f t="shared" si="485"/>
        <v>-7.4294269643108244</v>
      </c>
      <c r="AE549" s="43">
        <f t="shared" si="486"/>
        <v>171.92073422469892</v>
      </c>
      <c r="AF549" t="str">
        <f t="shared" si="468"/>
        <v>69.5520360182888</v>
      </c>
      <c r="AG549" t="str">
        <f t="shared" si="469"/>
        <v>1+2296.93348262002i</v>
      </c>
      <c r="AH549">
        <f t="shared" si="487"/>
        <v>2296.9337003015421</v>
      </c>
      <c r="AI549">
        <f t="shared" si="488"/>
        <v>1.5703609637578795</v>
      </c>
      <c r="AJ549" t="str">
        <f t="shared" si="470"/>
        <v>1+48.2356031350203i</v>
      </c>
      <c r="AK549">
        <f t="shared" si="489"/>
        <v>48.245967808711015</v>
      </c>
      <c r="AL549">
        <f t="shared" si="490"/>
        <v>1.5500677216590855</v>
      </c>
      <c r="AM549" t="str">
        <f t="shared" si="471"/>
        <v>1-5.85543615069096i</v>
      </c>
      <c r="AN549">
        <f t="shared" si="491"/>
        <v>5.9402131708229602</v>
      </c>
      <c r="AO549">
        <f t="shared" si="492"/>
        <v>-1.4016467468622884</v>
      </c>
      <c r="AP549" s="41" t="str">
        <f t="shared" si="493"/>
        <v>1.28702422190957-8.58212769190401i</v>
      </c>
      <c r="AQ549">
        <f t="shared" si="494"/>
        <v>18.768488822843157</v>
      </c>
      <c r="AR549" s="43">
        <f t="shared" si="495"/>
        <v>-81.47116008834891</v>
      </c>
      <c r="AS549" t="str">
        <f t="shared" si="472"/>
        <v>-0.0000166666666666667</v>
      </c>
      <c r="AT549" t="str">
        <f t="shared" si="473"/>
        <v>0.0436173007071994i</v>
      </c>
      <c r="AU549">
        <f t="shared" si="496"/>
        <v>4.3617300707199401E-2</v>
      </c>
      <c r="AV549">
        <f t="shared" si="497"/>
        <v>1.5707963267948966</v>
      </c>
      <c r="AW549" t="str">
        <f t="shared" si="474"/>
        <v>1+44.326647812126i</v>
      </c>
      <c r="AX549">
        <f t="shared" si="498"/>
        <v>44.337926273792448</v>
      </c>
      <c r="AY549">
        <f t="shared" si="499"/>
        <v>1.54824035983036</v>
      </c>
      <c r="AZ549" t="str">
        <f t="shared" si="475"/>
        <v>1+1507.10602561228i</v>
      </c>
      <c r="BA549">
        <f t="shared" si="500"/>
        <v>1507.1063573739054</v>
      </c>
      <c r="BB549">
        <f t="shared" si="501"/>
        <v>1.5701328035680955</v>
      </c>
      <c r="BC549" s="41" t="str">
        <f t="shared" si="502"/>
        <v>-0.000284326958589114+0.0129853723300304i</v>
      </c>
      <c r="BD549">
        <f t="shared" si="503"/>
        <v>-37.728830217365903</v>
      </c>
      <c r="BE549" s="43">
        <f t="shared" si="504"/>
        <v>91.254344629399853</v>
      </c>
      <c r="BF549" s="41" t="str">
        <f t="shared" si="505"/>
        <v>-0.000656197589086104-0.00548275370952666i</v>
      </c>
      <c r="BG549" s="20">
        <f t="shared" si="506"/>
        <v>-45.158257181676731</v>
      </c>
      <c r="BH549" s="43">
        <f t="shared" si="507"/>
        <v>-96.824921145901229</v>
      </c>
      <c r="BI549" s="41" t="str">
        <f t="shared" si="460"/>
        <v>0.111076187780592+0.0191526189841259i</v>
      </c>
      <c r="BJ549" s="20">
        <f t="shared" si="508"/>
        <v>-18.960341394522736</v>
      </c>
      <c r="BK549" s="43">
        <f t="shared" si="461"/>
        <v>9.7831845410509359</v>
      </c>
      <c r="BL549">
        <f t="shared" si="509"/>
        <v>-45.158257181676731</v>
      </c>
      <c r="BM549" s="43">
        <f t="shared" si="510"/>
        <v>-96.824921145901229</v>
      </c>
    </row>
    <row r="550" spans="14:65" x14ac:dyDescent="0.25">
      <c r="N550" s="9">
        <v>32</v>
      </c>
      <c r="O550" s="34">
        <f t="shared" si="462"/>
        <v>2089296.1308540432</v>
      </c>
      <c r="P550" s="33" t="str">
        <f t="shared" si="463"/>
        <v>19.1021967526266</v>
      </c>
      <c r="Q550" s="4" t="str">
        <f t="shared" si="464"/>
        <v>1+2946.4633874464i</v>
      </c>
      <c r="R550" s="4">
        <f t="shared" si="476"/>
        <v>2946.4635571413596</v>
      </c>
      <c r="S550" s="4">
        <f t="shared" si="477"/>
        <v>1.5704569368788823</v>
      </c>
      <c r="T550" s="4" t="str">
        <f t="shared" si="465"/>
        <v>1+49.3591546665021i</v>
      </c>
      <c r="U550" s="4">
        <f t="shared" si="478"/>
        <v>49.369283460383294</v>
      </c>
      <c r="V550" s="4">
        <f t="shared" si="479"/>
        <v>1.5505394317484817</v>
      </c>
      <c r="W550" t="str">
        <f t="shared" si="466"/>
        <v>1-27.348822399436i</v>
      </c>
      <c r="X550" s="4">
        <f t="shared" si="480"/>
        <v>27.367098615598483</v>
      </c>
      <c r="Y550" s="4">
        <f t="shared" si="481"/>
        <v>-1.5342479634032586</v>
      </c>
      <c r="Z550" t="str">
        <f t="shared" si="467"/>
        <v>-3.36515832240168+20.3475238651804i</v>
      </c>
      <c r="AA550" s="4">
        <f t="shared" si="482"/>
        <v>20.623918589320393</v>
      </c>
      <c r="AB550" s="4">
        <f t="shared" si="483"/>
        <v>1.734696909565024</v>
      </c>
      <c r="AC550" s="47" t="str">
        <f t="shared" si="484"/>
        <v>-0.420116697076721+0.0623216749224675i</v>
      </c>
      <c r="AD550" s="20">
        <f t="shared" si="485"/>
        <v>-7.4380672909003778</v>
      </c>
      <c r="AE550" s="43">
        <f t="shared" si="486"/>
        <v>171.56206633558625</v>
      </c>
      <c r="AF550" t="str">
        <f t="shared" si="468"/>
        <v>69.5520360182888</v>
      </c>
      <c r="AG550" t="str">
        <f t="shared" si="469"/>
        <v>1+2350.4359365001i</v>
      </c>
      <c r="AH550">
        <f t="shared" si="487"/>
        <v>2350.4361492265862</v>
      </c>
      <c r="AI550">
        <f t="shared" si="488"/>
        <v>1.5703708738292854</v>
      </c>
      <c r="AJ550" t="str">
        <f t="shared" si="470"/>
        <v>1+49.3591546665021i</v>
      </c>
      <c r="AK550">
        <f t="shared" si="489"/>
        <v>49.369283460383294</v>
      </c>
      <c r="AL550">
        <f t="shared" si="490"/>
        <v>1.5505394317484817</v>
      </c>
      <c r="AM550" t="str">
        <f t="shared" si="471"/>
        <v>1-5.99182677974949i</v>
      </c>
      <c r="AN550">
        <f t="shared" si="491"/>
        <v>6.0747006641087378</v>
      </c>
      <c r="AO550">
        <f t="shared" si="492"/>
        <v>-1.4054264583755669</v>
      </c>
      <c r="AP550" s="41" t="str">
        <f t="shared" si="493"/>
        <v>1.28702363955792-8.78066234572659i</v>
      </c>
      <c r="AQ550">
        <f t="shared" si="494"/>
        <v>18.962861928820885</v>
      </c>
      <c r="AR550" s="43">
        <f t="shared" si="495"/>
        <v>-81.661262413826847</v>
      </c>
      <c r="AS550" t="str">
        <f t="shared" si="472"/>
        <v>-0.0000166666666666667</v>
      </c>
      <c r="AT550" t="str">
        <f t="shared" si="473"/>
        <v>0.0446332781558796i</v>
      </c>
      <c r="AU550">
        <f t="shared" si="496"/>
        <v>4.4633278155879599E-2</v>
      </c>
      <c r="AV550">
        <f t="shared" si="497"/>
        <v>1.5707963267948966</v>
      </c>
      <c r="AW550" t="str">
        <f t="shared" si="474"/>
        <v>1+45.3591480774458i</v>
      </c>
      <c r="AX550">
        <f t="shared" si="498"/>
        <v>45.370169873074701</v>
      </c>
      <c r="AY550">
        <f t="shared" si="499"/>
        <v>1.5487536280903773</v>
      </c>
      <c r="AZ550" t="str">
        <f t="shared" si="475"/>
        <v>1+1542.21103463316i</v>
      </c>
      <c r="BA550">
        <f t="shared" si="500"/>
        <v>1542.2113588429704</v>
      </c>
      <c r="BB550">
        <f t="shared" si="501"/>
        <v>1.5701479071964151</v>
      </c>
      <c r="BC550" s="41" t="str">
        <f t="shared" si="502"/>
        <v>-0.000271536354178364+0.0126900711539866i</v>
      </c>
      <c r="BD550">
        <f t="shared" si="503"/>
        <v>-37.928730872242696</v>
      </c>
      <c r="BE550" s="43">
        <f t="shared" si="504"/>
        <v>91.225801898500876</v>
      </c>
      <c r="BF550" s="41" t="str">
        <f t="shared" si="505"/>
        <v>-0.000676789532948066-0.00534823337927616i</v>
      </c>
      <c r="BG550" s="20">
        <f t="shared" si="506"/>
        <v>-45.366798163143081</v>
      </c>
      <c r="BH550" s="43">
        <f t="shared" si="507"/>
        <v>-97.212131765912872</v>
      </c>
      <c r="BI550" s="41" t="str">
        <f t="shared" si="460"/>
        <v>0.111077756239574+0.0187166906034827i</v>
      </c>
      <c r="BJ550" s="20">
        <f t="shared" si="508"/>
        <v>-18.965868943421842</v>
      </c>
      <c r="BK550" s="43">
        <f t="shared" si="461"/>
        <v>9.5645394846740963</v>
      </c>
      <c r="BL550">
        <f t="shared" si="509"/>
        <v>-45.366798163143081</v>
      </c>
      <c r="BM550" s="43">
        <f t="shared" si="510"/>
        <v>-97.212131765912872</v>
      </c>
    </row>
    <row r="551" spans="14:65" x14ac:dyDescent="0.25">
      <c r="N551" s="9">
        <v>33</v>
      </c>
      <c r="O551" s="34">
        <f t="shared" si="462"/>
        <v>2137962.0895022359</v>
      </c>
      <c r="P551" s="33" t="str">
        <f t="shared" si="463"/>
        <v>19.1021967526266</v>
      </c>
      <c r="Q551" s="4" t="str">
        <f t="shared" si="464"/>
        <v>1+3015.09533638571i</v>
      </c>
      <c r="R551" s="4">
        <f t="shared" si="476"/>
        <v>3015.095502217941</v>
      </c>
      <c r="S551" s="4">
        <f t="shared" si="477"/>
        <v>1.5704646623359773</v>
      </c>
      <c r="T551" s="4" t="str">
        <f t="shared" si="465"/>
        <v>1+50.5088770751334i</v>
      </c>
      <c r="U551" s="4">
        <f t="shared" si="478"/>
        <v>50.518775355217549</v>
      </c>
      <c r="V551" s="4">
        <f t="shared" si="479"/>
        <v>1.5510004131175088</v>
      </c>
      <c r="W551" t="str">
        <f t="shared" si="466"/>
        <v>1-27.9858583084737i</v>
      </c>
      <c r="X551" s="4">
        <f t="shared" si="480"/>
        <v>28.003718775583476</v>
      </c>
      <c r="Y551" s="4">
        <f t="shared" si="481"/>
        <v>-1.5350791901303056</v>
      </c>
      <c r="Z551" t="str">
        <f t="shared" si="467"/>
        <v>-3.57088189614876+20.8214785815045i</v>
      </c>
      <c r="AA551" s="4">
        <f t="shared" si="482"/>
        <v>21.125462547274406</v>
      </c>
      <c r="AB551" s="4">
        <f t="shared" si="483"/>
        <v>1.7406439109036471</v>
      </c>
      <c r="AC551" s="47" t="str">
        <f t="shared" si="484"/>
        <v>-0.419277419630404+0.0649100306907352i</v>
      </c>
      <c r="AD551" s="20">
        <f t="shared" si="485"/>
        <v>-7.4471092761120179</v>
      </c>
      <c r="AE551" s="43">
        <f t="shared" si="486"/>
        <v>171.1996721256393</v>
      </c>
      <c r="AF551" t="str">
        <f t="shared" si="468"/>
        <v>69.5520360182888</v>
      </c>
      <c r="AG551" t="str">
        <f t="shared" si="469"/>
        <v>1+2405.1846226254i</v>
      </c>
      <c r="AH551">
        <f t="shared" si="487"/>
        <v>2405.184830509641</v>
      </c>
      <c r="AI551">
        <f t="shared" si="488"/>
        <v>1.5703805583200061</v>
      </c>
      <c r="AJ551" t="str">
        <f t="shared" si="470"/>
        <v>1+50.5088770751334i</v>
      </c>
      <c r="AK551">
        <f t="shared" si="489"/>
        <v>50.518775355217549</v>
      </c>
      <c r="AL551">
        <f t="shared" si="490"/>
        <v>1.5510004131175088</v>
      </c>
      <c r="AM551" t="str">
        <f t="shared" si="471"/>
        <v>1-6.13139435467779i</v>
      </c>
      <c r="AN551">
        <f t="shared" si="491"/>
        <v>6.212406677977115</v>
      </c>
      <c r="AO551">
        <f t="shared" si="492"/>
        <v>-1.4091247466621108</v>
      </c>
      <c r="AP551" s="41" t="str">
        <f t="shared" si="493"/>
        <v>1.2870230834164-8.98385262292824i</v>
      </c>
      <c r="AQ551">
        <f t="shared" si="494"/>
        <v>19.157481672944044</v>
      </c>
      <c r="AR551" s="43">
        <f t="shared" si="495"/>
        <v>-81.847301317634063</v>
      </c>
      <c r="AS551" t="str">
        <f t="shared" si="472"/>
        <v>-0.0000166666666666667</v>
      </c>
      <c r="AT551" t="str">
        <f t="shared" si="473"/>
        <v>0.0456729207594292i</v>
      </c>
      <c r="AU551">
        <f t="shared" si="496"/>
        <v>4.5672920759429199E-2</v>
      </c>
      <c r="AV551">
        <f t="shared" si="497"/>
        <v>1.5707963267948966</v>
      </c>
      <c r="AW551" t="str">
        <f t="shared" si="474"/>
        <v>1+46.4156983634752i</v>
      </c>
      <c r="AX551">
        <f t="shared" si="498"/>
        <v>46.426469331288963</v>
      </c>
      <c r="AY551">
        <f t="shared" si="499"/>
        <v>1.5492552241629556</v>
      </c>
      <c r="AZ551" t="str">
        <f t="shared" si="475"/>
        <v>1+1578.13374435816i</v>
      </c>
      <c r="BA551">
        <f t="shared" si="500"/>
        <v>1578.1340611880555</v>
      </c>
      <c r="BB551">
        <f t="shared" si="501"/>
        <v>1.5701626670244662</v>
      </c>
      <c r="BC551" s="41" t="str">
        <f t="shared" si="502"/>
        <v>-0.000259320875045196+0.0124014730438505i</v>
      </c>
      <c r="BD551">
        <f t="shared" si="503"/>
        <v>-38.128635996261515</v>
      </c>
      <c r="BE551" s="43">
        <f t="shared" si="504"/>
        <v>91.197908236375483</v>
      </c>
      <c r="BF551" s="41" t="str">
        <f t="shared" si="505"/>
        <v>-0.000696252608541413-0.00521649014339958i</v>
      </c>
      <c r="BG551" s="20">
        <f t="shared" si="506"/>
        <v>-45.575745272373538</v>
      </c>
      <c r="BH551" s="43">
        <f t="shared" si="507"/>
        <v>-97.602419637985221</v>
      </c>
      <c r="BI551" s="41" t="str">
        <f t="shared" si="460"/>
        <v>0.111079254180975+0.0182906825992567i</v>
      </c>
      <c r="BJ551" s="20">
        <f t="shared" si="508"/>
        <v>-18.971154323317485</v>
      </c>
      <c r="BK551" s="43">
        <f t="shared" si="461"/>
        <v>9.3506069187414695</v>
      </c>
      <c r="BL551">
        <f t="shared" si="509"/>
        <v>-45.575745272373538</v>
      </c>
      <c r="BM551" s="43">
        <f t="shared" si="510"/>
        <v>-97.602419637985221</v>
      </c>
    </row>
    <row r="552" spans="14:65" x14ac:dyDescent="0.25">
      <c r="N552" s="9">
        <v>34</v>
      </c>
      <c r="O552" s="34">
        <f t="shared" si="462"/>
        <v>2187761.6239495561</v>
      </c>
      <c r="P552" s="33" t="str">
        <f t="shared" si="463"/>
        <v>19.1021967526266</v>
      </c>
      <c r="Q552" s="4" t="str">
        <f t="shared" si="464"/>
        <v>1+3085.32592878188i</v>
      </c>
      <c r="R552" s="4">
        <f t="shared" si="476"/>
        <v>3085.3260908393086</v>
      </c>
      <c r="S552" s="4">
        <f t="shared" si="477"/>
        <v>1.5704722119402375</v>
      </c>
      <c r="T552" s="4" t="str">
        <f t="shared" si="465"/>
        <v>1+51.685379958954i</v>
      </c>
      <c r="U552" s="4">
        <f t="shared" si="478"/>
        <v>51.695052969326227</v>
      </c>
      <c r="V552" s="4">
        <f t="shared" si="479"/>
        <v>1.5514509094004589</v>
      </c>
      <c r="W552" t="str">
        <f t="shared" si="466"/>
        <v>1-28.6377326900233i</v>
      </c>
      <c r="X552" s="4">
        <f t="shared" si="480"/>
        <v>28.655186853783196</v>
      </c>
      <c r="Y552" s="4">
        <f t="shared" si="481"/>
        <v>-1.5358915435427192</v>
      </c>
      <c r="Z552" t="str">
        <f t="shared" si="467"/>
        <v>-3.78630092322638+21.3064731213773i</v>
      </c>
      <c r="AA552" s="4">
        <f t="shared" si="482"/>
        <v>21.64028353680234</v>
      </c>
      <c r="AB552" s="4">
        <f t="shared" si="483"/>
        <v>1.7466669554943033</v>
      </c>
      <c r="AC552" s="47" t="str">
        <f t="shared" si="484"/>
        <v>-0.418397975836278+0.0675153224267234i</v>
      </c>
      <c r="AD552" s="20">
        <f t="shared" si="485"/>
        <v>-7.4565695018762055</v>
      </c>
      <c r="AE552" s="43">
        <f t="shared" si="486"/>
        <v>170.83341164400957</v>
      </c>
      <c r="AF552" t="str">
        <f t="shared" si="468"/>
        <v>69.5520360182888</v>
      </c>
      <c r="AG552" t="str">
        <f t="shared" si="469"/>
        <v>1+2461.20856947401i</v>
      </c>
      <c r="AH552">
        <f t="shared" si="487"/>
        <v>2461.2087726262275</v>
      </c>
      <c r="AI552">
        <f t="shared" si="488"/>
        <v>1.5703900223648799</v>
      </c>
      <c r="AJ552" t="str">
        <f t="shared" si="470"/>
        <v>1+51.685379958954i</v>
      </c>
      <c r="AK552">
        <f t="shared" si="489"/>
        <v>51.695052969326227</v>
      </c>
      <c r="AL552">
        <f t="shared" si="490"/>
        <v>1.5514509094004589</v>
      </c>
      <c r="AM552" t="str">
        <f t="shared" si="471"/>
        <v>1-6.27421287605156i</v>
      </c>
      <c r="AN552">
        <f t="shared" si="491"/>
        <v>6.3534043798589739</v>
      </c>
      <c r="AO552">
        <f t="shared" si="492"/>
        <v>-1.4127431677366831</v>
      </c>
      <c r="AP552" s="41" t="str">
        <f t="shared" si="493"/>
        <v>1.28702255230535-9.19180625768514i</v>
      </c>
      <c r="AQ552">
        <f t="shared" si="494"/>
        <v>19.352337521863806</v>
      </c>
      <c r="AR552" s="43">
        <f t="shared" si="495"/>
        <v>-82.029352287837298</v>
      </c>
      <c r="AS552" t="str">
        <f t="shared" si="472"/>
        <v>-0.0000166666666666667</v>
      </c>
      <c r="AT552" t="str">
        <f t="shared" si="473"/>
        <v>0.0467367797501181i</v>
      </c>
      <c r="AU552">
        <f t="shared" si="496"/>
        <v>4.6736779750118099E-2</v>
      </c>
      <c r="AV552">
        <f t="shared" si="497"/>
        <v>1.5707963267948966</v>
      </c>
      <c r="AW552" t="str">
        <f t="shared" si="474"/>
        <v>1+47.4968588671615i</v>
      </c>
      <c r="AX552">
        <f t="shared" si="498"/>
        <v>47.507384712769216</v>
      </c>
      <c r="AY552">
        <f t="shared" si="499"/>
        <v>1.5497454129907859</v>
      </c>
      <c r="AZ552" t="str">
        <f t="shared" si="475"/>
        <v>1+1614.89320148349i</v>
      </c>
      <c r="BA552">
        <f t="shared" si="500"/>
        <v>1614.8935111014584</v>
      </c>
      <c r="BB552">
        <f t="shared" si="501"/>
        <v>1.5701770908780794</v>
      </c>
      <c r="BC552" s="41" t="str">
        <f t="shared" si="502"/>
        <v>-0.000247654684363506+0.0121194266733878i</v>
      </c>
      <c r="BD552">
        <f t="shared" si="503"/>
        <v>-38.328545388464711</v>
      </c>
      <c r="BE552" s="43">
        <f t="shared" si="504"/>
        <v>91.170648911312682</v>
      </c>
      <c r="BF552" s="41" t="str">
        <f t="shared" si="505"/>
        <v>-0.000714628780836746-0.00508746407430694i</v>
      </c>
      <c r="BG552" s="20">
        <f t="shared" si="506"/>
        <v>-45.785114890340921</v>
      </c>
      <c r="BH552" s="43">
        <f t="shared" si="507"/>
        <v>-97.995939444677731</v>
      </c>
      <c r="BI552" s="41" t="str">
        <f t="shared" si="460"/>
        <v>0.111080684772042+0.0178743693271386i</v>
      </c>
      <c r="BJ552" s="20">
        <f t="shared" si="508"/>
        <v>-18.97620786660093</v>
      </c>
      <c r="BK552" s="43">
        <f t="shared" si="461"/>
        <v>9.1412966234754052</v>
      </c>
      <c r="BL552">
        <f t="shared" si="509"/>
        <v>-45.785114890340921</v>
      </c>
      <c r="BM552" s="43">
        <f t="shared" si="510"/>
        <v>-97.995939444677731</v>
      </c>
    </row>
    <row r="553" spans="14:65" x14ac:dyDescent="0.25">
      <c r="N553" s="9">
        <v>35</v>
      </c>
      <c r="O553" s="34">
        <f t="shared" si="462"/>
        <v>2238721.1385683389</v>
      </c>
      <c r="P553" s="33" t="str">
        <f t="shared" si="463"/>
        <v>19.1021967526266</v>
      </c>
      <c r="Q553" s="4" t="str">
        <f t="shared" si="464"/>
        <v>1+3157.1924018246i</v>
      </c>
      <c r="R553" s="4">
        <f t="shared" si="476"/>
        <v>3157.1925601931512</v>
      </c>
      <c r="S553" s="4">
        <f t="shared" si="477"/>
        <v>1.5704795896945598</v>
      </c>
      <c r="T553" s="4" t="str">
        <f t="shared" si="465"/>
        <v>1+52.8892871153656i</v>
      </c>
      <c r="U553" s="4">
        <f t="shared" si="478"/>
        <v>52.898739980944512</v>
      </c>
      <c r="V553" s="4">
        <f t="shared" si="479"/>
        <v>1.5518911587245903</v>
      </c>
      <c r="W553" t="str">
        <f t="shared" si="466"/>
        <v>1-29.3047911765102i</v>
      </c>
      <c r="X553" s="4">
        <f t="shared" si="480"/>
        <v>29.321848268805805</v>
      </c>
      <c r="Y553" s="4">
        <f t="shared" si="481"/>
        <v>-1.5366854500698881</v>
      </c>
      <c r="Z553" t="str">
        <f t="shared" si="467"/>
        <v>-4.01187233627269+21.8027646353236i</v>
      </c>
      <c r="AA553" s="4">
        <f t="shared" si="482"/>
        <v>22.168799367260906</v>
      </c>
      <c r="AB553" s="4">
        <f t="shared" si="483"/>
        <v>1.7527682725802811</v>
      </c>
      <c r="AC553" s="47" t="str">
        <f t="shared" si="484"/>
        <v>-0.417477038358155+0.0701377764152518i</v>
      </c>
      <c r="AD553" s="20">
        <f t="shared" si="485"/>
        <v>-7.4664652021132625</v>
      </c>
      <c r="AE553" s="43">
        <f t="shared" si="486"/>
        <v>170.46314614619854</v>
      </c>
      <c r="AF553" t="str">
        <f t="shared" si="468"/>
        <v>69.5520360182888</v>
      </c>
      <c r="AG553" t="str">
        <f t="shared" si="469"/>
        <v>1+2518.53748168408i</v>
      </c>
      <c r="AH553">
        <f t="shared" si="487"/>
        <v>2518.537680211989</v>
      </c>
      <c r="AI553">
        <f t="shared" si="488"/>
        <v>1.5703992709818617</v>
      </c>
      <c r="AJ553" t="str">
        <f t="shared" si="470"/>
        <v>1+52.8892871153656i</v>
      </c>
      <c r="AK553">
        <f t="shared" si="489"/>
        <v>52.898739980944512</v>
      </c>
      <c r="AL553">
        <f t="shared" si="490"/>
        <v>1.5518911587245903</v>
      </c>
      <c r="AM553" t="str">
        <f t="shared" si="471"/>
        <v>1-6.42035806814121i</v>
      </c>
      <c r="AN553">
        <f t="shared" si="491"/>
        <v>6.4977686726403183</v>
      </c>
      <c r="AO553">
        <f t="shared" si="492"/>
        <v>-1.416283260934065</v>
      </c>
      <c r="AP553" s="41" t="str">
        <f t="shared" si="493"/>
        <v>1.28702204509825-9.40463350976839i</v>
      </c>
      <c r="AQ553">
        <f>20*LOG(IMABS(AP553))</f>
        <v>19.547419368259579</v>
      </c>
      <c r="AR553" s="43">
        <f t="shared" si="495"/>
        <v>-82.207490165643392</v>
      </c>
      <c r="AS553" t="str">
        <f t="shared" si="472"/>
        <v>-0.0000166666666666667</v>
      </c>
      <c r="AT553" t="str">
        <f t="shared" si="473"/>
        <v>0.0478254192000648i</v>
      </c>
      <c r="AU553">
        <f t="shared" si="496"/>
        <v>4.7825419200064799E-2</v>
      </c>
      <c r="AV553">
        <f t="shared" si="497"/>
        <v>1.5707963267948966</v>
      </c>
      <c r="AW553" t="str">
        <f t="shared" si="474"/>
        <v>1+48.6032028341141i</v>
      </c>
      <c r="AX553">
        <f t="shared" si="498"/>
        <v>48.613489133511457</v>
      </c>
      <c r="AY553">
        <f t="shared" si="499"/>
        <v>1.5502244535356529</v>
      </c>
      <c r="AZ553" t="str">
        <f t="shared" si="475"/>
        <v>1+1652.50889635988i</v>
      </c>
      <c r="BA553">
        <f t="shared" si="500"/>
        <v>1652.5091989300845</v>
      </c>
      <c r="BB553">
        <f t="shared" si="501"/>
        <v>1.5701911864049491</v>
      </c>
      <c r="BC553" s="41" t="str">
        <f t="shared" si="502"/>
        <v>-0.000236513103930034+0.0118437840773984i</v>
      </c>
      <c r="BD553">
        <f t="shared" si="503"/>
        <v>-38.528458856922697</v>
      </c>
      <c r="BE553" s="43">
        <f t="shared" si="504"/>
        <v>91.144009524075813</v>
      </c>
      <c r="BF553" s="41" t="str">
        <f t="shared" si="505"/>
        <v>-0.000731957889369483-0.00496109640278848i</v>
      </c>
      <c r="BG553" s="20">
        <f t="shared" si="506"/>
        <v>-45.994924059035959</v>
      </c>
      <c r="BH553" s="43">
        <f t="shared" si="507"/>
        <v>-98.392844329725634</v>
      </c>
      <c r="BI553" s="41" t="str">
        <f t="shared" si="460"/>
        <v>0.11108205103805+0.0174675302677151i</v>
      </c>
      <c r="BJ553" s="20">
        <f t="shared" si="508"/>
        <v>-18.9810394886631</v>
      </c>
      <c r="BK553" s="43">
        <f t="shared" si="461"/>
        <v>8.9365193584323936</v>
      </c>
      <c r="BL553">
        <f t="shared" si="509"/>
        <v>-45.994924059035959</v>
      </c>
      <c r="BM553" s="43">
        <f t="shared" si="510"/>
        <v>-98.392844329725634</v>
      </c>
    </row>
    <row r="554" spans="14:65" x14ac:dyDescent="0.25">
      <c r="N554" s="9">
        <v>36</v>
      </c>
      <c r="O554" s="34">
        <f t="shared" si="462"/>
        <v>2290867.6527677765</v>
      </c>
      <c r="P554" s="33" t="str">
        <f t="shared" si="463"/>
        <v>19.1021967526266</v>
      </c>
      <c r="Q554" s="4" t="str">
        <f t="shared" si="464"/>
        <v>1+3230.73286006917i</v>
      </c>
      <c r="R554" s="4">
        <f t="shared" si="476"/>
        <v>3230.7330148328133</v>
      </c>
      <c r="S554" s="4">
        <f t="shared" si="477"/>
        <v>1.5704867995107241</v>
      </c>
      <c r="T554" s="4" t="str">
        <f t="shared" si="465"/>
        <v>1+54.1212368718787i</v>
      </c>
      <c r="U554" s="4">
        <f t="shared" si="478"/>
        <v>54.130474601115431</v>
      </c>
      <c r="V554" s="4">
        <f t="shared" si="479"/>
        <v>1.5523213938328992</v>
      </c>
      <c r="W554" t="str">
        <f t="shared" si="466"/>
        <v>1-29.987387451174i</v>
      </c>
      <c r="X554" s="4">
        <f t="shared" si="480"/>
        <v>30.004056494861292</v>
      </c>
      <c r="Y554" s="4">
        <f t="shared" si="481"/>
        <v>-1.5374613266461594</v>
      </c>
      <c r="Z554" t="str">
        <f t="shared" si="467"/>
        <v>-4.24807460249776+22.3106162636734i</v>
      </c>
      <c r="AA554" s="4">
        <f t="shared" si="482"/>
        <v>22.7114450419447</v>
      </c>
      <c r="AB554" s="4">
        <f t="shared" si="483"/>
        <v>1.7589500723271958</v>
      </c>
      <c r="AC554" s="47" t="str">
        <f t="shared" si="484"/>
        <v>-0.416513238692805+0.0727775614670401i</v>
      </c>
      <c r="AD554" s="20">
        <f t="shared" si="485"/>
        <v>-7.4768142789493011</v>
      </c>
      <c r="AE554" s="43">
        <f t="shared" si="486"/>
        <v>170.08873822152907</v>
      </c>
      <c r="AF554" t="str">
        <f t="shared" si="468"/>
        <v>69.5520360182888</v>
      </c>
      <c r="AG554" t="str">
        <f t="shared" si="469"/>
        <v>1+2577.20175580375i</v>
      </c>
      <c r="AH554">
        <f t="shared" si="487"/>
        <v>2577.2019498126124</v>
      </c>
      <c r="AI554">
        <f t="shared" si="488"/>
        <v>1.5704083090746843</v>
      </c>
      <c r="AJ554" t="str">
        <f t="shared" si="470"/>
        <v>1+54.1212368718787i</v>
      </c>
      <c r="AK554">
        <f t="shared" si="489"/>
        <v>54.130474601115431</v>
      </c>
      <c r="AL554">
        <f t="shared" si="490"/>
        <v>1.5523213938328992</v>
      </c>
      <c r="AM554" t="str">
        <f t="shared" si="471"/>
        <v>1-6.56990741906214i</v>
      </c>
      <c r="AN554">
        <f t="shared" si="491"/>
        <v>6.6455762349887886</v>
      </c>
      <c r="AO554">
        <f t="shared" si="492"/>
        <v>-1.4197465481539429</v>
      </c>
      <c r="AP554" s="41" t="str">
        <f t="shared" si="493"/>
        <v>1.2870215607192-9.62244722300549i</v>
      </c>
      <c r="AQ554">
        <f t="shared" si="494"/>
        <v>19.742717515660765</v>
      </c>
      <c r="AR554" s="43">
        <f t="shared" si="495"/>
        <v>-82.381789095253183</v>
      </c>
      <c r="AS554" t="str">
        <f t="shared" si="472"/>
        <v>-0.0000166666666666667</v>
      </c>
      <c r="AT554" t="str">
        <f t="shared" si="473"/>
        <v>0.0489394163203158i</v>
      </c>
      <c r="AU554">
        <f t="shared" si="496"/>
        <v>4.8939416320315801E-2</v>
      </c>
      <c r="AV554">
        <f t="shared" si="497"/>
        <v>1.5707963267948966</v>
      </c>
      <c r="AW554" t="str">
        <f t="shared" si="474"/>
        <v>1+49.7353168625494i</v>
      </c>
      <c r="AX554">
        <f t="shared" si="498"/>
        <v>49.745369065051584</v>
      </c>
      <c r="AY554">
        <f t="shared" si="499"/>
        <v>1.5506925989112488</v>
      </c>
      <c r="AZ554" t="str">
        <f t="shared" si="475"/>
        <v>1+1691.00077332668i</v>
      </c>
      <c r="BA554">
        <f t="shared" si="500"/>
        <v>1691.0010690095469</v>
      </c>
      <c r="BB554">
        <f t="shared" si="501"/>
        <v>1.5702049610786872</v>
      </c>
      <c r="BC554" s="41" t="str">
        <f t="shared" si="502"/>
        <v>-0.000225872562389019+0.0115744005807724i</v>
      </c>
      <c r="BD554">
        <f t="shared" si="503"/>
        <v>-38.728376218329366</v>
      </c>
      <c r="BE554" s="43">
        <f t="shared" si="504"/>
        <v>91.117976000524948</v>
      </c>
      <c r="BF554" s="41" t="str">
        <f t="shared" si="505"/>
        <v>-0.000748277737218815-0.00483732952611838i</v>
      </c>
      <c r="BG554" s="20">
        <f t="shared" si="506"/>
        <v>-46.205190497278664</v>
      </c>
      <c r="BH554" s="43">
        <f t="shared" si="507"/>
        <v>-98.793285777945968</v>
      </c>
      <c r="BI554" s="41" t="str">
        <f t="shared" si="460"/>
        <v>0.111083355868637+0.0170699499105683i</v>
      </c>
      <c r="BJ554" s="20">
        <f t="shared" si="508"/>
        <v>-18.985658702668598</v>
      </c>
      <c r="BK554" s="43">
        <f t="shared" si="461"/>
        <v>8.7361869052717935</v>
      </c>
      <c r="BL554">
        <f t="shared" si="509"/>
        <v>-46.205190497278664</v>
      </c>
      <c r="BM554" s="43">
        <f t="shared" si="510"/>
        <v>-98.793285777945968</v>
      </c>
    </row>
    <row r="555" spans="14:65" x14ac:dyDescent="0.25">
      <c r="N555" s="9">
        <v>37</v>
      </c>
      <c r="O555" s="34">
        <f t="shared" si="462"/>
        <v>2344228.8153199251</v>
      </c>
      <c r="P555" s="33" t="str">
        <f t="shared" si="463"/>
        <v>19.1021967526266</v>
      </c>
      <c r="Q555" s="4" t="str">
        <f t="shared" si="464"/>
        <v>1+3305.98629563994i</v>
      </c>
      <c r="R555" s="4">
        <f t="shared" si="476"/>
        <v>3305.9864468807332</v>
      </c>
      <c r="S555" s="4">
        <f t="shared" si="477"/>
        <v>1.570493845211467</v>
      </c>
      <c r="T555" s="4" t="str">
        <f t="shared" si="465"/>
        <v>1+55.3818824245603i</v>
      </c>
      <c r="U555" s="4">
        <f t="shared" si="478"/>
        <v>55.390909912076921</v>
      </c>
      <c r="V555" s="4">
        <f t="shared" si="479"/>
        <v>1.5527418422042696</v>
      </c>
      <c r="W555" t="str">
        <f t="shared" si="466"/>
        <v>1-30.6858834355942i</v>
      </c>
      <c r="X555" s="4">
        <f t="shared" si="480"/>
        <v>30.702173249183428</v>
      </c>
      <c r="Y555" s="4">
        <f t="shared" si="481"/>
        <v>-1.5382195809129027</v>
      </c>
      <c r="Z555" t="str">
        <f t="shared" si="467"/>
        <v>-4.49540873857628+22.830297276082i</v>
      </c>
      <c r="AA555" s="4">
        <f t="shared" si="482"/>
        <v>23.268673650235097</v>
      </c>
      <c r="AB555" s="4">
        <f t="shared" si="483"/>
        <v>1.7652145433351893</v>
      </c>
      <c r="AC555" s="47" t="str">
        <f t="shared" si="484"/>
        <v>-0.41550516804563+0.0754347856216211i</v>
      </c>
      <c r="AD555" s="20">
        <f t="shared" si="485"/>
        <v>-7.4876353186874631</v>
      </c>
      <c r="AE555" s="43">
        <f t="shared" si="486"/>
        <v>169.71005193087319</v>
      </c>
      <c r="AF555" t="str">
        <f t="shared" si="468"/>
        <v>69.5520360182888</v>
      </c>
      <c r="AG555" t="str">
        <f t="shared" si="469"/>
        <v>1+2637.23249640764i</v>
      </c>
      <c r="AH555">
        <f t="shared" si="487"/>
        <v>2637.2326860003222</v>
      </c>
      <c r="AI555">
        <f t="shared" si="488"/>
        <v>1.5704171414354582</v>
      </c>
      <c r="AJ555" t="str">
        <f t="shared" si="470"/>
        <v>1+55.3818824245603i</v>
      </c>
      <c r="AK555">
        <f t="shared" si="489"/>
        <v>55.390909912076921</v>
      </c>
      <c r="AL555">
        <f t="shared" si="490"/>
        <v>1.5527418422042696</v>
      </c>
      <c r="AM555" t="str">
        <f t="shared" si="471"/>
        <v>1-6.72294022185963i</v>
      </c>
      <c r="AN555">
        <f t="shared" si="491"/>
        <v>6.7969055625849339</v>
      </c>
      <c r="AO555">
        <f t="shared" si="492"/>
        <v>-1.4231345331868051</v>
      </c>
      <c r="AP555" s="41" t="str">
        <f t="shared" si="493"/>
        <v>1.28702109814081-9.8453628851114i</v>
      </c>
      <c r="AQ555">
        <f t="shared" si="494"/>
        <v>19.938222663628238</v>
      </c>
      <c r="AR555" s="43">
        <f t="shared" si="495"/>
        <v>-82.552322478502447</v>
      </c>
      <c r="AS555" t="str">
        <f t="shared" si="472"/>
        <v>-0.0000166666666666667</v>
      </c>
      <c r="AT555" t="str">
        <f t="shared" si="473"/>
        <v>0.0500793617668895i</v>
      </c>
      <c r="AU555">
        <f t="shared" si="496"/>
        <v>5.0079361766889499E-2</v>
      </c>
      <c r="AV555">
        <f t="shared" si="497"/>
        <v>1.5707963267948966</v>
      </c>
      <c r="AW555" t="str">
        <f t="shared" si="474"/>
        <v>1+50.8938012143097i</v>
      </c>
      <c r="AX555">
        <f t="shared" si="498"/>
        <v>50.903624645418631</v>
      </c>
      <c r="AY555">
        <f t="shared" si="499"/>
        <v>1.5511500965131872</v>
      </c>
      <c r="AZ555" t="str">
        <f t="shared" si="475"/>
        <v>1+1730.38924128653i</v>
      </c>
      <c r="BA555">
        <f t="shared" si="500"/>
        <v>1730.3895302388341</v>
      </c>
      <c r="BB555">
        <f t="shared" si="501"/>
        <v>1.5702184222027877</v>
      </c>
      <c r="BC555" s="41" t="str">
        <f t="shared" si="502"/>
        <v>-0.000215710545754574+0.0113111347287922i</v>
      </c>
      <c r="BD555">
        <f t="shared" si="503"/>
        <v>-38.928297297614968</v>
      </c>
      <c r="BE555" s="43">
        <f t="shared" si="504"/>
        <v>91.092534584394983</v>
      </c>
      <c r="BF555" s="41" t="str">
        <f t="shared" si="505"/>
        <v>-0.000763624176840744-0.00471610701504888i</v>
      </c>
      <c r="BG555" s="20">
        <f t="shared" si="506"/>
        <v>-46.415932616302442</v>
      </c>
      <c r="BH555" s="43">
        <f t="shared" si="507"/>
        <v>-99.197413484731825</v>
      </c>
      <c r="BI555" s="41" t="str">
        <f t="shared" si="460"/>
        <v>0.111084602023868+0.016681417640968i</v>
      </c>
      <c r="BJ555" s="20">
        <f t="shared" si="508"/>
        <v>-18.990074633986708</v>
      </c>
      <c r="BK555" s="43">
        <f t="shared" si="461"/>
        <v>8.5402121058925218</v>
      </c>
      <c r="BL555">
        <f t="shared" si="509"/>
        <v>-46.415932616302442</v>
      </c>
      <c r="BM555" s="43">
        <f t="shared" si="510"/>
        <v>-99.197413484731825</v>
      </c>
    </row>
    <row r="556" spans="14:65" x14ac:dyDescent="0.25">
      <c r="N556" s="9">
        <v>38</v>
      </c>
      <c r="O556" s="34">
        <f t="shared" si="462"/>
        <v>2398832.9190194933</v>
      </c>
      <c r="P556" s="33" t="str">
        <f t="shared" si="463"/>
        <v>19.1021967526266</v>
      </c>
      <c r="Q556" s="4" t="str">
        <f t="shared" si="464"/>
        <v>1+3382.99260890456i</v>
      </c>
      <c r="R556" s="4">
        <f t="shared" si="476"/>
        <v>3382.9927567026921</v>
      </c>
      <c r="S556" s="4">
        <f t="shared" si="477"/>
        <v>1.5705007305325098</v>
      </c>
      <c r="T556" s="4" t="str">
        <f t="shared" si="465"/>
        <v>1+56.671892184369i</v>
      </c>
      <c r="U556" s="4">
        <f t="shared" si="478"/>
        <v>56.68071421353779</v>
      </c>
      <c r="V556" s="4">
        <f t="shared" si="479"/>
        <v>1.5531527261710478</v>
      </c>
      <c r="W556" t="str">
        <f t="shared" si="466"/>
        <v>1-31.4006494815875i</v>
      </c>
      <c r="X556" s="4">
        <f t="shared" si="480"/>
        <v>31.416568683825439</v>
      </c>
      <c r="Y556" s="4">
        <f t="shared" si="481"/>
        <v>-1.5389606114169101</v>
      </c>
      <c r="Z556" t="str">
        <f t="shared" si="467"/>
        <v>-4.75439937337157+23.3620832143011i</v>
      </c>
      <c r="AA556" s="4">
        <f t="shared" si="482"/>
        <v>23.840957311178705</v>
      </c>
      <c r="AB556" s="4">
        <f t="shared" si="483"/>
        <v>1.7715638499670927</v>
      </c>
      <c r="AC556" s="47" t="str">
        <f t="shared" si="484"/>
        <v>-0.414451378393973+0.0781094927364025i</v>
      </c>
      <c r="AD556" s="20">
        <f t="shared" si="485"/>
        <v>-7.4989476074472972</v>
      </c>
      <c r="AE556" s="43">
        <f t="shared" si="486"/>
        <v>169.32695295499025</v>
      </c>
      <c r="AF556" t="str">
        <f t="shared" si="468"/>
        <v>69.5520360182888</v>
      </c>
      <c r="AG556" t="str">
        <f t="shared" si="469"/>
        <v>1+2698.66153258901i</v>
      </c>
      <c r="AH556">
        <f t="shared" si="487"/>
        <v>2698.6617178660363</v>
      </c>
      <c r="AI556">
        <f t="shared" si="488"/>
        <v>1.5704257727472126</v>
      </c>
      <c r="AJ556" t="str">
        <f t="shared" si="470"/>
        <v>1+56.671892184369i</v>
      </c>
      <c r="AK556">
        <f t="shared" si="489"/>
        <v>56.68071421353779</v>
      </c>
      <c r="AL556">
        <f t="shared" si="490"/>
        <v>1.5531527261710478</v>
      </c>
      <c r="AM556" t="str">
        <f t="shared" si="471"/>
        <v>1-6.87953761655136i</v>
      </c>
      <c r="AN556">
        <f t="shared" si="491"/>
        <v>6.9518370102833371</v>
      </c>
      <c r="AO556">
        <f t="shared" si="492"/>
        <v>-1.4264487011159657</v>
      </c>
      <c r="AP556" s="41" t="str">
        <f t="shared" si="493"/>
        <v>1.28702065638186-10.0734986889219i</v>
      </c>
      <c r="AQ556">
        <f t="shared" si="494"/>
        <v>20.133925893305236</v>
      </c>
      <c r="AR556" s="43">
        <f t="shared" si="495"/>
        <v>-82.719162934010143</v>
      </c>
      <c r="AS556" t="str">
        <f t="shared" si="472"/>
        <v>-0.0000166666666666667</v>
      </c>
      <c r="AT556" t="str">
        <f t="shared" si="473"/>
        <v>0.0512458599539508i</v>
      </c>
      <c r="AU556">
        <f t="shared" si="496"/>
        <v>5.1245859953950798E-2</v>
      </c>
      <c r="AV556">
        <f t="shared" si="497"/>
        <v>1.5707963267948966</v>
      </c>
      <c r="AW556" t="str">
        <f t="shared" si="474"/>
        <v>1+52.0792701331327i</v>
      </c>
      <c r="AX556">
        <f t="shared" si="498"/>
        <v>52.088869997340204</v>
      </c>
      <c r="AY556">
        <f t="shared" si="499"/>
        <v>1.5515971881462645</v>
      </c>
      <c r="AZ556" t="str">
        <f t="shared" si="475"/>
        <v>1+1770.69518452651i</v>
      </c>
      <c r="BA556">
        <f t="shared" si="500"/>
        <v>1770.6954669014576</v>
      </c>
      <c r="BB556">
        <f t="shared" si="501"/>
        <v>1.5702315769144968</v>
      </c>
      <c r="BC556" s="41" t="str">
        <f t="shared" si="502"/>
        <v>-0.000206005550130119+0.0110538482186755i</v>
      </c>
      <c r="BD556">
        <f t="shared" si="503"/>
        <v>-39.128221927576668</v>
      </c>
      <c r="BE556" s="43">
        <f t="shared" si="504"/>
        <v>91.067671830225692</v>
      </c>
      <c r="BF556" s="41" t="str">
        <f t="shared" si="505"/>
        <v>-0.000778031192937693-0.00459737361980937i</v>
      </c>
      <c r="BG556" s="20">
        <f t="shared" si="506"/>
        <v>-46.627169535023967</v>
      </c>
      <c r="BH556" s="43">
        <f t="shared" si="507"/>
        <v>-99.605375214784033</v>
      </c>
      <c r="BI556" s="41" t="str">
        <f t="shared" si="460"/>
        <v>0.111085792140023+0.0163017276290916i</v>
      </c>
      <c r="BJ556" s="20">
        <f t="shared" si="508"/>
        <v>-18.9942960342714</v>
      </c>
      <c r="BK556" s="43">
        <f t="shared" si="461"/>
        <v>8.3485088962155363</v>
      </c>
      <c r="BL556">
        <f t="shared" si="509"/>
        <v>-46.627169535023967</v>
      </c>
      <c r="BM556" s="43">
        <f t="shared" si="510"/>
        <v>-99.605375214784033</v>
      </c>
    </row>
    <row r="557" spans="14:65" x14ac:dyDescent="0.25">
      <c r="N557" s="9">
        <v>39</v>
      </c>
      <c r="O557" s="34">
        <f t="shared" si="462"/>
        <v>2454708.915685033</v>
      </c>
      <c r="P557" s="33" t="str">
        <f t="shared" si="463"/>
        <v>19.1021967526266</v>
      </c>
      <c r="Q557" s="4" t="str">
        <f t="shared" si="464"/>
        <v>1+3461.79262962961i</v>
      </c>
      <c r="R557" s="4">
        <f t="shared" si="476"/>
        <v>3461.7927740634464</v>
      </c>
      <c r="S557" s="4">
        <f t="shared" si="477"/>
        <v>1.5705074591245383</v>
      </c>
      <c r="T557" s="4" t="str">
        <f t="shared" si="465"/>
        <v>1+57.9919501315551i</v>
      </c>
      <c r="U557" s="4">
        <f t="shared" si="478"/>
        <v>58.000571377019838</v>
      </c>
      <c r="V557" s="4">
        <f t="shared" si="479"/>
        <v>1.5535542630340917</v>
      </c>
      <c r="W557" t="str">
        <f t="shared" si="466"/>
        <v>1-32.1320645675727i</v>
      </c>
      <c r="X557" s="4">
        <f t="shared" si="480"/>
        <v>32.147621581925165</v>
      </c>
      <c r="Y557" s="4">
        <f t="shared" si="481"/>
        <v>-1.5396848078051479</v>
      </c>
      <c r="Z557" t="str">
        <f t="shared" si="467"/>
        <v>-5.02559586074355+23.9062560382741i</v>
      </c>
      <c r="AA557" s="4">
        <f t="shared" si="482"/>
        <v>24.428788171398097</v>
      </c>
      <c r="AB557" s="4">
        <f t="shared" si="483"/>
        <v>1.778000129486591</v>
      </c>
      <c r="AC557" s="47" t="str">
        <f t="shared" si="484"/>
        <v>-0.413350383754965+0.0808016589673142i</v>
      </c>
      <c r="AD557" s="20">
        <f t="shared" si="485"/>
        <v>-7.5107711463797413</v>
      </c>
      <c r="AE557" s="43">
        <f t="shared" si="486"/>
        <v>168.93930875381793</v>
      </c>
      <c r="AF557" t="str">
        <f t="shared" si="468"/>
        <v>69.5520360182888</v>
      </c>
      <c r="AG557" t="str">
        <f t="shared" si="469"/>
        <v>1+2761.52143483597i</v>
      </c>
      <c r="AH557">
        <f t="shared" si="487"/>
        <v>2761.5216158955764</v>
      </c>
      <c r="AI557">
        <f t="shared" si="488"/>
        <v>1.570434207586378</v>
      </c>
      <c r="AJ557" t="str">
        <f t="shared" si="470"/>
        <v>1+57.9919501315551i</v>
      </c>
      <c r="AK557">
        <f t="shared" si="489"/>
        <v>58.000571377019838</v>
      </c>
      <c r="AL557">
        <f t="shared" si="490"/>
        <v>1.5535542630340917</v>
      </c>
      <c r="AM557" t="str">
        <f t="shared" si="471"/>
        <v>1-7.03978263314884i</v>
      </c>
      <c r="AN557">
        <f t="shared" si="491"/>
        <v>7.1104528352267415</v>
      </c>
      <c r="AO557">
        <f t="shared" si="492"/>
        <v>-1.4296905177909824</v>
      </c>
      <c r="AP557" s="41" t="str">
        <f t="shared" si="493"/>
        <v>1.28702023450534-10.3069755950612i</v>
      </c>
      <c r="AQ557">
        <f t="shared" si="494"/>
        <v>20.329818653343619</v>
      </c>
      <c r="AR557" s="43">
        <f t="shared" si="495"/>
        <v>-82.882382260557492</v>
      </c>
      <c r="AS557" t="str">
        <f t="shared" si="472"/>
        <v>-0.0000166666666666667</v>
      </c>
      <c r="AT557" t="str">
        <f t="shared" si="473"/>
        <v>0.0524395293742788i</v>
      </c>
      <c r="AU557">
        <f t="shared" si="496"/>
        <v>5.2439529374278801E-2</v>
      </c>
      <c r="AV557">
        <f t="shared" si="497"/>
        <v>1.5707963267948966</v>
      </c>
      <c r="AW557" t="str">
        <f t="shared" si="474"/>
        <v>1+53.2923521703309i</v>
      </c>
      <c r="AX557">
        <f t="shared" si="498"/>
        <v>53.301733553858945</v>
      </c>
      <c r="AY557">
        <f t="shared" si="499"/>
        <v>1.5520341101490156</v>
      </c>
      <c r="AZ557" t="str">
        <f t="shared" si="475"/>
        <v>1+1811.93997379125i</v>
      </c>
      <c r="BA557">
        <f t="shared" si="500"/>
        <v>1811.9402497385599</v>
      </c>
      <c r="BB557">
        <f t="shared" si="501"/>
        <v>1.5702444321885989</v>
      </c>
      <c r="BC557" s="41" t="str">
        <f t="shared" si="502"/>
        <v>-0.000196737036528705+0.010802405832354i</v>
      </c>
      <c r="BD557">
        <f t="shared" si="503"/>
        <v>-39.32814994852577</v>
      </c>
      <c r="BE557" s="43">
        <f t="shared" si="504"/>
        <v>91.043374596442192</v>
      </c>
      <c r="BF557" s="41" t="str">
        <f t="shared" si="505"/>
        <v>-0.000791530982544439-0.00448107527521223i</v>
      </c>
      <c r="BG557" s="20">
        <f t="shared" si="506"/>
        <v>-46.838921094905508</v>
      </c>
      <c r="BH557" s="43">
        <f t="shared" si="507"/>
        <v>-100.0173166497399</v>
      </c>
      <c r="BI557" s="41" t="str">
        <f t="shared" si="460"/>
        <v>0.11108692873513+0.0159306787217241i</v>
      </c>
      <c r="BJ557" s="20">
        <f t="shared" si="508"/>
        <v>-18.998331295182176</v>
      </c>
      <c r="BK557" s="43">
        <f t="shared" si="461"/>
        <v>8.1609923358847123</v>
      </c>
      <c r="BL557">
        <f t="shared" si="509"/>
        <v>-46.838921094905508</v>
      </c>
      <c r="BM557" s="43">
        <f t="shared" si="510"/>
        <v>-100.0173166497399</v>
      </c>
    </row>
    <row r="558" spans="14:65" x14ac:dyDescent="0.25">
      <c r="N558" s="9">
        <v>40</v>
      </c>
      <c r="O558" s="34">
        <f t="shared" si="462"/>
        <v>2511886.431509587</v>
      </c>
      <c r="P558" s="33" t="str">
        <f t="shared" si="463"/>
        <v>19.1021967526266</v>
      </c>
      <c r="Q558" s="4" t="str">
        <f t="shared" si="464"/>
        <v>1+3542.42813862916i</v>
      </c>
      <c r="R558" s="4">
        <f t="shared" si="476"/>
        <v>3542.4282797752803</v>
      </c>
      <c r="S558" s="4">
        <f t="shared" si="477"/>
        <v>1.570514034555138</v>
      </c>
      <c r="T558" s="4" t="str">
        <f t="shared" si="465"/>
        <v>1+59.3427561783156i</v>
      </c>
      <c r="U558" s="4">
        <f t="shared" si="478"/>
        <v>59.351181208456282</v>
      </c>
      <c r="V558" s="4">
        <f t="shared" si="479"/>
        <v>1.5539466651753397</v>
      </c>
      <c r="W558" t="str">
        <f t="shared" si="466"/>
        <v>1-32.88051649951i</v>
      </c>
      <c r="X558" s="4">
        <f t="shared" si="480"/>
        <v>32.895719558546659</v>
      </c>
      <c r="Y558" s="4">
        <f t="shared" si="481"/>
        <v>-1.5403925510158913</v>
      </c>
      <c r="Z558" t="str">
        <f t="shared" si="467"/>
        <v>-5.30957344480195+24.4631042756354i</v>
      </c>
      <c r="AA558" s="4">
        <f t="shared" si="482"/>
        <v>25.032679460384522</v>
      </c>
      <c r="AB558" s="4">
        <f t="shared" si="483"/>
        <v>1.7845254890008473</v>
      </c>
      <c r="AC558" s="47" t="str">
        <f t="shared" si="484"/>
        <v>-0.412200661675407+0.083511189147979i</v>
      </c>
      <c r="AD558" s="20">
        <f t="shared" si="485"/>
        <v>-7.5231266663569514</v>
      </c>
      <c r="AE558" s="43">
        <f t="shared" si="486"/>
        <v>168.54698873703435</v>
      </c>
      <c r="AF558" t="str">
        <f t="shared" si="468"/>
        <v>69.5520360182888</v>
      </c>
      <c r="AG558" t="str">
        <f t="shared" si="469"/>
        <v>1+2825.84553230075i</v>
      </c>
      <c r="AH558">
        <f t="shared" si="487"/>
        <v>2825.8457092389367</v>
      </c>
      <c r="AI558">
        <f t="shared" si="488"/>
        <v>1.570442450425213</v>
      </c>
      <c r="AJ558" t="str">
        <f t="shared" si="470"/>
        <v>1+59.3427561783156i</v>
      </c>
      <c r="AK558">
        <f t="shared" si="489"/>
        <v>59.351181208456282</v>
      </c>
      <c r="AL558">
        <f t="shared" si="490"/>
        <v>1.5539466651753397</v>
      </c>
      <c r="AM558" t="str">
        <f t="shared" si="471"/>
        <v>1-7.20376023568099i</v>
      </c>
      <c r="AN558">
        <f t="shared" si="491"/>
        <v>7.2728372409382729</v>
      </c>
      <c r="AO558">
        <f t="shared" si="492"/>
        <v>-1.4328614293679722</v>
      </c>
      <c r="AP558" s="41" t="str">
        <f t="shared" si="493"/>
        <v>1.28701983161638-10.5459173960761i</v>
      </c>
      <c r="AQ558">
        <f t="shared" si="494"/>
        <v>20.52589274620945</v>
      </c>
      <c r="AR558" s="43">
        <f t="shared" si="495"/>
        <v>-83.042051404439192</v>
      </c>
      <c r="AS558" t="str">
        <f t="shared" si="472"/>
        <v>-0.0000166666666666667</v>
      </c>
      <c r="AT558" t="str">
        <f t="shared" si="473"/>
        <v>0.0536610029272003i</v>
      </c>
      <c r="AU558">
        <f t="shared" si="496"/>
        <v>5.3661002927200302E-2</v>
      </c>
      <c r="AV558">
        <f t="shared" si="497"/>
        <v>1.5707963267948966</v>
      </c>
      <c r="AW558" t="str">
        <f t="shared" si="474"/>
        <v>1+54.5336905180579i</v>
      </c>
      <c r="AX558">
        <f t="shared" si="498"/>
        <v>54.54285839153755</v>
      </c>
      <c r="AY558">
        <f t="shared" si="499"/>
        <v>1.5524610935156173</v>
      </c>
      <c r="AZ558" t="str">
        <f t="shared" si="475"/>
        <v>1+1854.14547761397i</v>
      </c>
      <c r="BA558">
        <f t="shared" si="500"/>
        <v>1854.1457472799532</v>
      </c>
      <c r="BB558">
        <f t="shared" si="501"/>
        <v>1.5702569948411131</v>
      </c>
      <c r="BC558" s="41" t="str">
        <f t="shared" si="502"/>
        <v>-0.000187885387701997+0.0105566753704821i</v>
      </c>
      <c r="BD558">
        <f t="shared" si="503"/>
        <v>-39.528081207950187</v>
      </c>
      <c r="BE558" s="43">
        <f t="shared" si="504"/>
        <v>91.019630038582179</v>
      </c>
      <c r="BF558" s="41" t="str">
        <f t="shared" si="505"/>
        <v>-0.000804154032508238-0.00436715910495572i</v>
      </c>
      <c r="BG558" s="20">
        <f t="shared" si="506"/>
        <v>-47.051207874307138</v>
      </c>
      <c r="BH558" s="43">
        <f t="shared" si="507"/>
        <v>-100.43338122438344</v>
      </c>
      <c r="BI558" s="41" t="str">
        <f t="shared" si="460"/>
        <v>0.111088014214252+0.0155680743363816i</v>
      </c>
      <c r="BJ558" s="20">
        <f t="shared" si="508"/>
        <v>-19.002188461740733</v>
      </c>
      <c r="BK558" s="43">
        <f t="shared" si="461"/>
        <v>7.9775786341429509</v>
      </c>
      <c r="BL558">
        <f t="shared" si="509"/>
        <v>-47.051207874307138</v>
      </c>
      <c r="BM558" s="43">
        <f t="shared" si="510"/>
        <v>-100.43338122438344</v>
      </c>
    </row>
    <row r="559" spans="14:65" x14ac:dyDescent="0.25">
      <c r="N559" s="9">
        <v>41</v>
      </c>
      <c r="O559" s="34">
        <f t="shared" si="462"/>
        <v>2570395.782768866</v>
      </c>
      <c r="P559" s="33" t="str">
        <f t="shared" si="463"/>
        <v>19.1021967526266</v>
      </c>
      <c r="Q559" s="4" t="str">
        <f t="shared" si="464"/>
        <v>1+3624.94188991736i</v>
      </c>
      <c r="R559" s="4">
        <f t="shared" si="476"/>
        <v>3624.9420278506032</v>
      </c>
      <c r="S559" s="4">
        <f t="shared" si="477"/>
        <v>1.5705204603106879</v>
      </c>
      <c r="T559" s="4" t="str">
        <f t="shared" si="465"/>
        <v>1+60.7250265398956i</v>
      </c>
      <c r="U559" s="4">
        <f t="shared" si="478"/>
        <v>60.733259819237645</v>
      </c>
      <c r="V559" s="4">
        <f t="shared" si="479"/>
        <v>1.5543301401679486</v>
      </c>
      <c r="W559" t="str">
        <f t="shared" si="466"/>
        <v>1-33.6464021165202i</v>
      </c>
      <c r="X559" s="4">
        <f t="shared" si="480"/>
        <v>33.661259266203558</v>
      </c>
      <c r="Y559" s="4">
        <f t="shared" si="481"/>
        <v>-1.5410842134662646</v>
      </c>
      <c r="Z559" t="str">
        <f t="shared" si="467"/>
        <v>-5.60693448007595+25.032923174691i</v>
      </c>
      <c r="AA559" s="4">
        <f t="shared" si="482"/>
        <v>25.653166606363559</v>
      </c>
      <c r="AB559" s="4">
        <f t="shared" si="483"/>
        <v>1.7911420022024376</v>
      </c>
      <c r="AC559" s="47" t="str">
        <f t="shared" si="484"/>
        <v>-0.411000654961733+0.0862379130759465i</v>
      </c>
      <c r="AD559" s="20">
        <f t="shared" si="485"/>
        <v>-7.5360356420273309</v>
      </c>
      <c r="AE559" s="43">
        <f t="shared" si="486"/>
        <v>168.14986444618876</v>
      </c>
      <c r="AF559" t="str">
        <f t="shared" si="468"/>
        <v>69.5520360182888</v>
      </c>
      <c r="AG559" t="str">
        <f t="shared" si="469"/>
        <v>1+2891.66793047122i</v>
      </c>
      <c r="AH559">
        <f t="shared" si="487"/>
        <v>2891.6681033818022</v>
      </c>
      <c r="AI559">
        <f t="shared" si="488"/>
        <v>1.5704505056341753</v>
      </c>
      <c r="AJ559" t="str">
        <f t="shared" si="470"/>
        <v>1+60.7250265398956i</v>
      </c>
      <c r="AK559">
        <f t="shared" si="489"/>
        <v>60.733259819237645</v>
      </c>
      <c r="AL559">
        <f t="shared" si="490"/>
        <v>1.5543301401679486</v>
      </c>
      <c r="AM559" t="str">
        <f t="shared" si="471"/>
        <v>1-7.37155736724309i</v>
      </c>
      <c r="AN559">
        <f t="shared" si="491"/>
        <v>7.4390764224166892</v>
      </c>
      <c r="AO559">
        <f t="shared" si="492"/>
        <v>-1.4359628619125091</v>
      </c>
      <c r="AP559" s="41" t="str">
        <f t="shared" si="493"/>
        <v>1.28701944686041-10.7904507820733i</v>
      </c>
      <c r="AQ559">
        <f t="shared" si="494"/>
        <v>20.722140314872707</v>
      </c>
      <c r="AR559" s="43">
        <f t="shared" si="495"/>
        <v>-83.198240430537041</v>
      </c>
      <c r="AS559" t="str">
        <f t="shared" si="472"/>
        <v>-0.0000166666666666667</v>
      </c>
      <c r="AT559" t="str">
        <f t="shared" si="473"/>
        <v>0.054910928254161i</v>
      </c>
      <c r="AU559">
        <f t="shared" si="496"/>
        <v>5.4910928254161002E-2</v>
      </c>
      <c r="AV559">
        <f t="shared" si="497"/>
        <v>1.5707963267948966</v>
      </c>
      <c r="AW559" t="str">
        <f t="shared" si="474"/>
        <v>1+55.8039433503359i</v>
      </c>
      <c r="AX559">
        <f t="shared" si="498"/>
        <v>55.812902571426065</v>
      </c>
      <c r="AY559">
        <f t="shared" si="499"/>
        <v>1.5528783640151815</v>
      </c>
      <c r="AZ559" t="str">
        <f t="shared" si="475"/>
        <v>1+1897.33407391142i</v>
      </c>
      <c r="BA559">
        <f t="shared" si="500"/>
        <v>1897.3343374390574</v>
      </c>
      <c r="BB559">
        <f t="shared" si="501"/>
        <v>1.5702692715329085</v>
      </c>
      <c r="BC559" s="41" t="str">
        <f t="shared" si="502"/>
        <v>-0.000179431866889692+0.0103165275876659i</v>
      </c>
      <c r="BD559">
        <f t="shared" si="503"/>
        <v>-39.728015560192702</v>
      </c>
      <c r="BE559" s="43">
        <f t="shared" si="504"/>
        <v>90.996425602668097</v>
      </c>
      <c r="BF559" s="41" t="str">
        <f t="shared" si="505"/>
        <v>-0.000815929194538066-0.00425557342520136i</v>
      </c>
      <c r="BG559" s="20">
        <f t="shared" si="506"/>
        <v>-47.264051202220038</v>
      </c>
      <c r="BH559" s="43">
        <f t="shared" si="507"/>
        <v>-100.85370995114314</v>
      </c>
      <c r="BI559" s="41" t="str">
        <f t="shared" si="460"/>
        <v>0.111089050874537+0.0152137223578067i</v>
      </c>
      <c r="BJ559" s="20">
        <f t="shared" si="508"/>
        <v>-19.005875245319981</v>
      </c>
      <c r="BK559" s="43">
        <f t="shared" si="461"/>
        <v>7.7981851721310518</v>
      </c>
      <c r="BL559">
        <f t="shared" si="509"/>
        <v>-47.264051202220038</v>
      </c>
      <c r="BM559" s="43">
        <f t="shared" si="510"/>
        <v>-100.85370995114314</v>
      </c>
    </row>
    <row r="560" spans="14:65" ht="15.75" thickBot="1" x14ac:dyDescent="0.3">
      <c r="N560" s="9">
        <v>42</v>
      </c>
      <c r="O560" s="34">
        <f t="shared" si="462"/>
        <v>2630267.9918953842</v>
      </c>
      <c r="P560" s="33" t="str">
        <f t="shared" si="463"/>
        <v>19.1021967526266</v>
      </c>
      <c r="Q560" s="4" t="str">
        <f t="shared" si="464"/>
        <v>1+3709.37763337739i</v>
      </c>
      <c r="R560" s="4">
        <f t="shared" si="476"/>
        <v>3709.3777681708889</v>
      </c>
      <c r="S560" s="4">
        <f t="shared" si="477"/>
        <v>1.5705267397982059</v>
      </c>
      <c r="T560" s="4" t="str">
        <f t="shared" si="465"/>
        <v>1+62.1394941143379i</v>
      </c>
      <c r="U560" s="4">
        <f t="shared" si="478"/>
        <v>62.147540005907189</v>
      </c>
      <c r="V560" s="4">
        <f t="shared" si="479"/>
        <v>1.5547048908840473</v>
      </c>
      <c r="W560" t="str">
        <f t="shared" si="466"/>
        <v>1-34.4301275012954i</v>
      </c>
      <c r="X560" s="4">
        <f t="shared" si="480"/>
        <v>34.444646605175933</v>
      </c>
      <c r="Y560" s="4">
        <f t="shared" si="481"/>
        <v>-1.5417601592362264</v>
      </c>
      <c r="Z560" t="str">
        <f t="shared" si="467"/>
        <v>-5.91830970918934+25.6160148609638i</v>
      </c>
      <c r="AA560" s="4">
        <f t="shared" si="482"/>
        <v>26.290808416079621</v>
      </c>
      <c r="AB560" s="4">
        <f t="shared" si="483"/>
        <v>1.7978517059059842</v>
      </c>
      <c r="AC560" s="42" t="str">
        <f t="shared" si="484"/>
        <v>-0.409748773668434+0.0889815817162974i</v>
      </c>
      <c r="AD560" s="46">
        <f t="shared" si="485"/>
        <v>-7.549520305119354</v>
      </c>
      <c r="AE560" s="45">
        <f t="shared" si="486"/>
        <v>167.74780974866334</v>
      </c>
      <c r="AF560" t="str">
        <f t="shared" si="468"/>
        <v>69.5520360182888</v>
      </c>
      <c r="AG560" t="str">
        <f t="shared" si="469"/>
        <v>1+2959.02352925419i</v>
      </c>
      <c r="AH560">
        <f t="shared" si="487"/>
        <v>2959.0236982288475</v>
      </c>
      <c r="AI560">
        <f t="shared" si="488"/>
        <v>1.5704583774842393</v>
      </c>
      <c r="AJ560" t="str">
        <f t="shared" si="470"/>
        <v>1+62.1394941143379i</v>
      </c>
      <c r="AK560">
        <f t="shared" si="489"/>
        <v>62.147540005907189</v>
      </c>
      <c r="AL560">
        <f t="shared" si="490"/>
        <v>1.5547048908840473</v>
      </c>
      <c r="AM560" t="str">
        <f t="shared" si="471"/>
        <v>1-7.54326299609541i</v>
      </c>
      <c r="AN560">
        <f t="shared" si="491"/>
        <v>7.6092586122606125</v>
      </c>
      <c r="AO560">
        <f t="shared" si="492"/>
        <v>-1.4389962210610054</v>
      </c>
      <c r="AP560" s="44" t="str">
        <f t="shared" si="493"/>
        <v>1.28701907942131-11.0407054078917i</v>
      </c>
      <c r="AQ560" s="39">
        <f t="shared" si="494"/>
        <v>20.918553829880018</v>
      </c>
      <c r="AR560" s="45">
        <f t="shared" si="495"/>
        <v>-83.351018496876947</v>
      </c>
      <c r="AS560" t="str">
        <f t="shared" si="472"/>
        <v>-0.0000166666666666667</v>
      </c>
      <c r="AT560" t="str">
        <f t="shared" si="473"/>
        <v>0.0561899680821142i</v>
      </c>
      <c r="AU560">
        <f t="shared" si="496"/>
        <v>5.6189968082114197E-2</v>
      </c>
      <c r="AV560">
        <f t="shared" si="497"/>
        <v>1.5707963267948966</v>
      </c>
      <c r="AW560" t="str">
        <f t="shared" si="474"/>
        <v>1+57.1037841720308i</v>
      </c>
      <c r="AX560">
        <f t="shared" si="498"/>
        <v>57.112539487978246</v>
      </c>
      <c r="AY560">
        <f t="shared" si="499"/>
        <v>1.5532861423084943</v>
      </c>
      <c r="AZ560" t="str">
        <f t="shared" si="475"/>
        <v>1+1941.52866184905i</v>
      </c>
      <c r="BA560">
        <f t="shared" si="500"/>
        <v>1941.5289193780666</v>
      </c>
      <c r="BB560">
        <f t="shared" si="501"/>
        <v>1.5702812687732348</v>
      </c>
      <c r="BC560" s="44" t="str">
        <f t="shared" si="502"/>
        <v>-0.000171358578404912+0.010081836128905i</v>
      </c>
      <c r="BD560" s="39">
        <f t="shared" si="503"/>
        <v>-39.927952866142974</v>
      </c>
      <c r="BE560" s="45">
        <f t="shared" si="504"/>
        <v>90.97374901872071</v>
      </c>
      <c r="BF560" s="44" t="str">
        <f t="shared" si="505"/>
        <v>-0.000826883757995501-0.00414626774749206i</v>
      </c>
      <c r="BG560" s="46">
        <f t="shared" si="506"/>
        <v>-47.477473171262332</v>
      </c>
      <c r="BH560" s="45">
        <f t="shared" si="507"/>
        <v>-101.27844123261593</v>
      </c>
      <c r="BI560" s="44" t="str">
        <f t="shared" si="460"/>
        <v>0.11109004091005+0.0148674350367836i</v>
      </c>
      <c r="BJ560" s="46">
        <f t="shared" si="508"/>
        <v>-19.009399036262934</v>
      </c>
      <c r="BK560" s="45">
        <f t="shared" si="461"/>
        <v>7.622730521843776</v>
      </c>
      <c r="BL560" s="39">
        <f t="shared" si="509"/>
        <v>-47.477473171262332</v>
      </c>
      <c r="BM560" s="45">
        <f t="shared" si="510"/>
        <v>-101.27844123261593</v>
      </c>
    </row>
    <row r="561" spans="14:30" x14ac:dyDescent="0.25">
      <c r="N561" s="9"/>
      <c r="P561" s="33"/>
      <c r="Q561" s="4"/>
      <c r="R561" s="4"/>
      <c r="S561" s="4"/>
      <c r="T561" s="4"/>
      <c r="U561" s="4"/>
      <c r="V561" s="4"/>
      <c r="X561" s="4"/>
      <c r="Y561" s="4"/>
      <c r="AA561" s="4"/>
      <c r="AB561" s="4"/>
      <c r="AC561" s="4"/>
      <c r="AD561" s="20"/>
    </row>
    <row r="562" spans="14:30" x14ac:dyDescent="0.25">
      <c r="N562" s="9"/>
      <c r="P562" s="33"/>
      <c r="Q562" s="4"/>
      <c r="R562" s="4"/>
      <c r="S562" s="4"/>
      <c r="T562" s="4"/>
      <c r="U562" s="4"/>
      <c r="V562" s="4"/>
      <c r="X562" s="4"/>
      <c r="Y562" s="4"/>
      <c r="AA562" s="4"/>
      <c r="AB562" s="4"/>
      <c r="AC562" s="4"/>
      <c r="AD562" s="20"/>
    </row>
    <row r="563" spans="14:30" x14ac:dyDescent="0.25">
      <c r="N563" s="9"/>
      <c r="P563" s="33"/>
      <c r="Q563" s="4"/>
      <c r="R563" s="4"/>
      <c r="S563" s="4"/>
      <c r="T563" s="4"/>
      <c r="U563" s="4"/>
      <c r="V563" s="4"/>
      <c r="X563" s="4"/>
      <c r="Y563" s="4"/>
      <c r="AA563" s="4"/>
      <c r="AB563" s="4"/>
      <c r="AC563" s="4"/>
      <c r="AD563" s="20"/>
    </row>
    <row r="564" spans="14:30" x14ac:dyDescent="0.25">
      <c r="N564" s="9"/>
      <c r="P564" s="33"/>
      <c r="Q564" s="4"/>
      <c r="R564" s="4"/>
      <c r="S564" s="4"/>
      <c r="T564" s="4"/>
      <c r="U564" s="4"/>
      <c r="V564" s="4"/>
      <c r="X564" s="4"/>
      <c r="Y564" s="4"/>
      <c r="AA564" s="4"/>
      <c r="AB564" s="4"/>
      <c r="AC564" s="4"/>
      <c r="AD564" s="20"/>
    </row>
    <row r="565" spans="14:30" x14ac:dyDescent="0.25">
      <c r="N565" s="9"/>
      <c r="P565" s="33"/>
      <c r="Q565" s="4"/>
      <c r="R565" s="4"/>
      <c r="S565" s="4"/>
      <c r="T565" s="4"/>
      <c r="U565" s="4"/>
      <c r="V565" s="4"/>
      <c r="X565" s="4"/>
      <c r="Y565" s="4"/>
      <c r="AA565" s="4"/>
      <c r="AB565" s="4"/>
      <c r="AC565" s="4"/>
      <c r="AD565" s="20"/>
    </row>
    <row r="566" spans="14:30" x14ac:dyDescent="0.25">
      <c r="N566" s="9"/>
      <c r="P566" s="33"/>
      <c r="Q566" s="4"/>
      <c r="R566" s="4"/>
      <c r="S566" s="4"/>
      <c r="T566" s="4"/>
      <c r="U566" s="4"/>
      <c r="V566" s="4"/>
      <c r="X566" s="4"/>
      <c r="Y566" s="4"/>
      <c r="AA566" s="4"/>
      <c r="AB566" s="4"/>
      <c r="AC566" s="4"/>
      <c r="AD566" s="20"/>
    </row>
    <row r="567" spans="14:30" x14ac:dyDescent="0.25">
      <c r="N567" s="9"/>
      <c r="P567" s="33"/>
      <c r="Q567" s="4"/>
      <c r="R567" s="4"/>
      <c r="S567" s="4"/>
      <c r="T567" s="4"/>
      <c r="U567" s="4"/>
      <c r="V567" s="4"/>
      <c r="X567" s="4"/>
      <c r="Y567" s="4"/>
      <c r="AA567" s="4"/>
      <c r="AB567" s="4"/>
      <c r="AC567" s="4"/>
      <c r="AD567" s="20"/>
    </row>
    <row r="568" spans="14:30" x14ac:dyDescent="0.25">
      <c r="N568" s="9"/>
      <c r="P568" s="33"/>
      <c r="Q568" s="4"/>
      <c r="R568" s="4"/>
      <c r="S568" s="4"/>
      <c r="T568" s="4"/>
      <c r="U568" s="4"/>
      <c r="V568" s="4"/>
      <c r="X568" s="4"/>
      <c r="Y568" s="4"/>
      <c r="AA568" s="4"/>
      <c r="AB568" s="4"/>
      <c r="AC568" s="4"/>
      <c r="AD568" s="20"/>
    </row>
    <row r="569" spans="14:30" x14ac:dyDescent="0.25">
      <c r="N569" s="9"/>
      <c r="P569" s="33"/>
      <c r="Q569" s="4"/>
      <c r="R569" s="4"/>
      <c r="S569" s="4"/>
      <c r="T569" s="4"/>
      <c r="U569" s="4"/>
      <c r="V569" s="4"/>
      <c r="X569" s="4"/>
      <c r="Y569" s="4"/>
      <c r="AA569" s="4"/>
      <c r="AB569" s="4"/>
      <c r="AC569" s="4"/>
      <c r="AD569" s="20"/>
    </row>
    <row r="570" spans="14:30" x14ac:dyDescent="0.25">
      <c r="N570" s="9"/>
      <c r="P570" s="33"/>
      <c r="Q570" s="4"/>
      <c r="R570" s="4"/>
      <c r="S570" s="4"/>
      <c r="T570" s="4"/>
      <c r="U570" s="4"/>
      <c r="V570" s="4"/>
      <c r="X570" s="4"/>
      <c r="Y570" s="4"/>
      <c r="AA570" s="4"/>
      <c r="AB570" s="4"/>
      <c r="AC570" s="4"/>
      <c r="AD570" s="20"/>
    </row>
    <row r="571" spans="14:30" x14ac:dyDescent="0.25">
      <c r="N571" s="9"/>
      <c r="P571" s="33"/>
      <c r="Q571" s="4"/>
      <c r="R571" s="4"/>
      <c r="S571" s="4"/>
      <c r="T571" s="4"/>
      <c r="U571" s="4"/>
      <c r="V571" s="4"/>
      <c r="X571" s="4"/>
      <c r="Y571" s="4"/>
      <c r="AA571" s="4"/>
      <c r="AB571" s="4"/>
      <c r="AC571" s="4"/>
      <c r="AD571" s="20"/>
    </row>
    <row r="572" spans="14:30" x14ac:dyDescent="0.25">
      <c r="N572" s="9"/>
      <c r="P572" s="33"/>
      <c r="Q572" s="4"/>
      <c r="R572" s="4"/>
      <c r="S572" s="4"/>
      <c r="T572" s="4"/>
      <c r="U572" s="4"/>
      <c r="V572" s="4"/>
      <c r="X572" s="4"/>
      <c r="Y572" s="4"/>
      <c r="AA572" s="4"/>
      <c r="AB572" s="4"/>
      <c r="AC572" s="4"/>
      <c r="AD572" s="20"/>
    </row>
    <row r="573" spans="14:30" x14ac:dyDescent="0.25">
      <c r="N573" s="9"/>
      <c r="P573" s="33"/>
      <c r="Q573" s="4"/>
      <c r="R573" s="4"/>
      <c r="S573" s="4"/>
      <c r="T573" s="4"/>
      <c r="U573" s="4"/>
      <c r="V573" s="4"/>
      <c r="X573" s="4"/>
      <c r="Y573" s="4"/>
      <c r="AA573" s="4"/>
      <c r="AB573" s="4"/>
      <c r="AC573" s="4"/>
      <c r="AD573" s="20"/>
    </row>
    <row r="574" spans="14:30" x14ac:dyDescent="0.25">
      <c r="N574" s="9"/>
      <c r="P574" s="33"/>
      <c r="Q574" s="4"/>
      <c r="R574" s="4"/>
      <c r="S574" s="4"/>
      <c r="T574" s="4"/>
      <c r="U574" s="4"/>
      <c r="V574" s="4"/>
      <c r="X574" s="4"/>
      <c r="Y574" s="4"/>
      <c r="AA574" s="4"/>
      <c r="AB574" s="4"/>
      <c r="AC574" s="4"/>
      <c r="AD574" s="20"/>
    </row>
    <row r="575" spans="14:30" x14ac:dyDescent="0.25">
      <c r="N575" s="9"/>
      <c r="P575" s="33"/>
      <c r="Q575" s="4"/>
      <c r="R575" s="4"/>
      <c r="S575" s="4"/>
      <c r="T575" s="4"/>
      <c r="U575" s="4"/>
      <c r="V575" s="4"/>
      <c r="X575" s="4"/>
      <c r="Y575" s="4"/>
      <c r="AA575" s="4"/>
      <c r="AB575" s="4"/>
      <c r="AC575" s="4"/>
      <c r="AD575" s="20"/>
    </row>
    <row r="576" spans="14:30" x14ac:dyDescent="0.25">
      <c r="N576" s="9"/>
      <c r="P576" s="33"/>
      <c r="Q576" s="4"/>
      <c r="R576" s="4"/>
      <c r="S576" s="4"/>
      <c r="T576" s="4"/>
      <c r="U576" s="4"/>
      <c r="V576" s="4"/>
      <c r="X576" s="4"/>
      <c r="Y576" s="4"/>
      <c r="AA576" s="4"/>
      <c r="AB576" s="4"/>
      <c r="AC576" s="4"/>
      <c r="AD576" s="20"/>
    </row>
    <row r="577" spans="14:30" x14ac:dyDescent="0.25">
      <c r="N577" s="9"/>
      <c r="P577" s="33"/>
      <c r="Q577" s="4"/>
      <c r="R577" s="4"/>
      <c r="S577" s="4"/>
      <c r="T577" s="4"/>
      <c r="U577" s="4"/>
      <c r="V577" s="4"/>
      <c r="X577" s="4"/>
      <c r="Y577" s="4"/>
      <c r="AA577" s="4"/>
      <c r="AB577" s="4"/>
      <c r="AC577" s="4"/>
      <c r="AD577" s="20"/>
    </row>
    <row r="578" spans="14:30" x14ac:dyDescent="0.25">
      <c r="N578" s="9"/>
      <c r="P578" s="33"/>
      <c r="Q578" s="4"/>
      <c r="R578" s="4"/>
      <c r="S578" s="4"/>
      <c r="T578" s="4"/>
      <c r="U578" s="4"/>
      <c r="V578" s="4"/>
      <c r="X578" s="4"/>
      <c r="Y578" s="4"/>
      <c r="AA578" s="4"/>
      <c r="AB578" s="4"/>
      <c r="AC578" s="4"/>
      <c r="AD578" s="20"/>
    </row>
    <row r="579" spans="14:30" x14ac:dyDescent="0.25">
      <c r="N579" s="9"/>
      <c r="P579" s="33"/>
      <c r="Q579" s="4"/>
      <c r="R579" s="4"/>
      <c r="S579" s="4"/>
      <c r="T579" s="4"/>
      <c r="U579" s="4"/>
      <c r="V579" s="4"/>
      <c r="X579" s="4"/>
      <c r="Y579" s="4"/>
      <c r="AA579" s="4"/>
      <c r="AB579" s="4"/>
      <c r="AC579" s="4"/>
      <c r="AD579" s="20"/>
    </row>
    <row r="580" spans="14:30" x14ac:dyDescent="0.25">
      <c r="N580" s="9"/>
      <c r="P580" s="33"/>
      <c r="Q580" s="4"/>
      <c r="R580" s="4"/>
      <c r="S580" s="4"/>
      <c r="T580" s="4"/>
      <c r="U580" s="4"/>
      <c r="V580" s="4"/>
      <c r="X580" s="4"/>
      <c r="Y580" s="4"/>
      <c r="AA580" s="4"/>
      <c r="AB580" s="4"/>
      <c r="AC580" s="4"/>
      <c r="AD580" s="20"/>
    </row>
    <row r="581" spans="14:30" x14ac:dyDescent="0.25">
      <c r="N581" s="9"/>
      <c r="P581" s="33"/>
      <c r="Q581" s="4"/>
      <c r="R581" s="4"/>
      <c r="S581" s="4"/>
      <c r="T581" s="4"/>
      <c r="U581" s="4"/>
      <c r="V581" s="4"/>
      <c r="X581" s="4"/>
      <c r="Y581" s="4"/>
      <c r="AA581" s="4"/>
      <c r="AB581" s="4"/>
      <c r="AC581" s="4"/>
      <c r="AD581" s="20"/>
    </row>
    <row r="582" spans="14:30" x14ac:dyDescent="0.25">
      <c r="N582" s="9"/>
      <c r="P582" s="33"/>
      <c r="Q582" s="4"/>
      <c r="R582" s="4"/>
      <c r="S582" s="4"/>
      <c r="T582" s="4"/>
      <c r="U582" s="4"/>
      <c r="V582" s="4"/>
      <c r="X582" s="4"/>
      <c r="Y582" s="4"/>
      <c r="AA582" s="4"/>
      <c r="AB582" s="4"/>
      <c r="AC582" s="4"/>
      <c r="AD582" s="20"/>
    </row>
    <row r="583" spans="14:30" x14ac:dyDescent="0.25">
      <c r="N583" s="9"/>
      <c r="P583" s="33"/>
      <c r="Q583" s="4"/>
      <c r="R583" s="4"/>
      <c r="S583" s="4"/>
      <c r="T583" s="4"/>
      <c r="U583" s="4"/>
      <c r="V583" s="4"/>
      <c r="X583" s="4"/>
      <c r="Y583" s="4"/>
      <c r="AA583" s="4"/>
      <c r="AB583" s="4"/>
      <c r="AC583" s="4"/>
      <c r="AD583" s="20"/>
    </row>
    <row r="584" spans="14:30" x14ac:dyDescent="0.25">
      <c r="N584" s="9"/>
      <c r="P584" s="33"/>
      <c r="Q584" s="4"/>
      <c r="R584" s="4"/>
      <c r="S584" s="4"/>
      <c r="T584" s="4"/>
      <c r="U584" s="4"/>
      <c r="V584" s="4"/>
      <c r="X584" s="4"/>
      <c r="Y584" s="4"/>
      <c r="AA584" s="4"/>
      <c r="AB584" s="4"/>
      <c r="AC584" s="4"/>
      <c r="AD584" s="20"/>
    </row>
    <row r="585" spans="14:30" x14ac:dyDescent="0.25">
      <c r="N585" s="9"/>
      <c r="P585" s="33"/>
      <c r="Q585" s="4"/>
      <c r="R585" s="4"/>
      <c r="S585" s="4"/>
      <c r="T585" s="4"/>
      <c r="U585" s="4"/>
      <c r="V585" s="4"/>
      <c r="X585" s="4"/>
      <c r="Y585" s="4"/>
      <c r="AA585" s="4"/>
      <c r="AB585" s="4"/>
      <c r="AC585" s="4"/>
      <c r="AD585" s="20"/>
    </row>
    <row r="586" spans="14:30" x14ac:dyDescent="0.25">
      <c r="N586" s="9"/>
      <c r="P586" s="33"/>
      <c r="Q586" s="4"/>
      <c r="R586" s="4"/>
      <c r="S586" s="4"/>
      <c r="T586" s="4"/>
      <c r="U586" s="4"/>
      <c r="V586" s="4"/>
      <c r="X586" s="4"/>
      <c r="Y586" s="4"/>
      <c r="AA586" s="4"/>
      <c r="AB586" s="4"/>
      <c r="AC586" s="4"/>
      <c r="AD586" s="20"/>
    </row>
    <row r="587" spans="14:30" x14ac:dyDescent="0.25">
      <c r="N587" s="9"/>
      <c r="P587" s="33"/>
      <c r="Q587" s="4"/>
      <c r="R587" s="4"/>
      <c r="S587" s="4"/>
      <c r="T587" s="4"/>
      <c r="U587" s="4"/>
      <c r="V587" s="4"/>
      <c r="X587" s="4"/>
      <c r="Y587" s="4"/>
      <c r="AA587" s="4"/>
      <c r="AB587" s="4"/>
      <c r="AC587" s="4"/>
      <c r="AD587" s="20"/>
    </row>
    <row r="588" spans="14:30" x14ac:dyDescent="0.25">
      <c r="N588" s="9"/>
      <c r="P588" s="33"/>
      <c r="Q588" s="4"/>
      <c r="R588" s="4"/>
      <c r="S588" s="4"/>
      <c r="T588" s="4"/>
      <c r="U588" s="4"/>
      <c r="V588" s="4"/>
      <c r="X588" s="4"/>
      <c r="Y588" s="4"/>
      <c r="AA588" s="4"/>
      <c r="AB588" s="4"/>
      <c r="AC588" s="4"/>
      <c r="AD588" s="20"/>
    </row>
    <row r="589" spans="14:30" x14ac:dyDescent="0.25">
      <c r="N589" s="9"/>
      <c r="P589" s="33"/>
      <c r="Q589" s="4"/>
      <c r="R589" s="4"/>
      <c r="S589" s="4"/>
      <c r="T589" s="4"/>
      <c r="U589" s="4"/>
      <c r="V589" s="4"/>
      <c r="X589" s="4"/>
      <c r="Y589" s="4"/>
      <c r="AA589" s="4"/>
      <c r="AB589" s="4"/>
      <c r="AC589" s="4"/>
      <c r="AD589" s="20"/>
    </row>
    <row r="590" spans="14:30" x14ac:dyDescent="0.25">
      <c r="N590" s="9"/>
      <c r="P590" s="33"/>
      <c r="Q590" s="4"/>
      <c r="R590" s="4"/>
      <c r="S590" s="4"/>
      <c r="T590" s="4"/>
      <c r="U590" s="4"/>
      <c r="V590" s="4"/>
      <c r="X590" s="4"/>
      <c r="Y590" s="4"/>
      <c r="AA590" s="4"/>
      <c r="AB590" s="4"/>
      <c r="AC590" s="4"/>
      <c r="AD590" s="20"/>
    </row>
    <row r="591" spans="14:30" x14ac:dyDescent="0.25">
      <c r="N591" s="9"/>
      <c r="P591" s="33"/>
      <c r="Q591" s="4"/>
      <c r="R591" s="4"/>
      <c r="S591" s="4"/>
      <c r="T591" s="4"/>
      <c r="U591" s="4"/>
      <c r="V591" s="4"/>
      <c r="X591" s="4"/>
      <c r="Y591" s="4"/>
      <c r="AA591" s="4"/>
      <c r="AB591" s="4"/>
      <c r="AC591" s="4"/>
      <c r="AD591" s="20"/>
    </row>
    <row r="592" spans="14:30" x14ac:dyDescent="0.25">
      <c r="N592" s="9"/>
      <c r="P592" s="33"/>
      <c r="Q592" s="4"/>
      <c r="R592" s="4"/>
      <c r="S592" s="4"/>
      <c r="T592" s="4"/>
      <c r="U592" s="4"/>
      <c r="V592" s="4"/>
      <c r="X592" s="4"/>
      <c r="Y592" s="4"/>
      <c r="AA592" s="4"/>
      <c r="AB592" s="4"/>
      <c r="AC592" s="4"/>
      <c r="AD592" s="20"/>
    </row>
    <row r="593" spans="14:30" x14ac:dyDescent="0.25">
      <c r="N593" s="9"/>
      <c r="P593" s="33"/>
      <c r="Q593" s="4"/>
      <c r="R593" s="4"/>
      <c r="S593" s="4"/>
      <c r="T593" s="4"/>
      <c r="U593" s="4"/>
      <c r="V593" s="4"/>
      <c r="X593" s="4"/>
      <c r="Y593" s="4"/>
      <c r="AA593" s="4"/>
      <c r="AB593" s="4"/>
      <c r="AC593" s="4"/>
      <c r="AD593" s="20"/>
    </row>
    <row r="594" spans="14:30" x14ac:dyDescent="0.25">
      <c r="N594" s="9"/>
      <c r="P594" s="33"/>
      <c r="Q594" s="4"/>
      <c r="R594" s="4"/>
      <c r="S594" s="4"/>
      <c r="T594" s="4"/>
      <c r="U594" s="4"/>
      <c r="V594" s="4"/>
      <c r="X594" s="4"/>
      <c r="Y594" s="4"/>
      <c r="AA594" s="4"/>
      <c r="AB594" s="4"/>
      <c r="AC594" s="4"/>
      <c r="AD594" s="20"/>
    </row>
    <row r="595" spans="14:30" x14ac:dyDescent="0.25">
      <c r="N595" s="9"/>
      <c r="P595" s="33"/>
      <c r="Q595" s="4"/>
      <c r="R595" s="4"/>
      <c r="S595" s="4"/>
      <c r="T595" s="4"/>
      <c r="U595" s="4"/>
      <c r="V595" s="4"/>
      <c r="X595" s="4"/>
      <c r="Y595" s="4"/>
      <c r="AA595" s="4"/>
      <c r="AB595" s="4"/>
      <c r="AC595" s="4"/>
      <c r="AD595" s="20"/>
    </row>
    <row r="596" spans="14:30" x14ac:dyDescent="0.25">
      <c r="N596" s="9"/>
      <c r="P596" s="33"/>
      <c r="Q596" s="4"/>
      <c r="R596" s="4"/>
      <c r="S596" s="4"/>
      <c r="T596" s="4"/>
      <c r="U596" s="4"/>
      <c r="V596" s="4"/>
      <c r="X596" s="4"/>
      <c r="Y596" s="4"/>
      <c r="AA596" s="4"/>
      <c r="AB596" s="4"/>
      <c r="AC596" s="4"/>
      <c r="AD596" s="20"/>
    </row>
    <row r="597" spans="14:30" x14ac:dyDescent="0.25">
      <c r="N597" s="9"/>
      <c r="P597" s="33"/>
      <c r="Q597" s="4"/>
      <c r="R597" s="4"/>
      <c r="S597" s="4"/>
      <c r="T597" s="4"/>
      <c r="U597" s="4"/>
      <c r="V597" s="4"/>
      <c r="X597" s="4"/>
      <c r="Y597" s="4"/>
      <c r="AA597" s="4"/>
      <c r="AB597" s="4"/>
      <c r="AC597" s="4"/>
      <c r="AD597" s="20"/>
    </row>
    <row r="598" spans="14:30" x14ac:dyDescent="0.25">
      <c r="N598" s="9"/>
      <c r="P598" s="33"/>
      <c r="Q598" s="4"/>
      <c r="R598" s="4"/>
      <c r="S598" s="4"/>
      <c r="T598" s="4"/>
      <c r="U598" s="4"/>
      <c r="V598" s="4"/>
      <c r="X598" s="4"/>
      <c r="Y598" s="4"/>
      <c r="AA598" s="4"/>
      <c r="AB598" s="4"/>
      <c r="AC598" s="4"/>
      <c r="AD598" s="20"/>
    </row>
    <row r="599" spans="14:30" x14ac:dyDescent="0.25">
      <c r="N599" s="9"/>
      <c r="P599" s="33"/>
      <c r="Q599" s="4"/>
      <c r="R599" s="4"/>
      <c r="S599" s="4"/>
      <c r="T599" s="4"/>
      <c r="U599" s="4"/>
      <c r="V599" s="4"/>
      <c r="X599" s="4"/>
      <c r="Y599" s="4"/>
      <c r="AA599" s="4"/>
      <c r="AB599" s="4"/>
      <c r="AC599" s="4"/>
      <c r="AD599" s="20"/>
    </row>
    <row r="600" spans="14:30" x14ac:dyDescent="0.25">
      <c r="N600" s="9"/>
      <c r="P600" s="33"/>
      <c r="Q600" s="4"/>
      <c r="R600" s="4"/>
      <c r="S600" s="4"/>
      <c r="T600" s="4"/>
      <c r="U600" s="4"/>
      <c r="V600" s="4"/>
      <c r="X600" s="4"/>
      <c r="Y600" s="4"/>
      <c r="AA600" s="4"/>
      <c r="AB600" s="4"/>
      <c r="AC600" s="4"/>
      <c r="AD600" s="20"/>
    </row>
    <row r="601" spans="14:30" x14ac:dyDescent="0.25">
      <c r="N601" s="9"/>
      <c r="P601" s="33"/>
      <c r="Q601" s="4"/>
      <c r="R601" s="4"/>
      <c r="S601" s="4"/>
      <c r="T601" s="4"/>
      <c r="U601" s="4"/>
      <c r="V601" s="4"/>
      <c r="X601" s="4"/>
      <c r="Y601" s="4"/>
      <c r="AA601" s="4"/>
      <c r="AB601" s="4"/>
      <c r="AC601" s="4"/>
      <c r="AD601" s="20"/>
    </row>
    <row r="602" spans="14:30" x14ac:dyDescent="0.25">
      <c r="N602" s="9"/>
      <c r="P602" s="33"/>
      <c r="Q602" s="4"/>
      <c r="R602" s="4"/>
      <c r="S602" s="4"/>
      <c r="T602" s="4"/>
      <c r="U602" s="4"/>
      <c r="V602" s="4"/>
      <c r="X602" s="4"/>
      <c r="Y602" s="4"/>
      <c r="AA602" s="4"/>
      <c r="AB602" s="4"/>
      <c r="AC602" s="4"/>
      <c r="AD602" s="20"/>
    </row>
    <row r="603" spans="14:30" x14ac:dyDescent="0.25">
      <c r="N603" s="9"/>
      <c r="P603" s="33"/>
      <c r="Q603" s="4"/>
      <c r="R603" s="4"/>
      <c r="S603" s="4"/>
      <c r="T603" s="4"/>
      <c r="U603" s="4"/>
      <c r="V603" s="4"/>
      <c r="X603" s="4"/>
      <c r="Y603" s="4"/>
      <c r="AA603" s="4"/>
      <c r="AB603" s="4"/>
      <c r="AC603" s="4"/>
      <c r="AD603" s="20"/>
    </row>
    <row r="604" spans="14:30" x14ac:dyDescent="0.25">
      <c r="N604" s="9"/>
      <c r="P604" s="33"/>
      <c r="Q604" s="4"/>
      <c r="R604" s="4"/>
      <c r="S604" s="4"/>
      <c r="T604" s="4"/>
      <c r="U604" s="4"/>
      <c r="V604" s="4"/>
      <c r="X604" s="4"/>
      <c r="Y604" s="4"/>
      <c r="AA604" s="4"/>
      <c r="AB604" s="4"/>
      <c r="AC604" s="4"/>
      <c r="AD604" s="20"/>
    </row>
    <row r="605" spans="14:30" x14ac:dyDescent="0.25">
      <c r="N605" s="9"/>
      <c r="P605" s="33"/>
      <c r="Q605" s="4"/>
      <c r="R605" s="4"/>
      <c r="S605" s="4"/>
      <c r="T605" s="4"/>
      <c r="U605" s="4"/>
      <c r="V605" s="4"/>
      <c r="X605" s="4"/>
      <c r="Y605" s="4"/>
      <c r="AA605" s="4"/>
      <c r="AB605" s="4"/>
      <c r="AC605" s="4"/>
      <c r="AD605" s="20"/>
    </row>
    <row r="606" spans="14:30" x14ac:dyDescent="0.25">
      <c r="N606" s="9"/>
      <c r="P606" s="33"/>
      <c r="Q606" s="4"/>
      <c r="R606" s="4"/>
      <c r="S606" s="4"/>
      <c r="T606" s="4"/>
      <c r="U606" s="4"/>
      <c r="V606" s="4"/>
      <c r="X606" s="4"/>
      <c r="Y606" s="4"/>
      <c r="AA606" s="4"/>
      <c r="AB606" s="4"/>
      <c r="AC606" s="4"/>
      <c r="AD606" s="20"/>
    </row>
    <row r="607" spans="14:30" x14ac:dyDescent="0.25">
      <c r="N607" s="9"/>
      <c r="P607" s="33"/>
      <c r="Q607" s="4"/>
      <c r="R607" s="4"/>
      <c r="S607" s="4"/>
      <c r="T607" s="4"/>
      <c r="U607" s="4"/>
      <c r="V607" s="4"/>
      <c r="X607" s="4"/>
      <c r="Y607" s="4"/>
      <c r="AA607" s="4"/>
      <c r="AB607" s="4"/>
      <c r="AC607" s="4"/>
      <c r="AD607" s="20"/>
    </row>
    <row r="608" spans="14:30" x14ac:dyDescent="0.25">
      <c r="N608" s="9"/>
      <c r="P608" s="33"/>
      <c r="Q608" s="4"/>
      <c r="R608" s="4"/>
      <c r="S608" s="4"/>
      <c r="T608" s="4"/>
      <c r="U608" s="4"/>
      <c r="V608" s="4"/>
      <c r="X608" s="4"/>
      <c r="Y608" s="4"/>
      <c r="AA608" s="4"/>
      <c r="AB608" s="4"/>
      <c r="AC608" s="4"/>
      <c r="AD608" s="20"/>
    </row>
    <row r="609" spans="14:30" x14ac:dyDescent="0.25">
      <c r="N609" s="9"/>
      <c r="P609" s="33"/>
      <c r="Q609" s="4"/>
      <c r="R609" s="4"/>
      <c r="S609" s="4"/>
      <c r="T609" s="4"/>
      <c r="U609" s="4"/>
      <c r="V609" s="4"/>
      <c r="X609" s="4"/>
      <c r="Y609" s="4"/>
      <c r="AA609" s="4"/>
      <c r="AB609" s="4"/>
      <c r="AC609" s="4"/>
      <c r="AD609" s="20"/>
    </row>
    <row r="610" spans="14:30" x14ac:dyDescent="0.25">
      <c r="N610" s="9"/>
      <c r="P610" s="33"/>
      <c r="Q610" s="4"/>
      <c r="R610" s="4"/>
      <c r="S610" s="4"/>
      <c r="T610" s="4"/>
      <c r="U610" s="4"/>
      <c r="V610" s="4"/>
      <c r="X610" s="4"/>
      <c r="Y610" s="4"/>
      <c r="AA610" s="4"/>
      <c r="AB610" s="4"/>
      <c r="AC610" s="4"/>
      <c r="AD610" s="20"/>
    </row>
    <row r="611" spans="14:30" x14ac:dyDescent="0.25">
      <c r="N611" s="9"/>
      <c r="P611" s="33"/>
      <c r="Q611" s="4"/>
      <c r="R611" s="4"/>
      <c r="S611" s="4"/>
      <c r="T611" s="4"/>
      <c r="U611" s="4"/>
      <c r="V611" s="4"/>
      <c r="X611" s="4"/>
      <c r="Y611" s="4"/>
      <c r="AA611" s="4"/>
      <c r="AB611" s="4"/>
      <c r="AC611" s="4"/>
      <c r="AD611" s="20"/>
    </row>
    <row r="612" spans="14:30" x14ac:dyDescent="0.25">
      <c r="N612" s="9"/>
      <c r="P612" s="33"/>
      <c r="Q612" s="4"/>
      <c r="R612" s="4"/>
      <c r="S612" s="4"/>
      <c r="T612" s="4"/>
      <c r="U612" s="4"/>
      <c r="V612" s="4"/>
      <c r="X612" s="4"/>
      <c r="Y612" s="4"/>
      <c r="AA612" s="4"/>
      <c r="AB612" s="4"/>
      <c r="AC612" s="4"/>
      <c r="AD612" s="20"/>
    </row>
    <row r="613" spans="14:30" x14ac:dyDescent="0.25">
      <c r="N613" s="9"/>
      <c r="P613" s="33"/>
      <c r="Q613" s="4"/>
      <c r="R613" s="4"/>
      <c r="S613" s="4"/>
      <c r="T613" s="4"/>
      <c r="U613" s="4"/>
      <c r="V613" s="4"/>
      <c r="X613" s="4"/>
      <c r="Y613" s="4"/>
      <c r="AA613" s="4"/>
      <c r="AB613" s="4"/>
      <c r="AC613" s="4"/>
      <c r="AD613" s="20"/>
    </row>
    <row r="614" spans="14:30" x14ac:dyDescent="0.25">
      <c r="N614" s="9"/>
      <c r="P614" s="33"/>
      <c r="Q614" s="4"/>
      <c r="R614" s="4"/>
      <c r="S614" s="4"/>
      <c r="T614" s="4"/>
      <c r="U614" s="4"/>
      <c r="V614" s="4"/>
      <c r="X614" s="4"/>
      <c r="Y614" s="4"/>
      <c r="AA614" s="4"/>
      <c r="AB614" s="4"/>
      <c r="AC614" s="4"/>
      <c r="AD614" s="20"/>
    </row>
    <row r="615" spans="14:30" x14ac:dyDescent="0.25">
      <c r="N615" s="9"/>
      <c r="P615" s="33"/>
      <c r="Q615" s="4"/>
      <c r="R615" s="4"/>
      <c r="S615" s="4"/>
      <c r="T615" s="4"/>
      <c r="U615" s="4"/>
      <c r="V615" s="4"/>
      <c r="X615" s="4"/>
      <c r="Y615" s="4"/>
      <c r="AA615" s="4"/>
      <c r="AB615" s="4"/>
      <c r="AC615" s="4"/>
      <c r="AD615" s="20"/>
    </row>
    <row r="616" spans="14:30" x14ac:dyDescent="0.25">
      <c r="N616" s="9"/>
      <c r="P616" s="33"/>
      <c r="Q616" s="4"/>
      <c r="R616" s="4"/>
      <c r="S616" s="4"/>
      <c r="T616" s="4"/>
      <c r="U616" s="4"/>
      <c r="V616" s="4"/>
      <c r="X616" s="4"/>
      <c r="Y616" s="4"/>
      <c r="AA616" s="4"/>
      <c r="AB616" s="4"/>
      <c r="AC616" s="4"/>
      <c r="AD616" s="20"/>
    </row>
    <row r="617" spans="14:30" x14ac:dyDescent="0.25">
      <c r="N617" s="9"/>
      <c r="P617" s="33"/>
      <c r="Q617" s="4"/>
      <c r="R617" s="4"/>
      <c r="S617" s="4"/>
      <c r="T617" s="4"/>
      <c r="U617" s="4"/>
      <c r="V617" s="4"/>
      <c r="X617" s="4"/>
      <c r="Y617" s="4"/>
      <c r="AA617" s="4"/>
      <c r="AB617" s="4"/>
      <c r="AC617" s="4"/>
      <c r="AD617" s="20"/>
    </row>
    <row r="618" spans="14:30" x14ac:dyDescent="0.25">
      <c r="N618" s="9"/>
      <c r="P618" s="33"/>
      <c r="Q618" s="4"/>
      <c r="R618" s="4"/>
      <c r="S618" s="4"/>
      <c r="T618" s="4"/>
      <c r="U618" s="4"/>
      <c r="V618" s="4"/>
      <c r="X618" s="4"/>
      <c r="Y618" s="4"/>
      <c r="AA618" s="4"/>
      <c r="AB618" s="4"/>
      <c r="AC618" s="4"/>
      <c r="AD618" s="20"/>
    </row>
    <row r="619" spans="14:30" x14ac:dyDescent="0.25">
      <c r="N619" s="9"/>
      <c r="P619" s="33"/>
      <c r="Q619" s="4"/>
      <c r="R619" s="4"/>
      <c r="S619" s="4"/>
      <c r="T619" s="4"/>
      <c r="U619" s="4"/>
      <c r="V619" s="4"/>
      <c r="X619" s="4"/>
      <c r="Y619" s="4"/>
      <c r="AA619" s="4"/>
      <c r="AB619" s="4"/>
      <c r="AC619" s="4"/>
      <c r="AD619" s="20"/>
    </row>
    <row r="620" spans="14:30" x14ac:dyDescent="0.25">
      <c r="N620" s="9"/>
      <c r="P620" s="33"/>
      <c r="Q620" s="4"/>
      <c r="R620" s="4"/>
      <c r="S620" s="4"/>
      <c r="T620" s="4"/>
      <c r="U620" s="4"/>
      <c r="V620" s="4"/>
      <c r="X620" s="4"/>
      <c r="Y620" s="4"/>
      <c r="AA620" s="4"/>
      <c r="AB620" s="4"/>
      <c r="AC620" s="4"/>
      <c r="AD620" s="20"/>
    </row>
    <row r="621" spans="14:30" x14ac:dyDescent="0.25">
      <c r="N621" s="9"/>
      <c r="P621" s="33"/>
      <c r="Q621" s="4"/>
      <c r="R621" s="4"/>
      <c r="S621" s="4"/>
      <c r="T621" s="4"/>
      <c r="U621" s="4"/>
      <c r="V621" s="4"/>
      <c r="X621" s="4"/>
      <c r="Y621" s="4"/>
      <c r="AA621" s="4"/>
      <c r="AB621" s="4"/>
      <c r="AC621" s="4"/>
      <c r="AD621" s="20"/>
    </row>
    <row r="622" spans="14:30" x14ac:dyDescent="0.25">
      <c r="N622" s="9"/>
      <c r="P622" s="33"/>
      <c r="Q622" s="4"/>
      <c r="R622" s="4"/>
      <c r="S622" s="4"/>
      <c r="T622" s="4"/>
      <c r="U622" s="4"/>
      <c r="V622" s="4"/>
      <c r="X622" s="4"/>
      <c r="Y622" s="4"/>
      <c r="AA622" s="4"/>
      <c r="AB622" s="4"/>
      <c r="AC622" s="4"/>
      <c r="AD622" s="20"/>
    </row>
    <row r="623" spans="14:30" x14ac:dyDescent="0.25">
      <c r="N623" s="9"/>
      <c r="P623" s="33"/>
      <c r="Q623" s="4"/>
      <c r="R623" s="4"/>
      <c r="S623" s="4"/>
      <c r="T623" s="4"/>
      <c r="U623" s="4"/>
      <c r="V623" s="4"/>
      <c r="X623" s="4"/>
      <c r="Y623" s="4"/>
      <c r="AA623" s="4"/>
      <c r="AB623" s="4"/>
      <c r="AC623" s="4"/>
      <c r="AD623" s="20"/>
    </row>
    <row r="624" spans="14:30" x14ac:dyDescent="0.25">
      <c r="N624" s="9"/>
      <c r="P624" s="33"/>
      <c r="Q624" s="4"/>
      <c r="R624" s="4"/>
      <c r="S624" s="4"/>
      <c r="T624" s="4"/>
      <c r="U624" s="4"/>
      <c r="V624" s="4"/>
      <c r="X624" s="4"/>
      <c r="Y624" s="4"/>
      <c r="AA624" s="4"/>
      <c r="AB624" s="4"/>
      <c r="AC624" s="4"/>
      <c r="AD624" s="20"/>
    </row>
    <row r="625" spans="14:30" x14ac:dyDescent="0.25">
      <c r="N625" s="9"/>
      <c r="P625" s="33"/>
      <c r="Q625" s="4"/>
      <c r="R625" s="4"/>
      <c r="S625" s="4"/>
      <c r="T625" s="4"/>
      <c r="U625" s="4"/>
      <c r="V625" s="4"/>
      <c r="X625" s="4"/>
      <c r="Y625" s="4"/>
      <c r="AA625" s="4"/>
      <c r="AB625" s="4"/>
      <c r="AC625" s="4"/>
      <c r="AD625" s="20"/>
    </row>
    <row r="626" spans="14:30" x14ac:dyDescent="0.25">
      <c r="N626" s="9"/>
      <c r="P626" s="33"/>
      <c r="Q626" s="4"/>
      <c r="R626" s="4"/>
      <c r="S626" s="4"/>
      <c r="T626" s="4"/>
      <c r="U626" s="4"/>
      <c r="V626" s="4"/>
      <c r="X626" s="4"/>
      <c r="Y626" s="4"/>
      <c r="AA626" s="4"/>
      <c r="AB626" s="4"/>
      <c r="AC626" s="4"/>
      <c r="AD626" s="20"/>
    </row>
    <row r="627" spans="14:30" x14ac:dyDescent="0.25">
      <c r="N627" s="9"/>
      <c r="P627" s="33"/>
      <c r="Q627" s="4"/>
      <c r="R627" s="4"/>
      <c r="S627" s="4"/>
      <c r="T627" s="4"/>
      <c r="U627" s="4"/>
      <c r="V627" s="4"/>
      <c r="X627" s="4"/>
      <c r="Y627" s="4"/>
      <c r="AA627" s="4"/>
      <c r="AB627" s="4"/>
      <c r="AC627" s="4"/>
      <c r="AD627" s="20"/>
    </row>
    <row r="628" spans="14:30" x14ac:dyDescent="0.25">
      <c r="N628" s="9"/>
      <c r="P628" s="33"/>
      <c r="Q628" s="4"/>
      <c r="R628" s="4"/>
      <c r="S628" s="4"/>
      <c r="T628" s="4"/>
      <c r="U628" s="4"/>
      <c r="V628" s="4"/>
      <c r="X628" s="4"/>
      <c r="Y628" s="4"/>
      <c r="AA628" s="4"/>
      <c r="AB628" s="4"/>
      <c r="AC628" s="4"/>
      <c r="AD628" s="20"/>
    </row>
    <row r="629" spans="14:30" x14ac:dyDescent="0.25">
      <c r="N629" s="9"/>
      <c r="P629" s="33"/>
      <c r="Q629" s="4"/>
      <c r="R629" s="4"/>
      <c r="S629" s="4"/>
      <c r="T629" s="4"/>
      <c r="U629" s="4"/>
      <c r="V629" s="4"/>
      <c r="X629" s="4"/>
      <c r="Y629" s="4"/>
      <c r="AA629" s="4"/>
      <c r="AB629" s="4"/>
      <c r="AC629" s="4"/>
      <c r="AD629" s="20"/>
    </row>
    <row r="630" spans="14:30" x14ac:dyDescent="0.25">
      <c r="N630" s="9"/>
      <c r="P630" s="33"/>
      <c r="Q630" s="4"/>
      <c r="R630" s="4"/>
      <c r="S630" s="4"/>
      <c r="T630" s="4"/>
      <c r="U630" s="4"/>
      <c r="V630" s="4"/>
      <c r="X630" s="4"/>
      <c r="Y630" s="4"/>
      <c r="AA630" s="4"/>
      <c r="AB630" s="4"/>
      <c r="AC630" s="4"/>
      <c r="AD630" s="20"/>
    </row>
    <row r="631" spans="14:30" x14ac:dyDescent="0.25">
      <c r="N631" s="9"/>
      <c r="P631" s="33"/>
      <c r="Q631" s="4"/>
      <c r="R631" s="4"/>
      <c r="S631" s="4"/>
      <c r="T631" s="4"/>
      <c r="U631" s="4"/>
      <c r="V631" s="4"/>
      <c r="X631" s="4"/>
      <c r="Y631" s="4"/>
      <c r="AA631" s="4"/>
      <c r="AB631" s="4"/>
      <c r="AC631" s="4"/>
      <c r="AD631" s="20"/>
    </row>
    <row r="632" spans="14:30" x14ac:dyDescent="0.25">
      <c r="N632" s="9"/>
      <c r="P632" s="33"/>
      <c r="Q632" s="4"/>
      <c r="R632" s="4"/>
      <c r="S632" s="4"/>
      <c r="T632" s="4"/>
      <c r="U632" s="4"/>
      <c r="V632" s="4"/>
      <c r="X632" s="4"/>
      <c r="Y632" s="4"/>
      <c r="AA632" s="4"/>
      <c r="AB632" s="4"/>
      <c r="AC632" s="4"/>
      <c r="AD632" s="20"/>
    </row>
    <row r="633" spans="14:30" x14ac:dyDescent="0.25">
      <c r="N633" s="9"/>
      <c r="P633" s="33"/>
      <c r="Q633" s="4"/>
      <c r="R633" s="4"/>
      <c r="S633" s="4"/>
      <c r="T633" s="4"/>
      <c r="U633" s="4"/>
      <c r="V633" s="4"/>
      <c r="X633" s="4"/>
      <c r="Y633" s="4"/>
      <c r="AA633" s="4"/>
      <c r="AB633" s="4"/>
      <c r="AC633" s="4"/>
      <c r="AD633" s="20"/>
    </row>
    <row r="634" spans="14:30" x14ac:dyDescent="0.25">
      <c r="N634" s="9"/>
      <c r="P634" s="33"/>
      <c r="Q634" s="4"/>
      <c r="R634" s="4"/>
      <c r="S634" s="4"/>
      <c r="T634" s="4"/>
      <c r="U634" s="4"/>
      <c r="V634" s="4"/>
      <c r="X634" s="4"/>
      <c r="Y634" s="4"/>
      <c r="AA634" s="4"/>
      <c r="AB634" s="4"/>
      <c r="AC634" s="4"/>
      <c r="AD634" s="20"/>
    </row>
    <row r="635" spans="14:30" x14ac:dyDescent="0.25">
      <c r="N635" s="9"/>
      <c r="P635" s="33"/>
      <c r="Q635" s="4"/>
      <c r="R635" s="4"/>
      <c r="S635" s="4"/>
      <c r="T635" s="4"/>
      <c r="U635" s="4"/>
      <c r="V635" s="4"/>
      <c r="X635" s="4"/>
      <c r="Y635" s="4"/>
      <c r="AA635" s="4"/>
      <c r="AB635" s="4"/>
      <c r="AC635" s="4"/>
      <c r="AD635" s="20"/>
    </row>
    <row r="636" spans="14:30" x14ac:dyDescent="0.25">
      <c r="N636" s="9"/>
      <c r="P636" s="33"/>
      <c r="Q636" s="4"/>
      <c r="R636" s="4"/>
      <c r="S636" s="4"/>
      <c r="T636" s="4"/>
      <c r="U636" s="4"/>
      <c r="V636" s="4"/>
      <c r="X636" s="4"/>
      <c r="Y636" s="4"/>
      <c r="AA636" s="4"/>
      <c r="AB636" s="4"/>
      <c r="AC636" s="4"/>
      <c r="AD636" s="20"/>
    </row>
    <row r="637" spans="14:30" x14ac:dyDescent="0.25">
      <c r="N637" s="9"/>
      <c r="P637" s="33"/>
      <c r="Q637" s="4"/>
      <c r="R637" s="4"/>
      <c r="S637" s="4"/>
      <c r="T637" s="4"/>
      <c r="U637" s="4"/>
      <c r="V637" s="4"/>
      <c r="X637" s="4"/>
      <c r="Y637" s="4"/>
      <c r="AA637" s="4"/>
      <c r="AB637" s="4"/>
      <c r="AC637" s="4"/>
      <c r="AD637" s="20"/>
    </row>
    <row r="638" spans="14:30" x14ac:dyDescent="0.25">
      <c r="N638" s="9"/>
      <c r="P638" s="33"/>
      <c r="Q638" s="4"/>
      <c r="R638" s="4"/>
      <c r="S638" s="4"/>
      <c r="T638" s="4"/>
      <c r="U638" s="4"/>
      <c r="V638" s="4"/>
      <c r="X638" s="4"/>
      <c r="Y638" s="4"/>
      <c r="AA638" s="4"/>
      <c r="AB638" s="4"/>
      <c r="AC638" s="4"/>
      <c r="AD638" s="20"/>
    </row>
    <row r="639" spans="14:30" x14ac:dyDescent="0.25">
      <c r="N639" s="9"/>
      <c r="P639" s="33"/>
      <c r="Q639" s="4"/>
      <c r="R639" s="4"/>
      <c r="S639" s="4"/>
      <c r="T639" s="4"/>
      <c r="U639" s="4"/>
      <c r="V639" s="4"/>
      <c r="X639" s="4"/>
      <c r="Y639" s="4"/>
      <c r="AA639" s="4"/>
      <c r="AB639" s="4"/>
      <c r="AC639" s="4"/>
      <c r="AD639" s="20"/>
    </row>
    <row r="640" spans="14:30" x14ac:dyDescent="0.25">
      <c r="N640" s="9"/>
      <c r="P640" s="33"/>
      <c r="Q640" s="4"/>
      <c r="R640" s="4"/>
      <c r="S640" s="4"/>
      <c r="T640" s="4"/>
      <c r="U640" s="4"/>
      <c r="V640" s="4"/>
      <c r="X640" s="4"/>
      <c r="Y640" s="4"/>
      <c r="AA640" s="4"/>
      <c r="AB640" s="4"/>
      <c r="AC640" s="4"/>
      <c r="AD640" s="20"/>
    </row>
    <row r="641" spans="14:30" x14ac:dyDescent="0.25">
      <c r="N641" s="9"/>
      <c r="P641" s="33"/>
      <c r="Q641" s="4"/>
      <c r="R641" s="4"/>
      <c r="S641" s="4"/>
      <c r="T641" s="4"/>
      <c r="U641" s="4"/>
      <c r="V641" s="4"/>
      <c r="X641" s="4"/>
      <c r="Y641" s="4"/>
      <c r="AA641" s="4"/>
      <c r="AB641" s="4"/>
      <c r="AC641" s="4"/>
      <c r="AD641" s="20"/>
    </row>
    <row r="642" spans="14:30" x14ac:dyDescent="0.25">
      <c r="N642" s="9"/>
      <c r="P642" s="33"/>
      <c r="Q642" s="4"/>
      <c r="R642" s="4"/>
      <c r="S642" s="4"/>
      <c r="T642" s="4"/>
      <c r="U642" s="4"/>
      <c r="V642" s="4"/>
      <c r="X642" s="4"/>
      <c r="Y642" s="4"/>
      <c r="AA642" s="4"/>
      <c r="AB642" s="4"/>
      <c r="AC642" s="4"/>
      <c r="AD642" s="20"/>
    </row>
    <row r="643" spans="14:30" x14ac:dyDescent="0.25">
      <c r="N643" s="9"/>
      <c r="P643" s="33"/>
      <c r="Q643" s="4"/>
      <c r="R643" s="4"/>
      <c r="S643" s="4"/>
      <c r="T643" s="4"/>
      <c r="U643" s="4"/>
      <c r="V643" s="4"/>
      <c r="X643" s="4"/>
      <c r="Y643" s="4"/>
      <c r="AA643" s="4"/>
      <c r="AB643" s="4"/>
      <c r="AC643" s="4"/>
      <c r="AD643" s="20"/>
    </row>
    <row r="644" spans="14:30" x14ac:dyDescent="0.25">
      <c r="N644" s="9"/>
      <c r="P644" s="33"/>
      <c r="Q644" s="4"/>
      <c r="R644" s="4"/>
      <c r="S644" s="4"/>
      <c r="T644" s="4"/>
      <c r="U644" s="4"/>
      <c r="V644" s="4"/>
      <c r="X644" s="4"/>
      <c r="Y644" s="4"/>
      <c r="AA644" s="4"/>
      <c r="AB644" s="4"/>
      <c r="AC644" s="4"/>
      <c r="AD644" s="20"/>
    </row>
    <row r="645" spans="14:30" x14ac:dyDescent="0.25">
      <c r="N645" s="9"/>
      <c r="P645" s="33"/>
      <c r="Q645" s="4"/>
      <c r="R645" s="4"/>
      <c r="S645" s="4"/>
      <c r="T645" s="4"/>
      <c r="U645" s="4"/>
      <c r="V645" s="4"/>
      <c r="X645" s="4"/>
      <c r="Y645" s="4"/>
      <c r="AA645" s="4"/>
      <c r="AB645" s="4"/>
      <c r="AC645" s="4"/>
      <c r="AD645" s="20"/>
    </row>
    <row r="646" spans="14:30" x14ac:dyDescent="0.25">
      <c r="N646" s="9"/>
      <c r="P646" s="33"/>
      <c r="Q646" s="4"/>
      <c r="R646" s="4"/>
      <c r="S646" s="4"/>
      <c r="T646" s="4"/>
      <c r="U646" s="4"/>
      <c r="V646" s="4"/>
      <c r="X646" s="4"/>
      <c r="Y646" s="4"/>
      <c r="AA646" s="4"/>
      <c r="AB646" s="4"/>
      <c r="AC646" s="4"/>
      <c r="AD646" s="20"/>
    </row>
    <row r="647" spans="14:30" x14ac:dyDescent="0.25">
      <c r="N647" s="9"/>
      <c r="P647" s="33"/>
      <c r="Q647" s="4"/>
      <c r="R647" s="4"/>
      <c r="S647" s="4"/>
      <c r="T647" s="4"/>
      <c r="U647" s="4"/>
      <c r="V647" s="4"/>
      <c r="X647" s="4"/>
      <c r="Y647" s="4"/>
      <c r="AA647" s="4"/>
      <c r="AB647" s="4"/>
      <c r="AC647" s="4"/>
      <c r="AD647" s="20"/>
    </row>
    <row r="648" spans="14:30" x14ac:dyDescent="0.25">
      <c r="N648" s="9"/>
      <c r="P648" s="33"/>
      <c r="Q648" s="4"/>
      <c r="R648" s="4"/>
      <c r="S648" s="4"/>
      <c r="T648" s="4"/>
      <c r="U648" s="4"/>
      <c r="V648" s="4"/>
      <c r="X648" s="4"/>
      <c r="Y648" s="4"/>
      <c r="AA648" s="4"/>
      <c r="AB648" s="4"/>
      <c r="AC648" s="4"/>
      <c r="AD648" s="20"/>
    </row>
    <row r="649" spans="14:30" x14ac:dyDescent="0.25">
      <c r="N649" s="9"/>
      <c r="P649" s="33"/>
      <c r="Q649" s="4"/>
      <c r="R649" s="4"/>
      <c r="S649" s="4"/>
      <c r="T649" s="4"/>
      <c r="U649" s="4"/>
      <c r="V649" s="4"/>
      <c r="X649" s="4"/>
      <c r="Y649" s="4"/>
      <c r="AA649" s="4"/>
      <c r="AB649" s="4"/>
      <c r="AC649" s="4"/>
      <c r="AD649" s="20"/>
    </row>
    <row r="650" spans="14:30" x14ac:dyDescent="0.25">
      <c r="N650" s="9"/>
      <c r="P650" s="33"/>
      <c r="Q650" s="4"/>
      <c r="R650" s="4"/>
      <c r="S650" s="4"/>
      <c r="T650" s="4"/>
      <c r="U650" s="4"/>
      <c r="V650" s="4"/>
      <c r="X650" s="4"/>
      <c r="Y650" s="4"/>
      <c r="AA650" s="4"/>
      <c r="AB650" s="4"/>
      <c r="AC650" s="4"/>
      <c r="AD650" s="20"/>
    </row>
    <row r="651" spans="14:30" x14ac:dyDescent="0.25">
      <c r="N651" s="9"/>
      <c r="P651" s="33"/>
      <c r="Q651" s="4"/>
      <c r="R651" s="4"/>
      <c r="S651" s="4"/>
      <c r="T651" s="4"/>
      <c r="U651" s="4"/>
      <c r="V651" s="4"/>
      <c r="X651" s="4"/>
      <c r="Y651" s="4"/>
      <c r="AA651" s="4"/>
      <c r="AB651" s="4"/>
      <c r="AC651" s="4"/>
      <c r="AD651" s="20"/>
    </row>
    <row r="652" spans="14:30" x14ac:dyDescent="0.25">
      <c r="N652" s="9"/>
      <c r="P652" s="33"/>
      <c r="Q652" s="4"/>
      <c r="R652" s="4"/>
      <c r="S652" s="4"/>
      <c r="T652" s="4"/>
      <c r="U652" s="4"/>
      <c r="V652" s="4"/>
      <c r="X652" s="4"/>
      <c r="Y652" s="4"/>
      <c r="AA652" s="4"/>
      <c r="AB652" s="4"/>
      <c r="AC652" s="4"/>
      <c r="AD652" s="20"/>
    </row>
    <row r="653" spans="14:30" x14ac:dyDescent="0.25">
      <c r="N653" s="9"/>
      <c r="P653" s="33"/>
      <c r="Q653" s="4"/>
      <c r="R653" s="4"/>
      <c r="S653" s="4"/>
      <c r="T653" s="4"/>
      <c r="U653" s="4"/>
      <c r="V653" s="4"/>
      <c r="X653" s="4"/>
      <c r="Y653" s="4"/>
      <c r="AA653" s="4"/>
      <c r="AB653" s="4"/>
      <c r="AC653" s="4"/>
      <c r="AD653" s="20"/>
    </row>
    <row r="654" spans="14:30" x14ac:dyDescent="0.25">
      <c r="N654" s="9"/>
      <c r="P654" s="33"/>
      <c r="Q654" s="4"/>
      <c r="R654" s="4"/>
      <c r="S654" s="4"/>
      <c r="T654" s="4"/>
      <c r="U654" s="4"/>
      <c r="V654" s="4"/>
      <c r="X654" s="4"/>
      <c r="Y654" s="4"/>
      <c r="AA654" s="4"/>
      <c r="AB654" s="4"/>
      <c r="AC654" s="4"/>
      <c r="AD654" s="20"/>
    </row>
    <row r="655" spans="14:30" x14ac:dyDescent="0.25">
      <c r="N655" s="9"/>
      <c r="P655" s="33"/>
      <c r="Q655" s="4"/>
      <c r="R655" s="4"/>
      <c r="S655" s="4"/>
      <c r="T655" s="4"/>
      <c r="U655" s="4"/>
      <c r="V655" s="4"/>
      <c r="X655" s="4"/>
      <c r="Y655" s="4"/>
      <c r="AA655" s="4"/>
      <c r="AB655" s="4"/>
      <c r="AC655" s="4"/>
      <c r="AD655" s="20"/>
    </row>
    <row r="656" spans="14:30" x14ac:dyDescent="0.25">
      <c r="N656" s="9"/>
      <c r="P656" s="33"/>
      <c r="Q656" s="4"/>
      <c r="R656" s="4"/>
      <c r="S656" s="4"/>
      <c r="T656" s="4"/>
      <c r="U656" s="4"/>
      <c r="V656" s="4"/>
      <c r="X656" s="4"/>
      <c r="Y656" s="4"/>
      <c r="AA656" s="4"/>
      <c r="AB656" s="4"/>
      <c r="AC656" s="4"/>
      <c r="AD656" s="20"/>
    </row>
    <row r="657" spans="14:30" x14ac:dyDescent="0.25">
      <c r="N657" s="9"/>
      <c r="P657" s="33"/>
      <c r="Q657" s="4"/>
      <c r="R657" s="4"/>
      <c r="S657" s="4"/>
      <c r="T657" s="4"/>
      <c r="U657" s="4"/>
      <c r="V657" s="4"/>
      <c r="X657" s="4"/>
      <c r="Y657" s="4"/>
      <c r="AA657" s="4"/>
      <c r="AB657" s="4"/>
      <c r="AC657" s="4"/>
      <c r="AD657" s="20"/>
    </row>
    <row r="658" spans="14:30" x14ac:dyDescent="0.25">
      <c r="N658" s="9"/>
      <c r="P658" s="33"/>
      <c r="Q658" s="4"/>
      <c r="R658" s="4"/>
      <c r="S658" s="4"/>
      <c r="T658" s="4"/>
      <c r="U658" s="4"/>
      <c r="V658" s="4"/>
      <c r="X658" s="4"/>
      <c r="Y658" s="4"/>
      <c r="AA658" s="4"/>
      <c r="AB658" s="4"/>
      <c r="AC658" s="4"/>
      <c r="AD658" s="20"/>
    </row>
    <row r="659" spans="14:30" x14ac:dyDescent="0.25">
      <c r="N659" s="9"/>
      <c r="P659" s="33"/>
      <c r="Q659" s="4"/>
      <c r="R659" s="4"/>
      <c r="S659" s="4"/>
      <c r="T659" s="4"/>
      <c r="U659" s="4"/>
      <c r="V659" s="4"/>
      <c r="X659" s="4"/>
      <c r="Y659" s="4"/>
      <c r="AA659" s="4"/>
      <c r="AB659" s="4"/>
      <c r="AC659" s="4"/>
      <c r="AD659" s="20"/>
    </row>
    <row r="660" spans="14:30" x14ac:dyDescent="0.25">
      <c r="N660" s="9"/>
      <c r="P660" s="33"/>
      <c r="Q660" s="4"/>
      <c r="R660" s="4"/>
      <c r="S660" s="4"/>
      <c r="T660" s="4"/>
      <c r="U660" s="4"/>
      <c r="V660" s="4"/>
      <c r="X660" s="4"/>
      <c r="Y660" s="4"/>
      <c r="AA660" s="4"/>
      <c r="AB660" s="4"/>
      <c r="AC660" s="4"/>
      <c r="AD660" s="20"/>
    </row>
    <row r="661" spans="14:30" x14ac:dyDescent="0.25">
      <c r="N661" s="9"/>
      <c r="P661" s="33"/>
      <c r="Q661" s="4"/>
      <c r="R661" s="4"/>
      <c r="S661" s="4"/>
      <c r="T661" s="4"/>
      <c r="U661" s="4"/>
      <c r="V661" s="4"/>
      <c r="X661" s="4"/>
      <c r="Y661" s="4"/>
      <c r="AA661" s="4"/>
      <c r="AB661" s="4"/>
      <c r="AC661" s="4"/>
      <c r="AD661" s="20"/>
    </row>
    <row r="662" spans="14:30" x14ac:dyDescent="0.25">
      <c r="N662" s="9"/>
      <c r="P662" s="33"/>
      <c r="Q662" s="4"/>
      <c r="R662" s="4"/>
      <c r="S662" s="4"/>
      <c r="T662" s="4"/>
      <c r="U662" s="4"/>
      <c r="V662" s="4"/>
      <c r="X662" s="4"/>
      <c r="Y662" s="4"/>
      <c r="AA662" s="4"/>
      <c r="AB662" s="4"/>
      <c r="AC662" s="4"/>
      <c r="AD662" s="20"/>
    </row>
    <row r="663" spans="14:30" x14ac:dyDescent="0.25">
      <c r="N663" s="9"/>
      <c r="P663" s="33"/>
      <c r="Q663" s="4"/>
      <c r="R663" s="4"/>
      <c r="S663" s="4"/>
      <c r="T663" s="4"/>
      <c r="U663" s="4"/>
      <c r="V663" s="4"/>
      <c r="X663" s="4"/>
      <c r="Y663" s="4"/>
      <c r="AA663" s="4"/>
      <c r="AB663" s="4"/>
      <c r="AC663" s="4"/>
      <c r="AD663" s="20"/>
    </row>
    <row r="664" spans="14:30" x14ac:dyDescent="0.25">
      <c r="N664" s="9"/>
      <c r="P664" s="33"/>
      <c r="Q664" s="4"/>
      <c r="R664" s="4"/>
      <c r="S664" s="4"/>
      <c r="T664" s="4"/>
      <c r="U664" s="4"/>
      <c r="V664" s="4"/>
      <c r="X664" s="4"/>
      <c r="Y664" s="4"/>
      <c r="AA664" s="4"/>
      <c r="AB664" s="4"/>
      <c r="AC664" s="4"/>
      <c r="AD664" s="20"/>
    </row>
    <row r="665" spans="14:30" x14ac:dyDescent="0.25">
      <c r="N665" s="9"/>
      <c r="P665" s="33"/>
      <c r="Q665" s="4"/>
      <c r="R665" s="4"/>
      <c r="S665" s="4"/>
      <c r="T665" s="4"/>
      <c r="U665" s="4"/>
      <c r="V665" s="4"/>
      <c r="X665" s="4"/>
      <c r="Y665" s="4"/>
      <c r="AA665" s="4"/>
      <c r="AB665" s="4"/>
      <c r="AC665" s="4"/>
      <c r="AD665" s="20"/>
    </row>
    <row r="666" spans="14:30" x14ac:dyDescent="0.25">
      <c r="N666" s="9"/>
      <c r="P666" s="33"/>
      <c r="Q666" s="4"/>
      <c r="R666" s="4"/>
      <c r="S666" s="4"/>
      <c r="T666" s="4"/>
      <c r="U666" s="4"/>
      <c r="V666" s="4"/>
      <c r="X666" s="4"/>
      <c r="Y666" s="4"/>
      <c r="AA666" s="4"/>
      <c r="AB666" s="4"/>
      <c r="AC666" s="4"/>
      <c r="AD666" s="20"/>
    </row>
    <row r="667" spans="14:30" x14ac:dyDescent="0.25">
      <c r="N667" s="9"/>
      <c r="P667" s="33"/>
      <c r="Q667" s="4"/>
      <c r="R667" s="4"/>
      <c r="S667" s="4"/>
      <c r="T667" s="4"/>
      <c r="U667" s="4"/>
      <c r="V667" s="4"/>
      <c r="X667" s="4"/>
      <c r="Y667" s="4"/>
      <c r="AA667" s="4"/>
      <c r="AB667" s="4"/>
      <c r="AC667" s="4"/>
      <c r="AD667" s="20"/>
    </row>
    <row r="668" spans="14:30" x14ac:dyDescent="0.25">
      <c r="N668" s="9"/>
      <c r="P668" s="33"/>
      <c r="Q668" s="4"/>
      <c r="R668" s="4"/>
      <c r="S668" s="4"/>
      <c r="T668" s="4"/>
      <c r="U668" s="4"/>
      <c r="V668" s="4"/>
      <c r="X668" s="4"/>
      <c r="Y668" s="4"/>
      <c r="AA668" s="4"/>
      <c r="AB668" s="4"/>
      <c r="AC668" s="4"/>
      <c r="AD668" s="20"/>
    </row>
    <row r="669" spans="14:30" x14ac:dyDescent="0.25">
      <c r="N669" s="9"/>
      <c r="P669" s="33"/>
      <c r="Q669" s="4"/>
      <c r="R669" s="4"/>
      <c r="S669" s="4"/>
      <c r="T669" s="4"/>
      <c r="U669" s="4"/>
      <c r="V669" s="4"/>
      <c r="X669" s="4"/>
      <c r="Y669" s="4"/>
      <c r="AA669" s="4"/>
      <c r="AB669" s="4"/>
      <c r="AC669" s="4"/>
      <c r="AD669" s="20"/>
    </row>
    <row r="670" spans="14:30" x14ac:dyDescent="0.25">
      <c r="N670" s="9"/>
      <c r="P670" s="33"/>
      <c r="Q670" s="4"/>
      <c r="R670" s="4"/>
      <c r="S670" s="4"/>
      <c r="T670" s="4"/>
      <c r="U670" s="4"/>
      <c r="V670" s="4"/>
      <c r="X670" s="4"/>
      <c r="Y670" s="4"/>
      <c r="AA670" s="4"/>
      <c r="AB670" s="4"/>
      <c r="AC670" s="4"/>
      <c r="AD670" s="20"/>
    </row>
    <row r="671" spans="14:30" x14ac:dyDescent="0.25">
      <c r="N671" s="9"/>
      <c r="P671" s="33"/>
      <c r="Q671" s="4"/>
      <c r="R671" s="4"/>
      <c r="S671" s="4"/>
      <c r="T671" s="4"/>
      <c r="U671" s="4"/>
      <c r="V671" s="4"/>
      <c r="X671" s="4"/>
      <c r="Y671" s="4"/>
      <c r="AA671" s="4"/>
      <c r="AB671" s="4"/>
      <c r="AC671" s="4"/>
      <c r="AD671" s="20"/>
    </row>
    <row r="672" spans="14:30" x14ac:dyDescent="0.25">
      <c r="N672" s="9"/>
      <c r="P672" s="33"/>
      <c r="Q672" s="4"/>
      <c r="R672" s="4"/>
      <c r="S672" s="4"/>
      <c r="T672" s="4"/>
      <c r="U672" s="4"/>
      <c r="V672" s="4"/>
      <c r="X672" s="4"/>
      <c r="Y672" s="4"/>
      <c r="AA672" s="4"/>
      <c r="AB672" s="4"/>
      <c r="AC672" s="4"/>
      <c r="AD672" s="20"/>
    </row>
    <row r="673" spans="14:30" x14ac:dyDescent="0.25">
      <c r="N673" s="9"/>
      <c r="P673" s="33"/>
      <c r="Q673" s="4"/>
      <c r="R673" s="4"/>
      <c r="S673" s="4"/>
      <c r="T673" s="4"/>
      <c r="U673" s="4"/>
      <c r="V673" s="4"/>
      <c r="X673" s="4"/>
      <c r="Y673" s="4"/>
      <c r="AA673" s="4"/>
      <c r="AB673" s="4"/>
      <c r="AC673" s="4"/>
      <c r="AD673" s="20"/>
    </row>
    <row r="674" spans="14:30" x14ac:dyDescent="0.25">
      <c r="N674" s="9"/>
      <c r="P674" s="33"/>
      <c r="Q674" s="4"/>
      <c r="R674" s="4"/>
      <c r="S674" s="4"/>
      <c r="T674" s="4"/>
      <c r="U674" s="4"/>
      <c r="V674" s="4"/>
      <c r="X674" s="4"/>
      <c r="Y674" s="4"/>
      <c r="AA674" s="4"/>
      <c r="AB674" s="4"/>
      <c r="AC674" s="4"/>
      <c r="AD674" s="20"/>
    </row>
    <row r="675" spans="14:30" x14ac:dyDescent="0.25">
      <c r="N675" s="9"/>
      <c r="P675" s="33"/>
      <c r="Q675" s="4"/>
      <c r="R675" s="4"/>
      <c r="S675" s="4"/>
      <c r="T675" s="4"/>
      <c r="U675" s="4"/>
      <c r="V675" s="4"/>
      <c r="X675" s="4"/>
      <c r="Y675" s="4"/>
      <c r="AA675" s="4"/>
      <c r="AB675" s="4"/>
      <c r="AC675" s="4"/>
      <c r="AD675" s="20"/>
    </row>
    <row r="676" spans="14:30" x14ac:dyDescent="0.25">
      <c r="N676" s="9"/>
      <c r="P676" s="33"/>
      <c r="Q676" s="4"/>
      <c r="R676" s="4"/>
      <c r="S676" s="4"/>
      <c r="T676" s="4"/>
      <c r="U676" s="4"/>
      <c r="V676" s="4"/>
      <c r="X676" s="4"/>
      <c r="Y676" s="4"/>
      <c r="AA676" s="4"/>
      <c r="AB676" s="4"/>
      <c r="AC676" s="4"/>
      <c r="AD676" s="20"/>
    </row>
    <row r="677" spans="14:30" x14ac:dyDescent="0.25">
      <c r="N677" s="9"/>
      <c r="P677" s="33"/>
      <c r="Q677" s="4"/>
      <c r="R677" s="4"/>
      <c r="S677" s="4"/>
      <c r="T677" s="4"/>
      <c r="U677" s="4"/>
      <c r="V677" s="4"/>
      <c r="X677" s="4"/>
      <c r="Y677" s="4"/>
      <c r="AA677" s="4"/>
      <c r="AB677" s="4"/>
      <c r="AC677" s="4"/>
      <c r="AD677" s="20"/>
    </row>
    <row r="678" spans="14:30" x14ac:dyDescent="0.25">
      <c r="N678" s="9"/>
      <c r="P678" s="33"/>
      <c r="Q678" s="4"/>
      <c r="R678" s="4"/>
      <c r="S678" s="4"/>
      <c r="T678" s="4"/>
      <c r="U678" s="4"/>
      <c r="V678" s="4"/>
      <c r="X678" s="4"/>
      <c r="Y678" s="4"/>
      <c r="AA678" s="4"/>
      <c r="AB678" s="4"/>
      <c r="AC678" s="4"/>
      <c r="AD678" s="20"/>
    </row>
    <row r="679" spans="14:30" x14ac:dyDescent="0.25">
      <c r="N679" s="9"/>
      <c r="P679" s="33"/>
      <c r="Q679" s="4"/>
      <c r="R679" s="4"/>
      <c r="S679" s="4"/>
      <c r="T679" s="4"/>
      <c r="U679" s="4"/>
      <c r="V679" s="4"/>
      <c r="X679" s="4"/>
      <c r="Y679" s="4"/>
      <c r="AA679" s="4"/>
      <c r="AB679" s="4"/>
      <c r="AC679" s="4"/>
      <c r="AD679" s="20"/>
    </row>
    <row r="680" spans="14:30" x14ac:dyDescent="0.25">
      <c r="N680" s="9"/>
      <c r="P680" s="33"/>
      <c r="Q680" s="4"/>
      <c r="R680" s="4"/>
      <c r="S680" s="4"/>
      <c r="T680" s="4"/>
      <c r="U680" s="4"/>
      <c r="V680" s="4"/>
      <c r="X680" s="4"/>
      <c r="Y680" s="4"/>
      <c r="AA680" s="4"/>
      <c r="AB680" s="4"/>
      <c r="AC680" s="4"/>
      <c r="AD680" s="20"/>
    </row>
    <row r="681" spans="14:30" x14ac:dyDescent="0.25">
      <c r="N681" s="9"/>
      <c r="P681" s="33"/>
      <c r="Q681" s="4"/>
      <c r="R681" s="4"/>
      <c r="S681" s="4"/>
      <c r="T681" s="4"/>
      <c r="U681" s="4"/>
      <c r="V681" s="4"/>
      <c r="X681" s="4"/>
      <c r="Y681" s="4"/>
      <c r="AA681" s="4"/>
      <c r="AB681" s="4"/>
      <c r="AC681" s="4"/>
      <c r="AD681" s="20"/>
    </row>
    <row r="682" spans="14:30" x14ac:dyDescent="0.25">
      <c r="N682" s="9"/>
      <c r="P682" s="33"/>
      <c r="Q682" s="4"/>
      <c r="R682" s="4"/>
      <c r="S682" s="4"/>
      <c r="T682" s="4"/>
      <c r="U682" s="4"/>
      <c r="V682" s="4"/>
      <c r="X682" s="4"/>
      <c r="Y682" s="4"/>
      <c r="AA682" s="4"/>
      <c r="AB682" s="4"/>
      <c r="AC682" s="4"/>
      <c r="AD682" s="20"/>
    </row>
    <row r="683" spans="14:30" x14ac:dyDescent="0.25">
      <c r="N683" s="9"/>
      <c r="P683" s="33"/>
      <c r="Q683" s="4"/>
      <c r="R683" s="4"/>
      <c r="S683" s="4"/>
      <c r="T683" s="4"/>
      <c r="U683" s="4"/>
      <c r="V683" s="4"/>
      <c r="X683" s="4"/>
      <c r="Y683" s="4"/>
      <c r="AA683" s="4"/>
      <c r="AB683" s="4"/>
      <c r="AC683" s="4"/>
      <c r="AD683" s="20"/>
    </row>
    <row r="684" spans="14:30" x14ac:dyDescent="0.25">
      <c r="N684" s="9"/>
      <c r="P684" s="33"/>
      <c r="Q684" s="4"/>
      <c r="R684" s="4"/>
      <c r="S684" s="4"/>
      <c r="T684" s="4"/>
      <c r="U684" s="4"/>
      <c r="V684" s="4"/>
      <c r="X684" s="4"/>
      <c r="Y684" s="4"/>
      <c r="AA684" s="4"/>
      <c r="AB684" s="4"/>
      <c r="AC684" s="4"/>
      <c r="AD684" s="20"/>
    </row>
    <row r="685" spans="14:30" x14ac:dyDescent="0.25">
      <c r="N685" s="9"/>
      <c r="P685" s="33"/>
      <c r="Q685" s="4"/>
      <c r="R685" s="4"/>
      <c r="S685" s="4"/>
      <c r="T685" s="4"/>
      <c r="U685" s="4"/>
      <c r="V685" s="4"/>
      <c r="X685" s="4"/>
      <c r="Y685" s="4"/>
      <c r="AA685" s="4"/>
      <c r="AB685" s="4"/>
      <c r="AC685" s="4"/>
      <c r="AD685" s="20"/>
    </row>
    <row r="686" spans="14:30" x14ac:dyDescent="0.25">
      <c r="N686" s="9"/>
      <c r="P686" s="33"/>
      <c r="Q686" s="4"/>
      <c r="R686" s="4"/>
      <c r="S686" s="4"/>
      <c r="T686" s="4"/>
      <c r="U686" s="4"/>
      <c r="V686" s="4"/>
      <c r="X686" s="4"/>
      <c r="Y686" s="4"/>
      <c r="AA686" s="4"/>
      <c r="AB686" s="4"/>
      <c r="AC686" s="4"/>
      <c r="AD686" s="20"/>
    </row>
    <row r="687" spans="14:30" x14ac:dyDescent="0.25">
      <c r="N687" s="9"/>
      <c r="P687" s="33"/>
      <c r="Q687" s="4"/>
      <c r="R687" s="4"/>
      <c r="S687" s="4"/>
      <c r="T687" s="4"/>
      <c r="U687" s="4"/>
      <c r="V687" s="4"/>
      <c r="X687" s="4"/>
      <c r="Y687" s="4"/>
      <c r="AA687" s="4"/>
      <c r="AB687" s="4"/>
      <c r="AC687" s="4"/>
      <c r="AD687" s="20"/>
    </row>
    <row r="688" spans="14:30" x14ac:dyDescent="0.25">
      <c r="N688" s="9"/>
      <c r="P688" s="33"/>
      <c r="Q688" s="4"/>
      <c r="R688" s="4"/>
      <c r="S688" s="4"/>
      <c r="T688" s="4"/>
      <c r="U688" s="4"/>
      <c r="V688" s="4"/>
      <c r="X688" s="4"/>
      <c r="Y688" s="4"/>
      <c r="AA688" s="4"/>
      <c r="AB688" s="4"/>
      <c r="AC688" s="4"/>
      <c r="AD688" s="20"/>
    </row>
    <row r="689" spans="14:30" x14ac:dyDescent="0.25">
      <c r="N689" s="9"/>
      <c r="P689" s="33"/>
      <c r="Q689" s="4"/>
      <c r="R689" s="4"/>
      <c r="S689" s="4"/>
      <c r="T689" s="4"/>
      <c r="U689" s="4"/>
      <c r="V689" s="4"/>
      <c r="X689" s="4"/>
      <c r="Y689" s="4"/>
      <c r="AA689" s="4"/>
      <c r="AB689" s="4"/>
      <c r="AC689" s="4"/>
      <c r="AD689" s="20"/>
    </row>
    <row r="690" spans="14:30" x14ac:dyDescent="0.25">
      <c r="N690" s="9"/>
      <c r="P690" s="33"/>
      <c r="Q690" s="4"/>
      <c r="R690" s="4"/>
      <c r="S690" s="4"/>
      <c r="T690" s="4"/>
      <c r="U690" s="4"/>
      <c r="V690" s="4"/>
      <c r="X690" s="4"/>
      <c r="Y690" s="4"/>
      <c r="AA690" s="4"/>
      <c r="AB690" s="4"/>
      <c r="AC690" s="4"/>
      <c r="AD690" s="20"/>
    </row>
    <row r="691" spans="14:30" x14ac:dyDescent="0.25">
      <c r="N691" s="9"/>
      <c r="P691" s="33"/>
      <c r="Q691" s="4"/>
      <c r="R691" s="4"/>
      <c r="S691" s="4"/>
      <c r="T691" s="4"/>
      <c r="U691" s="4"/>
      <c r="V691" s="4"/>
      <c r="X691" s="4"/>
      <c r="Y691" s="4"/>
      <c r="AA691" s="4"/>
      <c r="AB691" s="4"/>
      <c r="AC691" s="4"/>
      <c r="AD691" s="20"/>
    </row>
    <row r="692" spans="14:30" x14ac:dyDescent="0.25">
      <c r="N692" s="9"/>
      <c r="P692" s="33"/>
      <c r="Q692" s="4"/>
      <c r="R692" s="4"/>
      <c r="S692" s="4"/>
      <c r="T692" s="4"/>
      <c r="U692" s="4"/>
      <c r="V692" s="4"/>
      <c r="X692" s="4"/>
      <c r="Y692" s="4"/>
      <c r="AA692" s="4"/>
      <c r="AB692" s="4"/>
      <c r="AC692" s="4"/>
      <c r="AD692" s="20"/>
    </row>
    <row r="693" spans="14:30" x14ac:dyDescent="0.25">
      <c r="N693" s="9"/>
      <c r="P693" s="33"/>
      <c r="Q693" s="4"/>
      <c r="R693" s="4"/>
      <c r="S693" s="4"/>
      <c r="T693" s="4"/>
      <c r="U693" s="4"/>
      <c r="V693" s="4"/>
      <c r="X693" s="4"/>
      <c r="Y693" s="4"/>
      <c r="AA693" s="4"/>
      <c r="AB693" s="4"/>
      <c r="AC693" s="4"/>
      <c r="AD693" s="20"/>
    </row>
    <row r="694" spans="14:30" x14ac:dyDescent="0.25">
      <c r="N694" s="9"/>
      <c r="P694" s="33"/>
      <c r="Q694" s="4"/>
      <c r="R694" s="4"/>
      <c r="S694" s="4"/>
      <c r="T694" s="4"/>
      <c r="U694" s="4"/>
      <c r="V694" s="4"/>
      <c r="X694" s="4"/>
      <c r="Y694" s="4"/>
      <c r="AA694" s="4"/>
      <c r="AB694" s="4"/>
      <c r="AC694" s="4"/>
      <c r="AD694" s="20"/>
    </row>
    <row r="695" spans="14:30" x14ac:dyDescent="0.25">
      <c r="N695" s="9"/>
      <c r="P695" s="33"/>
      <c r="Q695" s="4"/>
      <c r="R695" s="4"/>
      <c r="S695" s="4"/>
      <c r="T695" s="4"/>
      <c r="U695" s="4"/>
      <c r="V695" s="4"/>
      <c r="X695" s="4"/>
      <c r="Y695" s="4"/>
      <c r="AA695" s="4"/>
      <c r="AB695" s="4"/>
      <c r="AC695" s="4"/>
      <c r="AD695" s="20"/>
    </row>
    <row r="696" spans="14:30" x14ac:dyDescent="0.25">
      <c r="N696" s="9"/>
      <c r="P696" s="33"/>
      <c r="Q696" s="4"/>
      <c r="R696" s="4"/>
      <c r="S696" s="4"/>
      <c r="T696" s="4"/>
      <c r="U696" s="4"/>
      <c r="V696" s="4"/>
      <c r="X696" s="4"/>
      <c r="Y696" s="4"/>
      <c r="AA696" s="4"/>
      <c r="AB696" s="4"/>
      <c r="AC696" s="4"/>
      <c r="AD696" s="20"/>
    </row>
    <row r="697" spans="14:30" x14ac:dyDescent="0.25">
      <c r="N697" s="9"/>
      <c r="P697" s="33"/>
      <c r="Q697" s="4"/>
      <c r="R697" s="4"/>
      <c r="S697" s="4"/>
      <c r="T697" s="4"/>
      <c r="U697" s="4"/>
      <c r="V697" s="4"/>
      <c r="X697" s="4"/>
      <c r="Y697" s="4"/>
      <c r="AA697" s="4"/>
      <c r="AB697" s="4"/>
      <c r="AC697" s="4"/>
      <c r="AD697" s="20"/>
    </row>
    <row r="698" spans="14:30" x14ac:dyDescent="0.25">
      <c r="N698" s="9"/>
      <c r="P698" s="33"/>
      <c r="Q698" s="4"/>
      <c r="R698" s="4"/>
      <c r="S698" s="4"/>
      <c r="T698" s="4"/>
      <c r="U698" s="4"/>
      <c r="V698" s="4"/>
      <c r="X698" s="4"/>
      <c r="Y698" s="4"/>
      <c r="AA698" s="4"/>
      <c r="AB698" s="4"/>
      <c r="AC698" s="4"/>
      <c r="AD698" s="20"/>
    </row>
    <row r="699" spans="14:30" x14ac:dyDescent="0.25">
      <c r="N699" s="9"/>
      <c r="P699" s="33"/>
      <c r="Q699" s="4"/>
      <c r="R699" s="4"/>
      <c r="S699" s="4"/>
      <c r="T699" s="4"/>
      <c r="U699" s="4"/>
      <c r="V699" s="4"/>
      <c r="X699" s="4"/>
      <c r="Y699" s="4"/>
      <c r="AA699" s="4"/>
      <c r="AB699" s="4"/>
      <c r="AC699" s="4"/>
      <c r="AD699" s="20"/>
    </row>
    <row r="700" spans="14:30" x14ac:dyDescent="0.25">
      <c r="N700" s="9"/>
      <c r="P700" s="33"/>
      <c r="Q700" s="4"/>
      <c r="R700" s="4"/>
      <c r="S700" s="4"/>
      <c r="T700" s="4"/>
      <c r="U700" s="4"/>
      <c r="V700" s="4"/>
      <c r="X700" s="4"/>
      <c r="Y700" s="4"/>
      <c r="AA700" s="4"/>
      <c r="AB700" s="4"/>
      <c r="AC700" s="4"/>
      <c r="AD700" s="20"/>
    </row>
    <row r="701" spans="14:30" x14ac:dyDescent="0.25">
      <c r="N701" s="9"/>
      <c r="P701" s="33"/>
      <c r="Q701" s="4"/>
      <c r="R701" s="4"/>
      <c r="S701" s="4"/>
      <c r="T701" s="4"/>
      <c r="U701" s="4"/>
      <c r="V701" s="4"/>
      <c r="X701" s="4"/>
      <c r="Y701" s="4"/>
      <c r="AA701" s="4"/>
      <c r="AB701" s="4"/>
      <c r="AC701" s="4"/>
      <c r="AD701" s="20"/>
    </row>
    <row r="702" spans="14:30" x14ac:dyDescent="0.25">
      <c r="N702" s="9"/>
      <c r="P702" s="33"/>
      <c r="Q702" s="4"/>
      <c r="R702" s="4"/>
      <c r="S702" s="4"/>
      <c r="T702" s="4"/>
      <c r="U702" s="4"/>
      <c r="V702" s="4"/>
      <c r="X702" s="4"/>
      <c r="Y702" s="4"/>
      <c r="AA702" s="4"/>
      <c r="AB702" s="4"/>
      <c r="AC702" s="4"/>
      <c r="AD702" s="20"/>
    </row>
    <row r="703" spans="14:30" x14ac:dyDescent="0.25">
      <c r="N703" s="9"/>
      <c r="P703" s="33"/>
      <c r="Q703" s="4"/>
      <c r="R703" s="4"/>
      <c r="S703" s="4"/>
      <c r="T703" s="4"/>
      <c r="U703" s="4"/>
      <c r="V703" s="4"/>
      <c r="X703" s="4"/>
      <c r="Y703" s="4"/>
      <c r="AA703" s="4"/>
      <c r="AB703" s="4"/>
      <c r="AC703" s="4"/>
      <c r="AD703" s="20"/>
    </row>
    <row r="704" spans="14:30" x14ac:dyDescent="0.25">
      <c r="N704" s="9"/>
      <c r="P704" s="33"/>
      <c r="Q704" s="4"/>
      <c r="R704" s="4"/>
      <c r="S704" s="4"/>
      <c r="T704" s="4"/>
      <c r="U704" s="4"/>
      <c r="V704" s="4"/>
      <c r="X704" s="4"/>
      <c r="Y704" s="4"/>
      <c r="AA704" s="4"/>
      <c r="AB704" s="4"/>
      <c r="AC704" s="4"/>
      <c r="AD704" s="20"/>
    </row>
    <row r="705" spans="14:30" x14ac:dyDescent="0.25">
      <c r="N705" s="9"/>
      <c r="P705" s="33"/>
      <c r="Q705" s="4"/>
      <c r="R705" s="4"/>
      <c r="S705" s="4"/>
      <c r="T705" s="4"/>
      <c r="U705" s="4"/>
      <c r="V705" s="4"/>
      <c r="X705" s="4"/>
      <c r="Y705" s="4"/>
      <c r="AA705" s="4"/>
      <c r="AB705" s="4"/>
      <c r="AC705" s="4"/>
      <c r="AD705" s="20"/>
    </row>
    <row r="706" spans="14:30" x14ac:dyDescent="0.25">
      <c r="N706" s="9"/>
      <c r="P706" s="33"/>
      <c r="Q706" s="4"/>
      <c r="R706" s="4"/>
      <c r="S706" s="4"/>
      <c r="T706" s="4"/>
      <c r="U706" s="4"/>
      <c r="V706" s="4"/>
      <c r="X706" s="4"/>
      <c r="Y706" s="4"/>
      <c r="AA706" s="4"/>
      <c r="AB706" s="4"/>
      <c r="AC706" s="4"/>
      <c r="AD706" s="20"/>
    </row>
    <row r="707" spans="14:30" x14ac:dyDescent="0.25">
      <c r="N707" s="9"/>
      <c r="P707" s="33"/>
      <c r="Q707" s="4"/>
      <c r="R707" s="4"/>
      <c r="S707" s="4"/>
      <c r="T707" s="4"/>
      <c r="U707" s="4"/>
      <c r="V707" s="4"/>
      <c r="X707" s="4"/>
      <c r="Y707" s="4"/>
      <c r="AA707" s="4"/>
      <c r="AB707" s="4"/>
      <c r="AC707" s="4"/>
      <c r="AD707" s="20"/>
    </row>
    <row r="708" spans="14:30" x14ac:dyDescent="0.25">
      <c r="N708" s="9"/>
      <c r="P708" s="33"/>
      <c r="Q708" s="4"/>
      <c r="R708" s="4"/>
      <c r="S708" s="4"/>
      <c r="T708" s="4"/>
      <c r="U708" s="4"/>
      <c r="V708" s="4"/>
      <c r="X708" s="4"/>
      <c r="Y708" s="4"/>
      <c r="AA708" s="4"/>
      <c r="AB708" s="4"/>
      <c r="AC708" s="4"/>
      <c r="AD708" s="20"/>
    </row>
  </sheetData>
  <mergeCells count="46">
    <mergeCell ref="AF4:AR4"/>
    <mergeCell ref="BL16:BM16"/>
    <mergeCell ref="BI16:BK16"/>
    <mergeCell ref="BI17:BK17"/>
    <mergeCell ref="BI4:BK4"/>
    <mergeCell ref="BI5:BK5"/>
    <mergeCell ref="BF5:BH5"/>
    <mergeCell ref="AG5:AI5"/>
    <mergeCell ref="AJ5:AL5"/>
    <mergeCell ref="AM5:AO5"/>
    <mergeCell ref="AP5:AR5"/>
    <mergeCell ref="BC17:BE17"/>
    <mergeCell ref="BF16:BH16"/>
    <mergeCell ref="BF17:BH17"/>
    <mergeCell ref="AT17:AV17"/>
    <mergeCell ref="AW17:AY17"/>
    <mergeCell ref="A1:M1"/>
    <mergeCell ref="N1:X1"/>
    <mergeCell ref="P4:AE4"/>
    <mergeCell ref="BL5:BM5"/>
    <mergeCell ref="BL4:BM4"/>
    <mergeCell ref="AS4:BE4"/>
    <mergeCell ref="BF4:BH4"/>
    <mergeCell ref="Q5:S5"/>
    <mergeCell ref="T5:V5"/>
    <mergeCell ref="W5:Y5"/>
    <mergeCell ref="Z5:AB5"/>
    <mergeCell ref="AC5:AE5"/>
    <mergeCell ref="AT5:AV5"/>
    <mergeCell ref="AW5:AY5"/>
    <mergeCell ref="AZ5:BB5"/>
    <mergeCell ref="BC5:BE5"/>
    <mergeCell ref="E6:K6"/>
    <mergeCell ref="Q17:S17"/>
    <mergeCell ref="T17:V17"/>
    <mergeCell ref="W17:Y17"/>
    <mergeCell ref="P16:AE16"/>
    <mergeCell ref="Z17:AB17"/>
    <mergeCell ref="AC17:AE17"/>
    <mergeCell ref="AZ17:BB17"/>
    <mergeCell ref="AS16:BE16"/>
    <mergeCell ref="AF16:AR16"/>
    <mergeCell ref="AG17:AI17"/>
    <mergeCell ref="AJ17:AL17"/>
    <mergeCell ref="AM17:AO17"/>
    <mergeCell ref="AP17:AR17"/>
  </mergeCells>
  <pageMargins left="0.7" right="0.7" top="0.75" bottom="0.75" header="0.3" footer="0.3"/>
  <pageSetup orientation="portrait" r:id="rId1"/>
  <drawing r:id="rId2"/>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J62"/>
  <sheetViews>
    <sheetView topLeftCell="A16" zoomScale="85" zoomScaleNormal="85" workbookViewId="0">
      <selection activeCell="K29" sqref="K29"/>
    </sheetView>
  </sheetViews>
  <sheetFormatPr defaultRowHeight="15" x14ac:dyDescent="0.25"/>
  <cols>
    <col min="1" max="1" width="26.85546875" customWidth="1"/>
    <col min="2" max="2" width="25.5703125" customWidth="1"/>
    <col min="3" max="3" width="10.140625" customWidth="1"/>
  </cols>
  <sheetData>
    <row r="1" spans="1:9" ht="27.75" x14ac:dyDescent="0.4">
      <c r="A1" s="213" t="s">
        <v>75</v>
      </c>
      <c r="B1" s="213"/>
      <c r="C1" s="213"/>
      <c r="D1" s="213"/>
      <c r="E1" s="213"/>
      <c r="F1" s="213"/>
      <c r="G1" s="213"/>
      <c r="H1" s="213"/>
      <c r="I1" s="213"/>
    </row>
    <row r="2" spans="1:9" x14ac:dyDescent="0.25">
      <c r="A2" s="5"/>
      <c r="B2" s="5" t="s">
        <v>16</v>
      </c>
      <c r="C2" s="6"/>
      <c r="D2" s="4"/>
      <c r="E2" s="5"/>
      <c r="F2" s="5"/>
      <c r="G2" s="5"/>
      <c r="H2" s="5"/>
      <c r="I2" s="5"/>
    </row>
    <row r="3" spans="1:9" x14ac:dyDescent="0.25">
      <c r="A3" s="5"/>
      <c r="B3" s="5" t="s">
        <v>17</v>
      </c>
      <c r="C3" s="7"/>
      <c r="D3" s="4"/>
      <c r="E3" s="5"/>
      <c r="F3" s="5"/>
      <c r="G3" s="5"/>
      <c r="H3" s="5"/>
      <c r="I3" s="5"/>
    </row>
    <row r="4" spans="1:9" x14ac:dyDescent="0.25">
      <c r="A4" s="5"/>
      <c r="B4" s="5" t="s">
        <v>18</v>
      </c>
      <c r="C4" s="8"/>
      <c r="D4" s="4"/>
      <c r="E4" s="5"/>
      <c r="F4" s="5"/>
      <c r="G4" s="5"/>
      <c r="H4" s="5"/>
      <c r="I4" s="5"/>
    </row>
    <row r="5" spans="1:9" x14ac:dyDescent="0.25">
      <c r="A5" s="9" t="s">
        <v>19</v>
      </c>
      <c r="B5" s="9" t="s">
        <v>20</v>
      </c>
      <c r="C5" s="9" t="s">
        <v>21</v>
      </c>
      <c r="D5" s="4"/>
      <c r="E5" s="214" t="s">
        <v>22</v>
      </c>
      <c r="F5" s="214"/>
      <c r="G5" s="214"/>
      <c r="H5" s="214"/>
      <c r="I5" s="9"/>
    </row>
    <row r="6" spans="1:9" x14ac:dyDescent="0.25">
      <c r="A6" s="9"/>
      <c r="B6" s="9"/>
      <c r="C6" s="9"/>
      <c r="D6" s="4"/>
      <c r="E6" s="5"/>
      <c r="F6" s="5"/>
      <c r="G6" s="5"/>
      <c r="H6" s="5"/>
      <c r="I6" s="9"/>
    </row>
    <row r="7" spans="1:9" x14ac:dyDescent="0.25">
      <c r="A7" s="9" t="s">
        <v>55</v>
      </c>
      <c r="B7" s="9"/>
      <c r="C7" s="9"/>
      <c r="D7" s="4"/>
      <c r="E7" s="5"/>
      <c r="F7" s="5"/>
      <c r="G7" s="5"/>
      <c r="H7" s="5"/>
      <c r="I7" s="9"/>
    </row>
    <row r="8" spans="1:9" x14ac:dyDescent="0.25">
      <c r="A8" s="9"/>
      <c r="B8" s="9"/>
      <c r="C8" s="9"/>
      <c r="D8" s="4"/>
      <c r="E8" s="5"/>
      <c r="F8" s="5"/>
      <c r="G8" s="5"/>
      <c r="H8" s="5"/>
      <c r="I8" s="9"/>
    </row>
    <row r="9" spans="1:9" x14ac:dyDescent="0.25">
      <c r="A9" t="s">
        <v>44</v>
      </c>
      <c r="B9" s="12">
        <v>0.8</v>
      </c>
      <c r="D9" t="s">
        <v>47</v>
      </c>
    </row>
    <row r="10" spans="1:9" x14ac:dyDescent="0.25">
      <c r="A10" t="s">
        <v>48</v>
      </c>
      <c r="B10" s="13">
        <f>(1-B9)/(2.2*10^6)</f>
        <v>9.0909090909090888E-8</v>
      </c>
      <c r="C10" t="s">
        <v>51</v>
      </c>
      <c r="D10" t="s">
        <v>54</v>
      </c>
    </row>
    <row r="11" spans="1:9" x14ac:dyDescent="0.25">
      <c r="A11" t="s">
        <v>45</v>
      </c>
      <c r="B11" s="12">
        <v>0.85</v>
      </c>
      <c r="D11" t="s">
        <v>47</v>
      </c>
    </row>
    <row r="12" spans="1:9" x14ac:dyDescent="0.25">
      <c r="A12" t="s">
        <v>49</v>
      </c>
      <c r="B12" s="13">
        <f>(1-B11)/(2.2*10^6)</f>
        <v>6.8181818181818186E-8</v>
      </c>
      <c r="C12" t="s">
        <v>51</v>
      </c>
      <c r="D12" t="s">
        <v>53</v>
      </c>
    </row>
    <row r="13" spans="1:9" x14ac:dyDescent="0.25">
      <c r="A13" t="s">
        <v>46</v>
      </c>
      <c r="B13" s="12">
        <v>0.9</v>
      </c>
      <c r="D13" t="s">
        <v>47</v>
      </c>
    </row>
    <row r="14" spans="1:9" x14ac:dyDescent="0.25">
      <c r="A14" t="s">
        <v>50</v>
      </c>
      <c r="B14" s="13">
        <f>(1-B13)/(2.2*10^6)</f>
        <v>4.5454545454545444E-8</v>
      </c>
      <c r="C14" t="s">
        <v>51</v>
      </c>
      <c r="D14" t="s">
        <v>52</v>
      </c>
    </row>
    <row r="16" spans="1:9" x14ac:dyDescent="0.25">
      <c r="A16" t="s">
        <v>56</v>
      </c>
      <c r="B16" s="12">
        <v>0.9</v>
      </c>
      <c r="D16" t="s">
        <v>62</v>
      </c>
    </row>
    <row r="17" spans="1:8" x14ac:dyDescent="0.25">
      <c r="A17" t="s">
        <v>57</v>
      </c>
      <c r="B17" s="12">
        <v>0.93</v>
      </c>
      <c r="D17" t="s">
        <v>59</v>
      </c>
    </row>
    <row r="18" spans="1:8" x14ac:dyDescent="0.25">
      <c r="A18" t="s">
        <v>58</v>
      </c>
      <c r="B18" s="12">
        <v>0.96</v>
      </c>
      <c r="D18" t="s">
        <v>63</v>
      </c>
    </row>
    <row r="19" spans="1:8" x14ac:dyDescent="0.25">
      <c r="B19">
        <f>IF(((1-D_limit_min)/Constants!B12)&lt;Fsw,2,1)</f>
        <v>2</v>
      </c>
      <c r="D19" t="s">
        <v>438</v>
      </c>
    </row>
    <row r="20" spans="1:8" x14ac:dyDescent="0.25">
      <c r="A20" t="s">
        <v>73</v>
      </c>
      <c r="B20" s="1">
        <f>CHOOSE(B19,D_limit_min,(1-Constants!B10*Fsw))</f>
        <v>0.81818181818181823</v>
      </c>
      <c r="D20" t="s">
        <v>74</v>
      </c>
    </row>
    <row r="22" spans="1:8" x14ac:dyDescent="0.25">
      <c r="A22" t="s">
        <v>80</v>
      </c>
      <c r="B22" s="12">
        <f>50*10^-9</f>
        <v>5.0000000000000004E-8</v>
      </c>
      <c r="C22" t="s">
        <v>51</v>
      </c>
      <c r="D22" t="s">
        <v>81</v>
      </c>
    </row>
    <row r="24" spans="1:8" x14ac:dyDescent="0.25">
      <c r="A24" t="s">
        <v>590</v>
      </c>
      <c r="B24" s="12">
        <f>20*10^-9</f>
        <v>2E-8</v>
      </c>
      <c r="C24" t="s">
        <v>51</v>
      </c>
      <c r="D24" t="s">
        <v>589</v>
      </c>
    </row>
    <row r="25" spans="1:8" ht="15.75" x14ac:dyDescent="0.25">
      <c r="A25" s="27" t="s">
        <v>141</v>
      </c>
    </row>
    <row r="26" spans="1:8" x14ac:dyDescent="0.25">
      <c r="A26" t="s">
        <v>127</v>
      </c>
      <c r="B26" s="12">
        <f>30*10^-6</f>
        <v>2.9999999999999997E-5</v>
      </c>
      <c r="C26" t="s">
        <v>11</v>
      </c>
      <c r="D26" t="s">
        <v>128</v>
      </c>
    </row>
    <row r="27" spans="1:8" x14ac:dyDescent="0.25">
      <c r="A27" t="s">
        <v>129</v>
      </c>
      <c r="B27" s="12">
        <v>3000</v>
      </c>
      <c r="C27" s="2" t="s">
        <v>36</v>
      </c>
      <c r="D27" t="s">
        <v>130</v>
      </c>
      <c r="H27" s="31"/>
    </row>
    <row r="28" spans="1:8" x14ac:dyDescent="0.25">
      <c r="A28" t="s">
        <v>491</v>
      </c>
      <c r="B28" s="12">
        <v>4.4999999999999998E-2</v>
      </c>
      <c r="C28" s="2"/>
    </row>
    <row r="29" spans="1:8" x14ac:dyDescent="0.25">
      <c r="C29" s="2"/>
    </row>
    <row r="30" spans="1:8" x14ac:dyDescent="0.25">
      <c r="A30" t="s">
        <v>132</v>
      </c>
      <c r="B30" s="12">
        <v>0.06</v>
      </c>
      <c r="C30" s="2" t="s">
        <v>10</v>
      </c>
      <c r="D30" t="s">
        <v>133</v>
      </c>
    </row>
    <row r="32" spans="1:8" x14ac:dyDescent="0.25">
      <c r="A32" t="s">
        <v>201</v>
      </c>
      <c r="B32" s="12">
        <v>1</v>
      </c>
      <c r="C32" t="s">
        <v>150</v>
      </c>
      <c r="D32" t="s">
        <v>203</v>
      </c>
    </row>
    <row r="33" spans="1:4" x14ac:dyDescent="0.25">
      <c r="A33" t="s">
        <v>205</v>
      </c>
      <c r="B33" s="12">
        <v>10</v>
      </c>
      <c r="C33" t="s">
        <v>150</v>
      </c>
      <c r="D33" t="s">
        <v>206</v>
      </c>
    </row>
    <row r="35" spans="1:4" x14ac:dyDescent="0.25">
      <c r="A35" s="31" t="s">
        <v>225</v>
      </c>
    </row>
    <row r="36" spans="1:4" x14ac:dyDescent="0.25">
      <c r="A36" t="s">
        <v>244</v>
      </c>
      <c r="B36">
        <v>1</v>
      </c>
      <c r="C36" t="s">
        <v>10</v>
      </c>
      <c r="D36" t="s">
        <v>245</v>
      </c>
    </row>
    <row r="37" spans="1:4" x14ac:dyDescent="0.25">
      <c r="A37" t="s">
        <v>228</v>
      </c>
      <c r="B37">
        <f>(1*10^-3)/1</f>
        <v>1E-3</v>
      </c>
      <c r="C37" t="s">
        <v>230</v>
      </c>
      <c r="D37" t="s">
        <v>229</v>
      </c>
    </row>
    <row r="38" spans="1:4" x14ac:dyDescent="0.25">
      <c r="A38" t="s">
        <v>552</v>
      </c>
      <c r="B38">
        <v>20</v>
      </c>
      <c r="C38" t="s">
        <v>150</v>
      </c>
    </row>
    <row r="39" spans="1:4" x14ac:dyDescent="0.25">
      <c r="A39" t="s">
        <v>553</v>
      </c>
      <c r="B39">
        <v>60</v>
      </c>
      <c r="C39" t="s">
        <v>150</v>
      </c>
    </row>
    <row r="40" spans="1:4" x14ac:dyDescent="0.25">
      <c r="A40" t="s">
        <v>554</v>
      </c>
      <c r="B40">
        <v>100000</v>
      </c>
      <c r="C40" t="s">
        <v>469</v>
      </c>
    </row>
    <row r="41" spans="1:4" x14ac:dyDescent="0.25">
      <c r="A41" t="s">
        <v>555</v>
      </c>
      <c r="B41">
        <v>35000</v>
      </c>
      <c r="C41" t="s">
        <v>469</v>
      </c>
    </row>
    <row r="42" spans="1:4" x14ac:dyDescent="0.25">
      <c r="A42" t="s">
        <v>556</v>
      </c>
      <c r="B42">
        <v>75000</v>
      </c>
      <c r="C42" t="s">
        <v>469</v>
      </c>
    </row>
    <row r="43" spans="1:4" x14ac:dyDescent="0.25">
      <c r="A43" t="s">
        <v>557</v>
      </c>
      <c r="B43">
        <v>20000</v>
      </c>
      <c r="C43" t="s">
        <v>469</v>
      </c>
    </row>
    <row r="46" spans="1:4" x14ac:dyDescent="0.25">
      <c r="A46" s="31" t="s">
        <v>277</v>
      </c>
    </row>
    <row r="47" spans="1:4" x14ac:dyDescent="0.25">
      <c r="A47" t="s">
        <v>278</v>
      </c>
      <c r="B47">
        <f>20*10^-6</f>
        <v>1.9999999999999998E-5</v>
      </c>
      <c r="C47" t="s">
        <v>11</v>
      </c>
      <c r="D47" t="s">
        <v>279</v>
      </c>
    </row>
    <row r="49" spans="1:10" x14ac:dyDescent="0.25">
      <c r="A49" s="31" t="s">
        <v>297</v>
      </c>
    </row>
    <row r="50" spans="1:10" x14ac:dyDescent="0.25">
      <c r="A50" t="s">
        <v>298</v>
      </c>
      <c r="B50">
        <v>1.1000000000000001</v>
      </c>
      <c r="C50" t="s">
        <v>10</v>
      </c>
      <c r="D50" t="s">
        <v>301</v>
      </c>
      <c r="J50" s="31"/>
    </row>
    <row r="51" spans="1:10" x14ac:dyDescent="0.25">
      <c r="A51" t="s">
        <v>299</v>
      </c>
      <c r="B51">
        <v>1.075</v>
      </c>
      <c r="C51" t="s">
        <v>10</v>
      </c>
      <c r="D51" t="s">
        <v>300</v>
      </c>
      <c r="J51" s="31"/>
    </row>
    <row r="52" spans="1:10" x14ac:dyDescent="0.25">
      <c r="A52" t="s">
        <v>304</v>
      </c>
      <c r="B52">
        <f>10*10^-6</f>
        <v>9.9999999999999991E-6</v>
      </c>
      <c r="C52" t="s">
        <v>11</v>
      </c>
      <c r="D52" t="s">
        <v>305</v>
      </c>
      <c r="J52" s="31"/>
    </row>
    <row r="54" spans="1:10" x14ac:dyDescent="0.25">
      <c r="A54" s="31" t="s">
        <v>355</v>
      </c>
    </row>
    <row r="55" spans="1:10" x14ac:dyDescent="0.25">
      <c r="A55" t="s">
        <v>356</v>
      </c>
      <c r="B55">
        <v>5</v>
      </c>
      <c r="C55" t="s">
        <v>10</v>
      </c>
      <c r="D55" t="s">
        <v>357</v>
      </c>
    </row>
    <row r="57" spans="1:10" x14ac:dyDescent="0.25">
      <c r="A57" s="31" t="s">
        <v>373</v>
      </c>
    </row>
    <row r="58" spans="1:10" x14ac:dyDescent="0.25">
      <c r="A58" t="s">
        <v>374</v>
      </c>
      <c r="B58">
        <f>3.3*(10^-6)</f>
        <v>3.2999999999999997E-6</v>
      </c>
      <c r="C58" t="s">
        <v>11</v>
      </c>
      <c r="D58" t="s">
        <v>375</v>
      </c>
    </row>
    <row r="60" spans="1:10" x14ac:dyDescent="0.25">
      <c r="A60" t="s">
        <v>409</v>
      </c>
    </row>
    <row r="61" spans="1:10" x14ac:dyDescent="0.25">
      <c r="A61" t="s">
        <v>410</v>
      </c>
      <c r="B61">
        <v>1.5</v>
      </c>
      <c r="C61" t="s">
        <v>10</v>
      </c>
      <c r="D61" t="s">
        <v>411</v>
      </c>
    </row>
    <row r="62" spans="1:10" x14ac:dyDescent="0.25">
      <c r="A62" t="s">
        <v>413</v>
      </c>
      <c r="B62">
        <v>45</v>
      </c>
      <c r="D62" t="s">
        <v>412</v>
      </c>
    </row>
  </sheetData>
  <mergeCells count="2">
    <mergeCell ref="A1:I1"/>
    <mergeCell ref="E5:H5"/>
  </mergeCell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B2:B3"/>
  <sheetViews>
    <sheetView topLeftCell="B1" zoomScale="70" zoomScaleNormal="70" workbookViewId="0">
      <selection activeCell="P22" sqref="P22"/>
    </sheetView>
  </sheetViews>
  <sheetFormatPr defaultRowHeight="15" x14ac:dyDescent="0.25"/>
  <cols>
    <col min="3" max="3" width="144.85546875" customWidth="1"/>
  </cols>
  <sheetData>
    <row r="2" spans="2:2" x14ac:dyDescent="0.25">
      <c r="B2" t="str">
        <f>"Eff_vs_IOUT"</f>
        <v>Eff_vs_IOUT</v>
      </c>
    </row>
    <row r="3" spans="2:2" ht="379.7" customHeight="1" x14ac:dyDescent="0.25"/>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H7"/>
  <sheetViews>
    <sheetView topLeftCell="A4" workbookViewId="0">
      <selection activeCell="B7" sqref="B7"/>
    </sheetView>
  </sheetViews>
  <sheetFormatPr defaultRowHeight="15" x14ac:dyDescent="0.25"/>
  <cols>
    <col min="1" max="1" width="27.28515625" customWidth="1"/>
    <col min="2" max="2" width="77.140625" customWidth="1"/>
  </cols>
  <sheetData>
    <row r="1" spans="1:8" x14ac:dyDescent="0.25">
      <c r="A1" s="111" t="str">
        <f>IF('Design Converter'!H12= "SKIP", "SCH_1", IF('Design Converter'!H12 = "DEM", "SCH_2", IF('Design Converter'!H12 = "FPWM","SCH_3", "")))</f>
        <v>SCH_2</v>
      </c>
      <c r="F1" t="s">
        <v>604</v>
      </c>
      <c r="G1" t="s">
        <v>605</v>
      </c>
      <c r="H1" t="s">
        <v>606</v>
      </c>
    </row>
    <row r="2" spans="1:8" ht="214.9" customHeight="1" x14ac:dyDescent="0.25">
      <c r="B2" t="s">
        <v>603</v>
      </c>
    </row>
    <row r="5" spans="1:8" ht="214.15" customHeight="1" x14ac:dyDescent="0.25"/>
    <row r="6" spans="1:8" ht="15" customHeight="1" x14ac:dyDescent="0.25"/>
    <row r="7" spans="1:8" ht="213.6" customHeight="1" x14ac:dyDescent="0.25"/>
  </sheetData>
  <pageMargins left="0.7" right="0.7" top="0.75" bottom="0.75" header="0.3" footer="0.3"/>
  <pageSetup orientation="portrait" r:id="rId1"/>
  <drawing r:id="rId2"/>
  <legacyDrawing r:id="rId3"/>
  <oleObjects>
    <mc:AlternateContent xmlns:mc="http://schemas.openxmlformats.org/markup-compatibility/2006">
      <mc:Choice Requires="x14">
        <oleObject progId="Visio.Drawing.15" shapeId="10242" r:id="rId4">
          <objectPr defaultSize="0" r:id="rId5">
            <anchor moveWithCells="1">
              <from>
                <xdr:col>1</xdr:col>
                <xdr:colOff>0</xdr:colOff>
                <xdr:row>1</xdr:row>
                <xdr:rowOff>0</xdr:rowOff>
              </from>
              <to>
                <xdr:col>2</xdr:col>
                <xdr:colOff>28575</xdr:colOff>
                <xdr:row>2</xdr:row>
                <xdr:rowOff>0</xdr:rowOff>
              </to>
            </anchor>
          </objectPr>
        </oleObject>
      </mc:Choice>
      <mc:Fallback>
        <oleObject progId="Visio.Drawing.15" shapeId="10242" r:id="rId4"/>
      </mc:Fallback>
    </mc:AlternateContent>
    <mc:AlternateContent xmlns:mc="http://schemas.openxmlformats.org/markup-compatibility/2006">
      <mc:Choice Requires="x14">
        <oleObject progId="Visio.Drawing.15" shapeId="10243" r:id="rId6">
          <objectPr defaultSize="0" r:id="rId7">
            <anchor moveWithCells="1">
              <from>
                <xdr:col>1</xdr:col>
                <xdr:colOff>0</xdr:colOff>
                <xdr:row>4</xdr:row>
                <xdr:rowOff>0</xdr:rowOff>
              </from>
              <to>
                <xdr:col>2</xdr:col>
                <xdr:colOff>28575</xdr:colOff>
                <xdr:row>5</xdr:row>
                <xdr:rowOff>9525</xdr:rowOff>
              </to>
            </anchor>
          </objectPr>
        </oleObject>
      </mc:Choice>
      <mc:Fallback>
        <oleObject progId="Visio.Drawing.15" shapeId="10243" r:id="rId6"/>
      </mc:Fallback>
    </mc:AlternateContent>
    <mc:AlternateContent xmlns:mc="http://schemas.openxmlformats.org/markup-compatibility/2006">
      <mc:Choice Requires="x14">
        <oleObject progId="Visio.Drawing.15" shapeId="10246" r:id="rId8">
          <objectPr defaultSize="0" r:id="rId9">
            <anchor moveWithCells="1">
              <from>
                <xdr:col>1</xdr:col>
                <xdr:colOff>0</xdr:colOff>
                <xdr:row>6</xdr:row>
                <xdr:rowOff>0</xdr:rowOff>
              </from>
              <to>
                <xdr:col>2</xdr:col>
                <xdr:colOff>28575</xdr:colOff>
                <xdr:row>7</xdr:row>
                <xdr:rowOff>9525</xdr:rowOff>
              </to>
            </anchor>
          </objectPr>
        </oleObject>
      </mc:Choice>
      <mc:Fallback>
        <oleObject progId="Visio.Drawing.15" shapeId="10246" r:id="rId8"/>
      </mc:Fallback>
    </mc:AlternateContent>
  </oleObjec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2:F5"/>
  <sheetViews>
    <sheetView workbookViewId="0">
      <selection activeCell="F3" sqref="F3"/>
    </sheetView>
  </sheetViews>
  <sheetFormatPr defaultRowHeight="15" x14ac:dyDescent="0.25"/>
  <sheetData>
    <row r="2" spans="1:6" x14ac:dyDescent="0.25">
      <c r="A2" t="s">
        <v>389</v>
      </c>
    </row>
    <row r="3" spans="1:6" x14ac:dyDescent="0.25">
      <c r="B3">
        <f>VIN_min</f>
        <v>10</v>
      </c>
      <c r="F3" t="str">
        <f>"SKIP"</f>
        <v>SKIP</v>
      </c>
    </row>
    <row r="4" spans="1:6" x14ac:dyDescent="0.25">
      <c r="B4">
        <f>VIN_nom</f>
        <v>12</v>
      </c>
      <c r="D4">
        <v>2.5</v>
      </c>
      <c r="F4" t="str">
        <f>"DEM"</f>
        <v>DEM</v>
      </c>
    </row>
    <row r="5" spans="1:6" x14ac:dyDescent="0.25">
      <c r="B5">
        <f>VIN_max</f>
        <v>18</v>
      </c>
      <c r="F5" t="str">
        <f>"FPWM"</f>
        <v>FPWM</v>
      </c>
    </row>
  </sheetData>
  <dataValidations count="3">
    <dataValidation type="list" allowBlank="1" showInputMessage="1" showErrorMessage="1" sqref="D4" xr:uid="{00000000-0002-0000-0700-000000000000}">
      <formula1>$B$3:$B$5</formula1>
    </dataValidation>
    <dataValidation type="decimal" allowBlank="1" showInputMessage="1" showErrorMessage="1" sqref="F4" xr:uid="{00000000-0002-0000-0700-000001000000}">
      <formula1>B3</formula1>
      <formula2>B5</formula2>
    </dataValidation>
    <dataValidation type="list" showDropDown="1" showInputMessage="1" showErrorMessage="1" sqref="I15" xr:uid="{00000000-0002-0000-0700-000002000000}">
      <formula1>$B$3:$B$5</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
  <sheetViews>
    <sheetView workbookViewId="0">
      <selection activeCell="C31" sqref="C31"/>
    </sheetView>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155</vt:i4>
      </vt:variant>
    </vt:vector>
  </HeadingPairs>
  <TitlesOfParts>
    <vt:vector size="164" baseType="lpstr">
      <vt:lpstr>Design Converter</vt:lpstr>
      <vt:lpstr>Variable_Management</vt:lpstr>
      <vt:lpstr>Eff_vs_IOUT</vt:lpstr>
      <vt:lpstr>Loop_Modeling</vt:lpstr>
      <vt:lpstr>Constants</vt:lpstr>
      <vt:lpstr>Plot_Management_Eff</vt:lpstr>
      <vt:lpstr>Plot_Management_Sch</vt:lpstr>
      <vt:lpstr>Lists</vt:lpstr>
      <vt:lpstr>Sheet1</vt:lpstr>
      <vt:lpstr>Acs</vt:lpstr>
      <vt:lpstr>Adc</vt:lpstr>
      <vt:lpstr>Adc_ea</vt:lpstr>
      <vt:lpstr>ADC_VINmin</vt:lpstr>
      <vt:lpstr>CCOMP</vt:lpstr>
      <vt:lpstr>CCOMP_Calc</vt:lpstr>
      <vt:lpstr>CCOMP_calc_CCM</vt:lpstr>
      <vt:lpstr>CCOMP_CALC_DCM</vt:lpstr>
      <vt:lpstr>CHF</vt:lpstr>
      <vt:lpstr>CHF_calc</vt:lpstr>
      <vt:lpstr>CHF_CALC_CCM</vt:lpstr>
      <vt:lpstr>CHF_CALC_DCM</vt:lpstr>
      <vt:lpstr>Comp_calc_CCM</vt:lpstr>
      <vt:lpstr>Cout</vt:lpstr>
      <vt:lpstr>Cout_min</vt:lpstr>
      <vt:lpstr>D_limit_max</vt:lpstr>
      <vt:lpstr>D_limit_min</vt:lpstr>
      <vt:lpstr>D_limit_nom</vt:lpstr>
      <vt:lpstr>DC_DCM_max</vt:lpstr>
      <vt:lpstr>Dc_max_IC</vt:lpstr>
      <vt:lpstr>Dc_max_ideal</vt:lpstr>
      <vt:lpstr>DC_rip</vt:lpstr>
      <vt:lpstr>Dc_rip_max</vt:lpstr>
      <vt:lpstr>Dc_VIN_max</vt:lpstr>
      <vt:lpstr>Dc_VIN_min</vt:lpstr>
      <vt:lpstr>Dc_VIN_nom</vt:lpstr>
      <vt:lpstr>DC_VIN_var_DCM</vt:lpstr>
      <vt:lpstr>EFF_est</vt:lpstr>
      <vt:lpstr>Eff_vs_IOUT</vt:lpstr>
      <vt:lpstr>fcross</vt:lpstr>
      <vt:lpstr>fcross_est</vt:lpstr>
      <vt:lpstr>fp_ea_est</vt:lpstr>
      <vt:lpstr>Fsw</vt:lpstr>
      <vt:lpstr>fz_ea_est</vt:lpstr>
      <vt:lpstr>fz_rhp</vt:lpstr>
      <vt:lpstr>Gcomp</vt:lpstr>
      <vt:lpstr>gfs</vt:lpstr>
      <vt:lpstr>gm_ea</vt:lpstr>
      <vt:lpstr>Gplant_fc_dB</vt:lpstr>
      <vt:lpstr>IIN_33</vt:lpstr>
      <vt:lpstr>IL_avg_VIN_max</vt:lpstr>
      <vt:lpstr>IL_avg_VIN_min</vt:lpstr>
      <vt:lpstr>IL_avg_VIN_nom</vt:lpstr>
      <vt:lpstr>IL_pk</vt:lpstr>
      <vt:lpstr>IL_pk_max</vt:lpstr>
      <vt:lpstr>ILp_VINmax</vt:lpstr>
      <vt:lpstr>ILp_VINmin</vt:lpstr>
      <vt:lpstr>ILp_VINnom</vt:lpstr>
      <vt:lpstr>ILrip</vt:lpstr>
      <vt:lpstr>ILrip_VINmax</vt:lpstr>
      <vt:lpstr>ILrip_VINmin</vt:lpstr>
      <vt:lpstr>ILrip_VINnom</vt:lpstr>
      <vt:lpstr>IOUT</vt:lpstr>
      <vt:lpstr>IOUT_VAR</vt:lpstr>
      <vt:lpstr>Ipk_margin</vt:lpstr>
      <vt:lpstr>Ipk_selected</vt:lpstr>
      <vt:lpstr>IQ</vt:lpstr>
      <vt:lpstr>IRMS_COUT</vt:lpstr>
      <vt:lpstr>Isl</vt:lpstr>
      <vt:lpstr>Iss</vt:lpstr>
      <vt:lpstr>Kd</vt:lpstr>
      <vt:lpstr>Kd_VINmin</vt:lpstr>
      <vt:lpstr>Kex</vt:lpstr>
      <vt:lpstr>Kex_VINmin</vt:lpstr>
      <vt:lpstr>Kfb</vt:lpstr>
      <vt:lpstr>Kfb_high</vt:lpstr>
      <vt:lpstr>Kfb_low</vt:lpstr>
      <vt:lpstr>Km</vt:lpstr>
      <vt:lpstr>Km_VINmin</vt:lpstr>
      <vt:lpstr>Lm</vt:lpstr>
      <vt:lpstr>Lopt_2</vt:lpstr>
      <vt:lpstr>M_L_DCM</vt:lpstr>
      <vt:lpstr>Np</vt:lpstr>
      <vt:lpstr>POUT</vt:lpstr>
      <vt:lpstr>'Design Converter'!Print_Area</vt:lpstr>
      <vt:lpstr>Q</vt:lpstr>
      <vt:lpstr>Q_VINmin</vt:lpstr>
      <vt:lpstr>Qg_tot</vt:lpstr>
      <vt:lpstr>Qg_tot_HS</vt:lpstr>
      <vt:lpstr>Qgd</vt:lpstr>
      <vt:lpstr>Qgs</vt:lpstr>
      <vt:lpstr>Qrr</vt:lpstr>
      <vt:lpstr>R_cs</vt:lpstr>
      <vt:lpstr>R_sl</vt:lpstr>
      <vt:lpstr>RCOMP</vt:lpstr>
      <vt:lpstr>RCOMP_Calc</vt:lpstr>
      <vt:lpstr>Rcomp_calc_CCM</vt:lpstr>
      <vt:lpstr>RCOMP_CALC_DCM</vt:lpstr>
      <vt:lpstr>Rcs_max</vt:lpstr>
      <vt:lpstr>Rcs_wo_sl</vt:lpstr>
      <vt:lpstr>Rdcr</vt:lpstr>
      <vt:lpstr>RDS_on</vt:lpstr>
      <vt:lpstr>RDS_on_HS</vt:lpstr>
      <vt:lpstr>Resr</vt:lpstr>
      <vt:lpstr>RFBB</vt:lpstr>
      <vt:lpstr>RFBB_calc</vt:lpstr>
      <vt:lpstr>RFBT</vt:lpstr>
      <vt:lpstr>Rgate</vt:lpstr>
      <vt:lpstr>Rmax</vt:lpstr>
      <vt:lpstr>Rmax_high</vt:lpstr>
      <vt:lpstr>Rmax_low</vt:lpstr>
      <vt:lpstr>Rmin</vt:lpstr>
      <vt:lpstr>Rmin_high</vt:lpstr>
      <vt:lpstr>Rmin_low</vt:lpstr>
      <vt:lpstr>ROUT</vt:lpstr>
      <vt:lpstr>Rsl_int</vt:lpstr>
      <vt:lpstr>RT</vt:lpstr>
      <vt:lpstr>Ruvlo_bottom_calc</vt:lpstr>
      <vt:lpstr>Ruvlo_top</vt:lpstr>
      <vt:lpstr>Ruvlo_top_calc</vt:lpstr>
      <vt:lpstr>SCH_1</vt:lpstr>
      <vt:lpstr>SCH_2</vt:lpstr>
      <vt:lpstr>SCH_3</vt:lpstr>
      <vt:lpstr>Se_VINmin</vt:lpstr>
      <vt:lpstr>Sn_VINmin</vt:lpstr>
      <vt:lpstr>t_dead</vt:lpstr>
      <vt:lpstr>tf_sw</vt:lpstr>
      <vt:lpstr>tr_sw</vt:lpstr>
      <vt:lpstr>tss</vt:lpstr>
      <vt:lpstr>UV_fall</vt:lpstr>
      <vt:lpstr>UV_I_hyst</vt:lpstr>
      <vt:lpstr>UV_rise</vt:lpstr>
      <vt:lpstr>Vcc</vt:lpstr>
      <vt:lpstr>Vcl</vt:lpstr>
      <vt:lpstr>Vd_rect</vt:lpstr>
      <vt:lpstr>VIN_33</vt:lpstr>
      <vt:lpstr>VIN_max</vt:lpstr>
      <vt:lpstr>VIN_min</vt:lpstr>
      <vt:lpstr>VIN_nom</vt:lpstr>
      <vt:lpstr>VIN_op_max</vt:lpstr>
      <vt:lpstr>VIN_op_min</vt:lpstr>
      <vt:lpstr>VIN_var</vt:lpstr>
      <vt:lpstr>VOUT</vt:lpstr>
      <vt:lpstr>VOUT_range</vt:lpstr>
      <vt:lpstr>Vout_rip_sel</vt:lpstr>
      <vt:lpstr>Vref</vt:lpstr>
      <vt:lpstr>Vsl</vt:lpstr>
      <vt:lpstr>Vth</vt:lpstr>
      <vt:lpstr>VTRK</vt:lpstr>
      <vt:lpstr>Vuvlo_off</vt:lpstr>
      <vt:lpstr>Vuvlo_on</vt:lpstr>
      <vt:lpstr>wp_lf</vt:lpstr>
      <vt:lpstr>wp_lf_DCM</vt:lpstr>
      <vt:lpstr>wp_lf_VINmin</vt:lpstr>
      <vt:lpstr>wp0_ea</vt:lpstr>
      <vt:lpstr>wp1_ea</vt:lpstr>
      <vt:lpstr>wsl</vt:lpstr>
      <vt:lpstr>wsl_VINmin</vt:lpstr>
      <vt:lpstr>wz_ea</vt:lpstr>
      <vt:lpstr>wz_esr</vt:lpstr>
      <vt:lpstr>wz_esr_VINmin</vt:lpstr>
      <vt:lpstr>wz_rhp</vt:lpstr>
      <vt:lpstr>wz_RHP_VINmin</vt:lpstr>
      <vt:lpstr>wz1_dcm</vt:lpstr>
      <vt:lpstr>wz2_dcm</vt:lpstr>
    </vt:vector>
  </TitlesOfParts>
  <Company>Texas Instruments Incorporated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BMC-BCS</dc:creator>
  <cp:lastModifiedBy>aden</cp:lastModifiedBy>
  <cp:lastPrinted>2018-08-09T07:13:51Z</cp:lastPrinted>
  <dcterms:created xsi:type="dcterms:W3CDTF">2018-06-26T09:13:29Z</dcterms:created>
  <dcterms:modified xsi:type="dcterms:W3CDTF">2023-05-20T03:02:07Z</dcterms:modified>
</cp:coreProperties>
</file>