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o\OneDrive\Escritorio\"/>
    </mc:Choice>
  </mc:AlternateContent>
  <xr:revisionPtr revIDLastSave="0" documentId="8_{9C8BB00C-C496-4AB2-8D5E-DD82223BDBF8}" xr6:coauthVersionLast="47" xr6:coauthVersionMax="47" xr10:uidLastSave="{00000000-0000-0000-0000-000000000000}"/>
  <bookViews>
    <workbookView xWindow="-118" yWindow="-118" windowWidth="25370" windowHeight="14007" firstSheet="1" activeTab="1" xr2:uid="{00000000-000D-0000-FFFF-FFFF00000000}"/>
  </bookViews>
  <sheets>
    <sheet name="COTIZACION N°01" sheetId="1" state="hidden" r:id="rId1"/>
    <sheet name="COTIZACION" sheetId="10" r:id="rId2"/>
    <sheet name="PRESUPUESTO" sheetId="2" r:id="rId3"/>
    <sheet name="Table 5" sheetId="5" state="hidden" r:id="rId4"/>
    <sheet name="Table 7" sheetId="7" state="hidden" r:id="rId5"/>
    <sheet name="Table 8" sheetId="8" state="hidden" r:id="rId6"/>
  </sheets>
  <externalReferences>
    <externalReference r:id="rId7"/>
  </externalReferences>
  <definedNames>
    <definedName name="_xlnm.Print_Area" localSheetId="1">COTIZACION!$A$1:$I$51</definedName>
    <definedName name="_xlnm.Print_Area" localSheetId="2">PRESUPUESTO!$A$1:$G$247</definedName>
    <definedName name="BTU">PRESUPUESTO!$I$248</definedName>
    <definedName name="CODIGO">[1]Hoja2!$B$14:$B$20</definedName>
    <definedName name="usd">PRESUPUESTO!$K$247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0" i="2" l="1"/>
  <c r="D121" i="2"/>
  <c r="D122" i="2"/>
  <c r="D119" i="2"/>
  <c r="I248" i="2"/>
  <c r="K14" i="2"/>
  <c r="J14" i="2"/>
  <c r="E77" i="2"/>
  <c r="E97" i="2"/>
  <c r="E96" i="2"/>
  <c r="E95" i="2"/>
  <c r="E94" i="2"/>
  <c r="E93" i="2"/>
  <c r="F93" i="2" s="1"/>
  <c r="E92" i="2"/>
  <c r="E91" i="2"/>
  <c r="E90" i="2"/>
  <c r="E89" i="2"/>
  <c r="E87" i="2"/>
  <c r="E86" i="2"/>
  <c r="E84" i="2"/>
  <c r="E82" i="2"/>
  <c r="E81" i="2"/>
  <c r="E71" i="2"/>
  <c r="D241" i="2"/>
  <c r="D233" i="2"/>
  <c r="D232" i="2"/>
  <c r="D231" i="2"/>
  <c r="D230" i="2"/>
  <c r="D229" i="2"/>
  <c r="D228" i="2"/>
  <c r="D227" i="2"/>
  <c r="D224" i="2"/>
  <c r="D223" i="2"/>
  <c r="D221" i="2"/>
  <c r="D220" i="2"/>
  <c r="D208" i="2"/>
  <c r="D207" i="2"/>
  <c r="D206" i="2"/>
  <c r="D205" i="2"/>
  <c r="D204" i="2"/>
  <c r="D203" i="2"/>
  <c r="D202" i="2"/>
  <c r="D201" i="2"/>
  <c r="D200" i="2"/>
  <c r="D199" i="2"/>
  <c r="D198" i="2"/>
  <c r="D102" i="2"/>
  <c r="D101" i="2"/>
  <c r="D99" i="2"/>
  <c r="D100" i="2" s="1"/>
  <c r="D97" i="2"/>
  <c r="D87" i="2"/>
  <c r="D86" i="2"/>
  <c r="D76" i="2"/>
  <c r="D72" i="2"/>
  <c r="D71" i="2"/>
  <c r="D67" i="2"/>
  <c r="D77" i="2" s="1"/>
  <c r="D66" i="2"/>
  <c r="D60" i="2"/>
  <c r="D55" i="2"/>
  <c r="D54" i="2"/>
  <c r="D49" i="2"/>
  <c r="D48" i="2"/>
  <c r="D47" i="2"/>
  <c r="D46" i="2"/>
  <c r="D45" i="2"/>
  <c r="F241" i="2"/>
  <c r="E24" i="2"/>
  <c r="E22" i="2"/>
  <c r="E21" i="2"/>
  <c r="E20" i="2"/>
  <c r="E19" i="2"/>
  <c r="E18" i="2"/>
  <c r="E17" i="2"/>
  <c r="E16" i="2"/>
  <c r="G20" i="10"/>
  <c r="F2" i="2"/>
  <c r="F236" i="2" s="1"/>
  <c r="I249" i="2"/>
  <c r="E15" i="2"/>
  <c r="D93" i="2"/>
  <c r="D94" i="2"/>
  <c r="D92" i="2"/>
  <c r="F88" i="2"/>
  <c r="E60" i="2"/>
  <c r="E61" i="2"/>
  <c r="I62" i="2"/>
  <c r="D62" i="2" s="1"/>
  <c r="I61" i="2"/>
  <c r="D61" i="2" s="1"/>
  <c r="I54" i="2"/>
  <c r="D118" i="2"/>
  <c r="F97" i="2" l="1"/>
  <c r="F94" i="2"/>
  <c r="F92" i="2"/>
  <c r="F87" i="2"/>
  <c r="F237" i="2"/>
  <c r="G235" i="2" s="1"/>
  <c r="F238" i="2"/>
  <c r="F60" i="2"/>
  <c r="D234" i="2"/>
  <c r="F234" i="2" s="1"/>
  <c r="F233" i="2"/>
  <c r="F230" i="2"/>
  <c r="F232" i="2"/>
  <c r="F231" i="2"/>
  <c r="F229" i="2"/>
  <c r="F228" i="2"/>
  <c r="F227" i="2"/>
  <c r="D226" i="2"/>
  <c r="F226" i="2" s="1"/>
  <c r="D225" i="2"/>
  <c r="F225" i="2" s="1"/>
  <c r="F224" i="2"/>
  <c r="F223" i="2"/>
  <c r="F221" i="2"/>
  <c r="F220" i="2"/>
  <c r="D210" i="2"/>
  <c r="F210" i="2" s="1"/>
  <c r="D211" i="2"/>
  <c r="F211" i="2" s="1"/>
  <c r="D212" i="2"/>
  <c r="F212" i="2" s="1"/>
  <c r="D213" i="2"/>
  <c r="F213" i="2" s="1"/>
  <c r="D214" i="2"/>
  <c r="F214" i="2" s="1"/>
  <c r="D215" i="2"/>
  <c r="F215" i="2" s="1"/>
  <c r="D216" i="2"/>
  <c r="F216" i="2" s="1"/>
  <c r="D217" i="2"/>
  <c r="F217" i="2" s="1"/>
  <c r="D218" i="2"/>
  <c r="F218" i="2" s="1"/>
  <c r="D219" i="2"/>
  <c r="F219" i="2" s="1"/>
  <c r="D209" i="2"/>
  <c r="F209" i="2" s="1"/>
  <c r="F199" i="2"/>
  <c r="F200" i="2"/>
  <c r="F201" i="2"/>
  <c r="F202" i="2"/>
  <c r="F203" i="2"/>
  <c r="F205" i="2"/>
  <c r="F206" i="2"/>
  <c r="F207" i="2"/>
  <c r="F208" i="2"/>
  <c r="F198" i="2"/>
  <c r="F204" i="2"/>
  <c r="F222" i="2"/>
  <c r="E14" i="2"/>
  <c r="E13" i="2"/>
  <c r="E12" i="2"/>
  <c r="E11" i="2"/>
  <c r="E10" i="2"/>
  <c r="E9" i="2"/>
  <c r="E8" i="2"/>
  <c r="E7" i="2"/>
  <c r="E6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G137" i="2" l="1"/>
  <c r="G197" i="2"/>
  <c r="F10" i="2" l="1"/>
  <c r="F11" i="2"/>
  <c r="F12" i="2"/>
  <c r="F13" i="2"/>
  <c r="F14" i="2"/>
  <c r="F15" i="2"/>
  <c r="F16" i="2"/>
  <c r="F17" i="2"/>
  <c r="F18" i="2"/>
  <c r="F19" i="2"/>
  <c r="F20" i="2"/>
  <c r="F21" i="2"/>
  <c r="F22" i="2"/>
  <c r="F24" i="2"/>
  <c r="F9" i="2" l="1"/>
  <c r="F8" i="2"/>
  <c r="F7" i="2"/>
  <c r="F6" i="2"/>
  <c r="G5" i="2" s="1"/>
  <c r="D59" i="2"/>
  <c r="E62" i="2"/>
  <c r="F62" i="2" s="1"/>
  <c r="F61" i="2"/>
  <c r="E59" i="2"/>
  <c r="E58" i="2"/>
  <c r="F58" i="2" s="1"/>
  <c r="E57" i="2"/>
  <c r="F57" i="2" s="1"/>
  <c r="E55" i="2"/>
  <c r="E56" i="2"/>
  <c r="F56" i="2" s="1"/>
  <c r="F59" i="2" l="1"/>
  <c r="I84" i="2"/>
  <c r="I66" i="2"/>
  <c r="I67" i="2"/>
  <c r="I82" i="2" l="1"/>
  <c r="D90" i="2"/>
  <c r="F90" i="2" s="1"/>
  <c r="D89" i="2"/>
  <c r="F89" i="2" s="1"/>
  <c r="I81" i="2"/>
  <c r="I91" i="2"/>
  <c r="D91" i="2" s="1"/>
  <c r="F91" i="2" s="1"/>
  <c r="I95" i="2"/>
  <c r="D95" i="2" s="1"/>
  <c r="F95" i="2" s="1"/>
  <c r="I96" i="2"/>
  <c r="D96" i="2" s="1"/>
  <c r="F96" i="2" s="1"/>
  <c r="F67" i="2" l="1"/>
  <c r="F71" i="2"/>
  <c r="F55" i="2"/>
  <c r="F54" i="2"/>
  <c r="G53" i="2" s="1"/>
  <c r="G236" i="2"/>
  <c r="G237" i="2" s="1"/>
  <c r="F242" i="2"/>
  <c r="F240" i="2"/>
  <c r="G198" i="2"/>
  <c r="G138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05" i="2"/>
  <c r="G105" i="2" s="1"/>
  <c r="F100" i="2"/>
  <c r="F101" i="2"/>
  <c r="F102" i="2"/>
  <c r="F103" i="2"/>
  <c r="F99" i="2"/>
  <c r="G98" i="2" s="1"/>
  <c r="F65" i="2"/>
  <c r="F68" i="2"/>
  <c r="F69" i="2"/>
  <c r="F70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64" i="2"/>
  <c r="F44" i="2"/>
  <c r="G44" i="2" s="1"/>
  <c r="F45" i="2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43" i="2"/>
  <c r="G43" i="2" s="1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27" i="2"/>
  <c r="G27" i="2" l="1"/>
  <c r="G26" i="2"/>
  <c r="G239" i="2"/>
  <c r="G45" i="2"/>
  <c r="G42" i="2"/>
  <c r="G104" i="2"/>
  <c r="G54" i="2"/>
  <c r="G55" i="2" s="1"/>
  <c r="G56" i="2" s="1"/>
  <c r="G57" i="2" s="1"/>
  <c r="G58" i="2" s="1"/>
  <c r="G59" i="2" s="1"/>
  <c r="G60" i="2" s="1"/>
  <c r="G61" i="2" s="1"/>
  <c r="G62" i="2" s="1"/>
  <c r="G139" i="2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238" i="2"/>
  <c r="G106" i="2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99" i="2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64" i="2"/>
  <c r="G65" i="2" s="1"/>
  <c r="G28" i="2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99" i="2"/>
  <c r="G100" i="2" s="1"/>
  <c r="G101" i="2" s="1"/>
  <c r="G102" i="2" s="1"/>
  <c r="G103" i="2" s="1"/>
  <c r="G6" i="2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4" i="2" s="1"/>
  <c r="F66" i="2" l="1"/>
  <c r="G66" i="2" l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63" i="2"/>
  <c r="G25" i="2" s="1"/>
  <c r="G243" i="2" s="1"/>
  <c r="G245" i="2" s="1"/>
  <c r="G244" i="2" l="1"/>
  <c r="G246" i="2" l="1"/>
  <c r="G247" i="2" s="1" a="1"/>
  <c r="G24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ingenieria</author>
  </authors>
  <commentList>
    <comment ref="D35" authorId="0" shapeId="0" xr:uid="{A300DF94-E7CE-43F5-A783-3848EFBE72B5}">
      <text>
        <r>
          <rPr>
            <b/>
            <sz val="9"/>
            <color indexed="81"/>
            <rFont val="Tahoma"/>
            <family val="2"/>
          </rPr>
          <t>TIEMPO DE ENTREGA DE EQUIPO</t>
        </r>
      </text>
    </comment>
    <comment ref="D36" authorId="0" shapeId="0" xr:uid="{0C6F7186-AF82-4105-A1FF-561F9F70EE00}">
      <text>
        <r>
          <rPr>
            <b/>
            <sz val="9"/>
            <color indexed="81"/>
            <rFont val="Tahoma"/>
            <family val="2"/>
          </rPr>
          <t>SERVICIO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<sst xmlns="http://schemas.openxmlformats.org/spreadsheetml/2006/main" count="879" uniqueCount="582">
  <si>
    <r>
      <rPr>
        <b/>
        <sz val="8.5"/>
        <rFont val="Calibri"/>
        <family val="1"/>
      </rPr>
      <t>INFORMACIÓN DE LA EMPRESA</t>
    </r>
  </si>
  <si>
    <r>
      <rPr>
        <b/>
        <sz val="14"/>
        <rFont val="Calibri"/>
        <family val="1"/>
      </rPr>
      <t>N° DE COTIZACIÓN</t>
    </r>
  </si>
  <si>
    <r>
      <rPr>
        <b/>
        <sz val="14"/>
        <rFont val="Calibri"/>
        <family val="1"/>
      </rPr>
      <t>JP. 0001.2404.2024</t>
    </r>
  </si>
  <si>
    <r>
      <rPr>
        <b/>
        <sz val="8.5"/>
        <rFont val="Calibri"/>
        <family val="1"/>
      </rPr>
      <t xml:space="preserve">Razón Social: </t>
    </r>
    <r>
      <rPr>
        <sz val="8.5"/>
        <rFont val="Calibri"/>
        <family val="1"/>
      </rPr>
      <t xml:space="preserve">JP Ingenieria y Servicios SRL
</t>
    </r>
    <r>
      <rPr>
        <b/>
        <sz val="8.5"/>
        <rFont val="Calibri"/>
        <family val="1"/>
      </rPr>
      <t xml:space="preserve">RUC: </t>
    </r>
    <r>
      <rPr>
        <sz val="8.5"/>
        <rFont val="Calibri"/>
        <family val="1"/>
      </rPr>
      <t xml:space="preserve">20454300654
</t>
    </r>
    <r>
      <rPr>
        <b/>
        <sz val="8.5"/>
        <rFont val="Calibri"/>
        <family val="1"/>
      </rPr>
      <t xml:space="preserve">Dirección: </t>
    </r>
    <r>
      <rPr>
        <sz val="8.5"/>
        <rFont val="Calibri"/>
        <family val="1"/>
      </rPr>
      <t>Cooperativa Lambramani E17 A - J.L.B. y R.</t>
    </r>
  </si>
  <si>
    <r>
      <rPr>
        <b/>
        <sz val="8.5"/>
        <rFont val="Calibri"/>
        <family val="1"/>
      </rPr>
      <t xml:space="preserve">Señores
</t>
    </r>
    <r>
      <rPr>
        <b/>
        <sz val="8.5"/>
        <rFont val="Calibri"/>
        <family val="1"/>
      </rPr>
      <t>Atención</t>
    </r>
  </si>
  <si>
    <r>
      <rPr>
        <b/>
        <sz val="8.5"/>
        <rFont val="Calibri"/>
        <family val="1"/>
      </rPr>
      <t xml:space="preserve">: Compañía Minera Antapaccay S.A.
</t>
    </r>
    <r>
      <rPr>
        <b/>
        <sz val="8.5"/>
        <rFont val="Calibri"/>
        <family val="1"/>
      </rPr>
      <t xml:space="preserve">:  </t>
    </r>
    <r>
      <rPr>
        <sz val="8.5"/>
        <rFont val="Calibri"/>
        <family val="1"/>
      </rPr>
      <t>Alvaro Supo</t>
    </r>
  </si>
  <si>
    <r>
      <rPr>
        <b/>
        <sz val="8.5"/>
        <rFont val="Calibri"/>
        <family val="1"/>
      </rPr>
      <t>E-mail</t>
    </r>
  </si>
  <si>
    <r>
      <rPr>
        <b/>
        <sz val="8.5"/>
        <rFont val="Calibri"/>
        <family val="1"/>
      </rPr>
      <t xml:space="preserve">:  </t>
    </r>
    <r>
      <rPr>
        <u/>
        <sz val="8.5"/>
        <color rgb="FF0000FF"/>
        <rFont val="Arial MT"/>
        <family val="2"/>
      </rPr>
      <t>Alvaro.Supo@glencore.com.pe</t>
    </r>
  </si>
  <si>
    <r>
      <rPr>
        <b/>
        <sz val="8.5"/>
        <rFont val="Calibri"/>
        <family val="1"/>
      </rPr>
      <t>N° Cot.       :</t>
    </r>
  </si>
  <si>
    <r>
      <rPr>
        <sz val="8.5"/>
        <rFont val="Calibri"/>
        <family val="1"/>
      </rPr>
      <t>JP. 0001.2404.2024</t>
    </r>
  </si>
  <si>
    <r>
      <rPr>
        <b/>
        <sz val="8.5"/>
        <rFont val="Calibri"/>
        <family val="1"/>
      </rPr>
      <t>Celular</t>
    </r>
  </si>
  <si>
    <r>
      <rPr>
        <b/>
        <sz val="8.5"/>
        <rFont val="Calibri"/>
        <family val="1"/>
      </rPr>
      <t>:</t>
    </r>
  </si>
  <si>
    <r>
      <rPr>
        <b/>
        <sz val="8.5"/>
        <rFont val="Calibri"/>
        <family val="1"/>
      </rPr>
      <t>Fecha          :</t>
    </r>
  </si>
  <si>
    <r>
      <rPr>
        <sz val="8.5"/>
        <rFont val="Calibri"/>
        <family val="1"/>
      </rPr>
      <t>Arequipa,  25 de abril  2024</t>
    </r>
  </si>
  <si>
    <r>
      <rPr>
        <sz val="8.5"/>
        <rFont val="Calibri"/>
        <family val="1"/>
      </rPr>
      <t>Atendiendo a su pedido le hacemos llegar la siguiente cotización:</t>
    </r>
  </si>
  <si>
    <r>
      <rPr>
        <sz val="8.5"/>
        <rFont val="Calibri"/>
        <family val="1"/>
      </rPr>
      <t xml:space="preserve">Cotización:
</t>
    </r>
    <r>
      <rPr>
        <b/>
        <sz val="8.5"/>
        <rFont val="Calibri"/>
        <family val="1"/>
      </rPr>
      <t>PRESUPUESTO: ''MEJORAMIENTO DE EQUIPOS HVAC OFICINAS TI - ANTAPACCAY''</t>
    </r>
  </si>
  <si>
    <r>
      <rPr>
        <b/>
        <sz val="8.5"/>
        <rFont val="Calibri"/>
        <family val="1"/>
      </rPr>
      <t>PRECIO NO INCLUIDO IGV       $                                                    65,807.78</t>
    </r>
  </si>
  <si>
    <r>
      <rPr>
        <b/>
        <sz val="8.5"/>
        <rFont val="Calibri"/>
        <family val="1"/>
      </rPr>
      <t xml:space="preserve">CONDICIONES DE LA OFERTA
</t>
    </r>
    <r>
      <rPr>
        <b/>
        <sz val="8.5"/>
        <rFont val="Calibri"/>
        <family val="1"/>
      </rPr>
      <t xml:space="preserve">Moneda                                :    </t>
    </r>
    <r>
      <rPr>
        <sz val="8.5"/>
        <rFont val="Calibri"/>
        <family val="1"/>
      </rPr>
      <t xml:space="preserve">DOLARES
</t>
    </r>
    <r>
      <rPr>
        <b/>
        <sz val="8.5"/>
        <rFont val="Calibri"/>
        <family val="1"/>
      </rPr>
      <t xml:space="preserve">Impuesto                              :    </t>
    </r>
    <r>
      <rPr>
        <sz val="8.5"/>
        <rFont val="Calibri"/>
        <family val="1"/>
      </rPr>
      <t xml:space="preserve">NO INCLUIDO IGV
</t>
    </r>
    <r>
      <rPr>
        <b/>
        <sz val="8.5"/>
        <rFont val="Calibri"/>
        <family val="1"/>
      </rPr>
      <t xml:space="preserve">Tiempo de Entrega            :    </t>
    </r>
    <r>
      <rPr>
        <sz val="8.5"/>
        <color rgb="FFFF0000"/>
        <rFont val="Calibri"/>
        <family val="1"/>
      </rPr>
      <t xml:space="preserve">15 DIAS
</t>
    </r>
    <r>
      <rPr>
        <b/>
        <sz val="8.5"/>
        <rFont val="Calibri"/>
        <family val="1"/>
      </rPr>
      <t xml:space="preserve">Tiempo de Servicio            :    </t>
    </r>
    <r>
      <rPr>
        <sz val="8.5"/>
        <color rgb="FFFF0000"/>
        <rFont val="Calibri"/>
        <family val="1"/>
      </rPr>
      <t>30 DIAS</t>
    </r>
  </si>
  <si>
    <r>
      <rPr>
        <b/>
        <sz val="8.5"/>
        <rFont val="Calibri"/>
        <family val="1"/>
      </rPr>
      <t xml:space="preserve">Facturación                         :    </t>
    </r>
    <r>
      <rPr>
        <sz val="8.5"/>
        <rFont val="Calibri"/>
        <family val="1"/>
      </rPr>
      <t>50% ADELANTO 50% CONTRAENTREGA</t>
    </r>
  </si>
  <si>
    <r>
      <rPr>
        <b/>
        <vertAlign val="superscript"/>
        <sz val="8.5"/>
        <rFont val="Calibri"/>
        <family val="1"/>
      </rPr>
      <t xml:space="preserve">Tiempo de Garantia          :    </t>
    </r>
    <r>
      <rPr>
        <sz val="8.5"/>
        <rFont val="Calibri"/>
        <family val="1"/>
      </rPr>
      <t xml:space="preserve">3 MES </t>
    </r>
    <r>
      <rPr>
        <b/>
        <vertAlign val="superscript"/>
        <sz val="8.5"/>
        <rFont val="Calibri"/>
        <family val="1"/>
      </rPr>
      <t xml:space="preserve">Validez de la Oferta          :     </t>
    </r>
    <r>
      <rPr>
        <sz val="8.5"/>
        <rFont val="Calibri"/>
        <family val="1"/>
      </rPr>
      <t xml:space="preserve">15 DÍAS </t>
    </r>
    <r>
      <rPr>
        <b/>
        <i/>
        <sz val="8"/>
        <color rgb="FFFF0000"/>
        <rFont val="Calibri"/>
        <family val="1"/>
      </rPr>
      <t xml:space="preserve">NO INCLUYE ANDAMIOS
</t>
    </r>
    <r>
      <rPr>
        <b/>
        <i/>
        <sz val="8"/>
        <color rgb="FFFF0000"/>
        <rFont val="Calibri"/>
        <family val="1"/>
      </rPr>
      <t>NO INCLUYE GRUA</t>
    </r>
  </si>
  <si>
    <r>
      <rPr>
        <b/>
        <sz val="8.5"/>
        <color rgb="FF808080"/>
        <rFont val="Calibri"/>
        <family val="1"/>
      </rPr>
      <t xml:space="preserve">Luis Vargas
</t>
    </r>
    <r>
      <rPr>
        <b/>
        <sz val="8.5"/>
        <color rgb="FF808080"/>
        <rFont val="Calibri"/>
        <family val="1"/>
      </rPr>
      <t xml:space="preserve">Celular : 972850800 </t>
    </r>
    <r>
      <rPr>
        <b/>
        <sz val="8.5"/>
        <color rgb="FF001F60"/>
        <rFont val="Arial"/>
        <family val="2"/>
      </rPr>
      <t xml:space="preserve">luis.vargas@jpingenieria.pe </t>
    </r>
    <r>
      <rPr>
        <b/>
        <u/>
        <sz val="8.5"/>
        <color rgb="FF233F62"/>
        <rFont val="Calibri"/>
        <family val="1"/>
      </rPr>
      <t>www.jpingenieria.pe</t>
    </r>
  </si>
  <si>
    <r>
      <rPr>
        <b/>
        <sz val="6.5"/>
        <rFont val="Calibri"/>
        <family val="1"/>
      </rPr>
      <t>ITEM</t>
    </r>
  </si>
  <si>
    <r>
      <rPr>
        <b/>
        <sz val="6.5"/>
        <rFont val="Calibri"/>
        <family val="1"/>
      </rPr>
      <t>DESCRIPCION DE PARTIDA</t>
    </r>
  </si>
  <si>
    <r>
      <rPr>
        <b/>
        <sz val="6.5"/>
        <rFont val="Calibri"/>
        <family val="1"/>
      </rPr>
      <t>P.U.</t>
    </r>
  </si>
  <si>
    <r>
      <rPr>
        <b/>
        <sz val="6.5"/>
        <rFont val="Calibri"/>
        <family val="1"/>
      </rPr>
      <t>SUB TOTAL</t>
    </r>
  </si>
  <si>
    <r>
      <rPr>
        <b/>
        <sz val="6.5"/>
        <rFont val="Calibri"/>
        <family val="1"/>
      </rPr>
      <t>TOTAL</t>
    </r>
  </si>
  <si>
    <r>
      <rPr>
        <b/>
        <sz val="6.5"/>
        <rFont val="Calibri"/>
        <family val="1"/>
      </rPr>
      <t>1. EJECUCION DE LA OBRA</t>
    </r>
  </si>
  <si>
    <r>
      <rPr>
        <b/>
        <sz val="6.5"/>
        <rFont val="Calibri"/>
        <family val="1"/>
      </rPr>
      <t>01.00.00</t>
    </r>
  </si>
  <si>
    <r>
      <rPr>
        <b/>
        <sz val="6.5"/>
        <rFont val="Calibri"/>
        <family val="1"/>
      </rPr>
      <t>EQUIPOS</t>
    </r>
  </si>
  <si>
    <r>
      <rPr>
        <sz val="6.5"/>
        <rFont val="Calibri"/>
        <family val="1"/>
      </rPr>
      <t>UND</t>
    </r>
  </si>
  <si>
    <r>
      <rPr>
        <b/>
        <sz val="6.5"/>
        <rFont val="Calibri"/>
        <family val="1"/>
      </rPr>
      <t>02.00.00</t>
    </r>
  </si>
  <si>
    <r>
      <rPr>
        <b/>
        <sz val="6.5"/>
        <rFont val="Calibri"/>
        <family val="1"/>
      </rPr>
      <t>MATERIALES</t>
    </r>
  </si>
  <si>
    <r>
      <rPr>
        <b/>
        <sz val="6.5"/>
        <rFont val="Calibri"/>
        <family val="1"/>
      </rPr>
      <t>CONSUMIBLES</t>
    </r>
  </si>
  <si>
    <r>
      <rPr>
        <sz val="6.5"/>
        <rFont val="Calibri"/>
        <family val="1"/>
      </rPr>
      <t>AFLOJA TODO</t>
    </r>
  </si>
  <si>
    <r>
      <rPr>
        <sz val="6.5"/>
        <rFont val="Calibri"/>
        <family val="1"/>
      </rPr>
      <t>ACETILENO 10M3</t>
    </r>
  </si>
  <si>
    <r>
      <rPr>
        <sz val="6.5"/>
        <rFont val="Calibri"/>
        <family val="1"/>
      </rPr>
      <t>M3</t>
    </r>
  </si>
  <si>
    <r>
      <rPr>
        <sz val="6.5"/>
        <rFont val="Calibri"/>
        <family val="1"/>
      </rPr>
      <t>NITROGENO 10M3</t>
    </r>
  </si>
  <si>
    <r>
      <rPr>
        <sz val="6.5"/>
        <rFont val="Calibri"/>
        <family val="1"/>
      </rPr>
      <t>OXIGENO</t>
    </r>
  </si>
  <si>
    <r>
      <rPr>
        <sz val="6.5"/>
        <rFont val="Calibri"/>
        <family val="1"/>
      </rPr>
      <t>VARILLA DE PLATA 5%</t>
    </r>
  </si>
  <si>
    <r>
      <rPr>
        <sz val="6.5"/>
        <rFont val="Calibri"/>
        <family val="1"/>
      </rPr>
      <t>GAS REFRIGERANTE R410</t>
    </r>
  </si>
  <si>
    <r>
      <rPr>
        <sz val="6.5"/>
        <rFont val="Calibri"/>
        <family val="1"/>
      </rPr>
      <t>GALVANIZADOR</t>
    </r>
  </si>
  <si>
    <r>
      <rPr>
        <sz val="6.5"/>
        <rFont val="Calibri"/>
        <family val="1"/>
      </rPr>
      <t>SIKAFLEX EN SALCHICHA (MANGA) - BLANCO 600ML SIKA</t>
    </r>
  </si>
  <si>
    <r>
      <rPr>
        <sz val="6.5"/>
        <rFont val="Calibri"/>
        <family val="1"/>
      </rPr>
      <t>DETECTOR DE FUGAS EN AEROSOL 400ML</t>
    </r>
  </si>
  <si>
    <r>
      <rPr>
        <sz val="6.5"/>
        <rFont val="Calibri"/>
        <family val="1"/>
      </rPr>
      <t>EXTINTOR PQS DE 8KG</t>
    </r>
  </si>
  <si>
    <r>
      <rPr>
        <sz val="6.5"/>
        <rFont val="Calibri"/>
        <family val="1"/>
      </rPr>
      <t>ACEITE P/ BOMBA DE VACIO DE 1/4 GALON PRO-SET® Premium Vacuum Pump</t>
    </r>
  </si>
  <si>
    <r>
      <rPr>
        <sz val="6.5"/>
        <rFont val="Calibri"/>
        <family val="1"/>
      </rPr>
      <t>CAJA DE AGUA 20 LTS</t>
    </r>
  </si>
  <si>
    <r>
      <rPr>
        <sz val="6.5"/>
        <rFont val="Calibri"/>
        <family val="1"/>
      </rPr>
      <t>KIT DE BOTIQUIN</t>
    </r>
  </si>
  <si>
    <r>
      <rPr>
        <sz val="6.5"/>
        <rFont val="Calibri"/>
        <family val="1"/>
      </rPr>
      <t>LAVAOJOS PORTATIL</t>
    </r>
  </si>
  <si>
    <r>
      <rPr>
        <b/>
        <sz val="6.5"/>
        <rFont val="Calibri"/>
        <family val="1"/>
      </rPr>
      <t>SOPORTE</t>
    </r>
  </si>
  <si>
    <r>
      <rPr>
        <sz val="6.5"/>
        <rFont val="Calibri"/>
        <family val="1"/>
      </rPr>
      <t>SOPORTE DE CONDENSADORAS</t>
    </r>
  </si>
  <si>
    <r>
      <rPr>
        <sz val="6.5"/>
        <rFont val="Calibri"/>
        <family val="1"/>
      </rPr>
      <t>PLATINA 2 X 1/8 X 6.00 M</t>
    </r>
  </si>
  <si>
    <r>
      <rPr>
        <sz val="6.5"/>
        <rFont val="Calibri"/>
        <family val="1"/>
      </rPr>
      <t>TUERCA CABEZA HEXAGONAL 3/8"</t>
    </r>
  </si>
  <si>
    <r>
      <rPr>
        <sz val="6.5"/>
        <rFont val="Calibri"/>
        <family val="1"/>
      </rPr>
      <t>VOLANDA DE 3/8"</t>
    </r>
  </si>
  <si>
    <r>
      <rPr>
        <sz val="6.5"/>
        <rFont val="Calibri"/>
        <family val="1"/>
      </rPr>
      <t>TACOS DE EXPANSION 3/8''</t>
    </r>
  </si>
  <si>
    <r>
      <rPr>
        <sz val="6.5"/>
        <rFont val="Calibri"/>
        <family val="1"/>
      </rPr>
      <t>VARILLA ROSCADA DE 3/8 X 1.80M</t>
    </r>
  </si>
  <si>
    <r>
      <rPr>
        <sz val="6.5"/>
        <rFont val="Calibri"/>
        <family val="1"/>
      </rPr>
      <t>PERFIL STRUT RIEL BAJO X 2.40M</t>
    </r>
  </si>
  <si>
    <r>
      <rPr>
        <sz val="6.5"/>
        <rFont val="Calibri"/>
        <family val="1"/>
      </rPr>
      <t>UNION PARA VARILLA ROSCADA DE ACERO INOXIDABLE</t>
    </r>
  </si>
  <si>
    <r>
      <rPr>
        <sz val="6.5"/>
        <rFont val="Calibri"/>
        <family val="1"/>
      </rPr>
      <t>TUERCA MARIPOSA C 3/8"</t>
    </r>
  </si>
  <si>
    <r>
      <rPr>
        <sz val="6.5"/>
        <rFont val="Calibri"/>
        <family val="1"/>
      </rPr>
      <t>CAJA DE SOPORTE DE UE</t>
    </r>
  </si>
  <si>
    <r>
      <rPr>
        <b/>
        <sz val="6.5"/>
        <rFont val="Calibri"/>
        <family val="1"/>
      </rPr>
      <t>TUBERIA DE COBRE</t>
    </r>
  </si>
  <si>
    <r>
      <rPr>
        <sz val="6.5"/>
        <rFont val="Calibri"/>
        <family val="1"/>
      </rPr>
      <t>TUBERIA DE COBRE RIGIDA 1 1/8" X6M</t>
    </r>
  </si>
  <si>
    <r>
      <rPr>
        <sz val="6.5"/>
        <rFont val="Calibri"/>
        <family val="1"/>
      </rPr>
      <t>MTR</t>
    </r>
  </si>
  <si>
    <r>
      <rPr>
        <sz val="6.5"/>
        <rFont val="Calibri"/>
        <family val="1"/>
      </rPr>
      <t>TUBERIA DE COBRE RIGIDA 1/4" X6M</t>
    </r>
  </si>
  <si>
    <r>
      <rPr>
        <b/>
        <sz val="6.5"/>
        <rFont val="Calibri"/>
        <family val="1"/>
      </rPr>
      <t>TUBERIA DE PVC</t>
    </r>
  </si>
  <si>
    <r>
      <rPr>
        <sz val="6.5"/>
        <rFont val="Calibri"/>
        <family val="1"/>
      </rPr>
      <t>TUBERIA DE PVC 3/4 " X 5M EMBONABLE</t>
    </r>
  </si>
  <si>
    <r>
      <rPr>
        <sz val="6.5"/>
        <rFont val="Calibri"/>
        <family val="1"/>
      </rPr>
      <t>UNIÓN PARA TUBERIA DE PVC 3/4"</t>
    </r>
  </si>
  <si>
    <r>
      <rPr>
        <sz val="6.5"/>
        <rFont val="Calibri"/>
        <family val="1"/>
      </rPr>
      <t>CODO PARA TUBERIA DE PVC 3/4"</t>
    </r>
  </si>
  <si>
    <r>
      <rPr>
        <sz val="6.5"/>
        <rFont val="Calibri"/>
        <family val="1"/>
      </rPr>
      <t>TEE PARA TUBERIA DE PVC 3/4"</t>
    </r>
  </si>
  <si>
    <r>
      <rPr>
        <sz val="6.5"/>
        <rFont val="Calibri"/>
        <family val="1"/>
      </rPr>
      <t>PEGAMENTO PARA PVC 237ML (OATEY)</t>
    </r>
  </si>
  <si>
    <r>
      <rPr>
        <sz val="6.5"/>
        <rFont val="Calibri"/>
        <family val="1"/>
      </rPr>
      <t>GLN</t>
    </r>
  </si>
  <si>
    <r>
      <rPr>
        <b/>
        <sz val="6.5"/>
        <rFont val="Calibri"/>
        <family val="1"/>
      </rPr>
      <t>TUBERIA ELECTRICA</t>
    </r>
  </si>
  <si>
    <r>
      <rPr>
        <sz val="6.5"/>
        <rFont val="Calibri"/>
        <family val="1"/>
      </rPr>
      <t>ABRAZADERA PARA RIEL STRUT 1"</t>
    </r>
  </si>
  <si>
    <r>
      <rPr>
        <sz val="6.5"/>
        <rFont val="Calibri"/>
        <family val="1"/>
      </rPr>
      <t>PAR</t>
    </r>
  </si>
  <si>
    <r>
      <rPr>
        <sz val="6.5"/>
        <rFont val="Calibri"/>
        <family val="1"/>
      </rPr>
      <t>ABRAZADERA PARA RIEL STRUT 1/2"</t>
    </r>
  </si>
  <si>
    <r>
      <rPr>
        <sz val="6.5"/>
        <rFont val="Calibri"/>
        <family val="1"/>
      </rPr>
      <t>ABRAZADERA PARA RIEL STRUT 3/4"</t>
    </r>
  </si>
  <si>
    <r>
      <rPr>
        <sz val="6.5"/>
        <rFont val="Calibri"/>
        <family val="1"/>
      </rPr>
      <t>TUBO CONDUIT RIG  IMC Ø3/4'' X 3M</t>
    </r>
  </si>
  <si>
    <r>
      <rPr>
        <sz val="6.5"/>
        <rFont val="Calibri"/>
        <family val="1"/>
      </rPr>
      <t>CURVA CONDUIT IMC Ø3/4''</t>
    </r>
  </si>
  <si>
    <r>
      <rPr>
        <sz val="6.5"/>
        <rFont val="Calibri"/>
        <family val="1"/>
      </rPr>
      <t>UNION CONDUIT IMC Ø3/4''</t>
    </r>
  </si>
  <si>
    <r>
      <rPr>
        <sz val="6.5"/>
        <rFont val="Calibri"/>
        <family val="1"/>
      </rPr>
      <t>CURVA CONDUIT IMC Ø1/2''</t>
    </r>
  </si>
  <si>
    <r>
      <rPr>
        <sz val="6.5"/>
        <rFont val="Calibri"/>
        <family val="1"/>
      </rPr>
      <t>UNION CONDUIT IMC Ø1/2'</t>
    </r>
  </si>
  <si>
    <r>
      <rPr>
        <sz val="6.5"/>
        <rFont val="Calibri"/>
        <family val="1"/>
      </rPr>
      <t>CAJA CONDULET TIPO LB 1/2"</t>
    </r>
  </si>
  <si>
    <r>
      <rPr>
        <sz val="6.5"/>
        <rFont val="Calibri"/>
        <family val="1"/>
      </rPr>
      <t>CAJA CONDULET TIPO T 1/2"</t>
    </r>
  </si>
  <si>
    <r>
      <rPr>
        <sz val="6.5"/>
        <rFont val="Calibri"/>
        <family val="1"/>
      </rPr>
      <t>CAPUCHONES PARA CABLE 1.5MM</t>
    </r>
  </si>
  <si>
    <r>
      <rPr>
        <sz val="6.5"/>
        <rFont val="Calibri"/>
        <family val="1"/>
      </rPr>
      <t>CINTILLOS DE 10 CM</t>
    </r>
  </si>
  <si>
    <r>
      <rPr>
        <sz val="6.5"/>
        <rFont val="Calibri"/>
        <family val="1"/>
      </rPr>
      <t>BOLSA</t>
    </r>
  </si>
  <si>
    <r>
      <rPr>
        <sz val="6.5"/>
        <rFont val="Calibri"/>
        <family val="1"/>
      </rPr>
      <t>CINTILLOS DE 20 CM</t>
    </r>
  </si>
  <si>
    <r>
      <rPr>
        <sz val="6.5"/>
        <rFont val="Calibri"/>
        <family val="1"/>
      </rPr>
      <t>CINTA AISLANTE 3M NEGRO</t>
    </r>
  </si>
  <si>
    <r>
      <rPr>
        <b/>
        <sz val="6.5"/>
        <rFont val="Calibri"/>
        <family val="1"/>
      </rPr>
      <t>03.00.00</t>
    </r>
  </si>
  <si>
    <r>
      <rPr>
        <b/>
        <sz val="6.5"/>
        <rFont val="Calibri"/>
        <family val="1"/>
      </rPr>
      <t>HERRAMIENTAS</t>
    </r>
  </si>
  <si>
    <r>
      <rPr>
        <sz val="6.5"/>
        <rFont val="Calibri"/>
        <family val="1"/>
      </rPr>
      <t>03.00.01</t>
    </r>
  </si>
  <si>
    <r>
      <rPr>
        <sz val="6.5"/>
        <rFont val="Calibri"/>
        <family val="1"/>
      </rPr>
      <t>TALADRO INALAMBRICO - GRANDE WURTH</t>
    </r>
  </si>
  <si>
    <r>
      <rPr>
        <sz val="6.5"/>
        <rFont val="Calibri"/>
        <family val="1"/>
      </rPr>
      <t>03.00.02</t>
    </r>
  </si>
  <si>
    <r>
      <rPr>
        <sz val="6.5"/>
        <rFont val="Calibri"/>
        <family val="1"/>
      </rPr>
      <t>ACOPLE MANGNÉTICO 5/16" BAUKER</t>
    </r>
  </si>
  <si>
    <r>
      <rPr>
        <sz val="6.5"/>
        <rFont val="Calibri"/>
        <family val="1"/>
      </rPr>
      <t>03.00.03</t>
    </r>
  </si>
  <si>
    <r>
      <rPr>
        <sz val="6.5"/>
        <rFont val="Calibri"/>
        <family val="1"/>
      </rPr>
      <t>TALADRO PERCUTOR DEWALT</t>
    </r>
  </si>
  <si>
    <r>
      <rPr>
        <sz val="6.5"/>
        <rFont val="Calibri"/>
        <family val="1"/>
      </rPr>
      <t>03.00.04</t>
    </r>
  </si>
  <si>
    <r>
      <rPr>
        <sz val="6.5"/>
        <rFont val="Calibri"/>
        <family val="1"/>
      </rPr>
      <t>JUEGO DE BROCAS DE CONCRETO</t>
    </r>
  </si>
  <si>
    <r>
      <rPr>
        <sz val="6.5"/>
        <rFont val="Calibri"/>
        <family val="1"/>
      </rPr>
      <t>03.00.05</t>
    </r>
  </si>
  <si>
    <r>
      <rPr>
        <sz val="6.5"/>
        <rFont val="Calibri"/>
        <family val="1"/>
      </rPr>
      <t>JUEGO DE BROCAS DE METAL</t>
    </r>
  </si>
  <si>
    <r>
      <rPr>
        <sz val="6.5"/>
        <rFont val="Calibri"/>
        <family val="1"/>
      </rPr>
      <t>03.00.06</t>
    </r>
  </si>
  <si>
    <r>
      <rPr>
        <sz val="6.5"/>
        <rFont val="Calibri"/>
        <family val="1"/>
      </rPr>
      <t>JUEGO DE LLAVES DE BOCA MIXTA</t>
    </r>
  </si>
  <si>
    <r>
      <rPr>
        <sz val="6.5"/>
        <rFont val="Calibri"/>
        <family val="1"/>
      </rPr>
      <t>03.00.07</t>
    </r>
  </si>
  <si>
    <r>
      <rPr>
        <sz val="6.5"/>
        <rFont val="Calibri"/>
        <family val="1"/>
      </rPr>
      <t>JUEGO DE ALICATE 3 PZA STANLEYY</t>
    </r>
  </si>
  <si>
    <r>
      <rPr>
        <sz val="6.5"/>
        <rFont val="Calibri"/>
        <family val="1"/>
      </rPr>
      <t>03.00.08</t>
    </r>
  </si>
  <si>
    <r>
      <rPr>
        <sz val="6.5"/>
        <rFont val="Calibri"/>
        <family val="1"/>
      </rPr>
      <t>JUEGO DE DESTORNILLADOR 6 PZAS REDLINE MECANICOS</t>
    </r>
  </si>
  <si>
    <r>
      <rPr>
        <sz val="6.5"/>
        <rFont val="Calibri"/>
        <family val="1"/>
      </rPr>
      <t>03.00.09</t>
    </r>
  </si>
  <si>
    <r>
      <rPr>
        <sz val="6.5"/>
        <rFont val="Calibri"/>
        <family val="1"/>
      </rPr>
      <t>JUEGO DE DESTORNILLADOR 6 PZAS REDLINE DIELECTRICOS</t>
    </r>
  </si>
  <si>
    <r>
      <rPr>
        <sz val="6.5"/>
        <rFont val="Calibri"/>
        <family val="1"/>
      </rPr>
      <t>03.00.10</t>
    </r>
  </si>
  <si>
    <r>
      <rPr>
        <sz val="6.5"/>
        <rFont val="Calibri"/>
        <family val="1"/>
      </rPr>
      <t>PINZA AMPERIMETRICA</t>
    </r>
  </si>
  <si>
    <r>
      <rPr>
        <sz val="6.5"/>
        <rFont val="Calibri"/>
        <family val="1"/>
      </rPr>
      <t>03.00.11</t>
    </r>
  </si>
  <si>
    <r>
      <rPr>
        <sz val="6.5"/>
        <rFont val="Calibri"/>
        <family val="1"/>
      </rPr>
      <t>EXTENSION ELECTRICA 50 M</t>
    </r>
  </si>
  <si>
    <r>
      <rPr>
        <sz val="6.5"/>
        <rFont val="Calibri"/>
        <family val="1"/>
      </rPr>
      <t>03.00.12</t>
    </r>
  </si>
  <si>
    <r>
      <rPr>
        <sz val="6.5"/>
        <rFont val="Calibri"/>
        <family val="1"/>
      </rPr>
      <t>TIRALINEA 30M</t>
    </r>
  </si>
  <si>
    <r>
      <rPr>
        <sz val="6.5"/>
        <rFont val="Calibri"/>
        <family val="1"/>
      </rPr>
      <t>03.00.13</t>
    </r>
  </si>
  <si>
    <r>
      <rPr>
        <sz val="6.5"/>
        <rFont val="Calibri"/>
        <family val="1"/>
      </rPr>
      <t>ESCALERA TIJERAL DE FIBRA DE VIDRIO DE 6 PASOS (1.83M)</t>
    </r>
  </si>
  <si>
    <r>
      <rPr>
        <sz val="6.5"/>
        <rFont val="Calibri"/>
        <family val="1"/>
      </rPr>
      <t>03.00.14</t>
    </r>
  </si>
  <si>
    <r>
      <rPr>
        <sz val="6.5"/>
        <rFont val="Calibri"/>
        <family val="1"/>
      </rPr>
      <t>COMBO 4 LB</t>
    </r>
  </si>
  <si>
    <r>
      <rPr>
        <sz val="6.5"/>
        <rFont val="Calibri"/>
        <family val="1"/>
      </rPr>
      <t>03.00.15</t>
    </r>
  </si>
  <si>
    <r>
      <rPr>
        <sz val="6.5"/>
        <rFont val="Calibri"/>
        <family val="1"/>
      </rPr>
      <t>JUEGO DE LIMAS DE MANO</t>
    </r>
  </si>
  <si>
    <r>
      <rPr>
        <sz val="6.5"/>
        <rFont val="Calibri"/>
        <family val="1"/>
      </rPr>
      <t>03.00.16</t>
    </r>
  </si>
  <si>
    <r>
      <rPr>
        <sz val="6.5"/>
        <rFont val="Calibri"/>
        <family val="1"/>
      </rPr>
      <t>PUNZON PARA EXPANDIR TACOS DE EXPANSION</t>
    </r>
  </si>
  <si>
    <r>
      <rPr>
        <sz val="6.5"/>
        <rFont val="Calibri"/>
        <family val="1"/>
      </rPr>
      <t>03.00.17</t>
    </r>
  </si>
  <si>
    <r>
      <rPr>
        <sz val="6.5"/>
        <rFont val="Calibri"/>
        <family val="1"/>
      </rPr>
      <t>ESMERIL DE MANO</t>
    </r>
  </si>
  <si>
    <r>
      <rPr>
        <sz val="6.5"/>
        <rFont val="Calibri"/>
        <family val="1"/>
      </rPr>
      <t>03.00.18</t>
    </r>
  </si>
  <si>
    <r>
      <rPr>
        <sz val="6.5"/>
        <rFont val="Calibri"/>
        <family val="1"/>
      </rPr>
      <t>NIVEL DE MANO</t>
    </r>
  </si>
  <si>
    <r>
      <rPr>
        <sz val="6.5"/>
        <rFont val="Calibri"/>
        <family val="1"/>
      </rPr>
      <t>03.00.19</t>
    </r>
  </si>
  <si>
    <r>
      <rPr>
        <sz val="6.5"/>
        <rFont val="Calibri"/>
        <family val="1"/>
      </rPr>
      <t>PISTOLA - APLICADOR DE SILICONA SIKA</t>
    </r>
  </si>
  <si>
    <r>
      <rPr>
        <sz val="6.5"/>
        <rFont val="Calibri"/>
        <family val="1"/>
      </rPr>
      <t>03.00.20</t>
    </r>
  </si>
  <si>
    <r>
      <rPr>
        <sz val="6.5"/>
        <rFont val="Calibri"/>
        <family val="1"/>
      </rPr>
      <t>TIJERA DE AVIACION DRYWALL STANLEY</t>
    </r>
  </si>
  <si>
    <r>
      <rPr>
        <sz val="6.5"/>
        <rFont val="Calibri"/>
        <family val="1"/>
      </rPr>
      <t>03.00.21</t>
    </r>
  </si>
  <si>
    <r>
      <rPr>
        <sz val="6.5"/>
        <rFont val="Calibri"/>
        <family val="1"/>
      </rPr>
      <t>TIJERA DE CORTE DE METAL</t>
    </r>
  </si>
  <si>
    <r>
      <rPr>
        <sz val="6.5"/>
        <rFont val="Calibri"/>
        <family val="1"/>
      </rPr>
      <t>03.00.22</t>
    </r>
  </si>
  <si>
    <r>
      <rPr>
        <sz val="6.5"/>
        <rFont val="Calibri"/>
        <family val="1"/>
      </rPr>
      <t>EQUIPO OXICORTE</t>
    </r>
  </si>
  <si>
    <r>
      <rPr>
        <sz val="6.5"/>
        <rFont val="Calibri"/>
        <family val="1"/>
      </rPr>
      <t>03.00.23</t>
    </r>
  </si>
  <si>
    <r>
      <rPr>
        <sz val="6.5"/>
        <rFont val="Calibri"/>
        <family val="1"/>
      </rPr>
      <t>REGULADOR DE NITROGENO</t>
    </r>
  </si>
  <si>
    <r>
      <rPr>
        <sz val="6.5"/>
        <rFont val="Calibri"/>
        <family val="1"/>
      </rPr>
      <t>03.00.24</t>
    </r>
  </si>
  <si>
    <r>
      <rPr>
        <sz val="6.5"/>
        <rFont val="Calibri"/>
        <family val="1"/>
      </rPr>
      <t>EXTINTOR DE 6 KG</t>
    </r>
  </si>
  <si>
    <r>
      <rPr>
        <sz val="6.5"/>
        <rFont val="Calibri"/>
        <family val="1"/>
      </rPr>
      <t>03.00.25</t>
    </r>
  </si>
  <si>
    <r>
      <rPr>
        <sz val="6.5"/>
        <rFont val="Calibri"/>
        <family val="1"/>
      </rPr>
      <t>MANTA IGNIFUGA</t>
    </r>
  </si>
  <si>
    <r>
      <rPr>
        <sz val="6.5"/>
        <rFont val="Calibri"/>
        <family val="1"/>
      </rPr>
      <t>03.00.26</t>
    </r>
  </si>
  <si>
    <r>
      <rPr>
        <sz val="6.5"/>
        <rFont val="Calibri"/>
        <family val="1"/>
      </rPr>
      <t>CARRITO PARA TRANSPORTAR BALONES</t>
    </r>
  </si>
  <si>
    <r>
      <rPr>
        <sz val="6.5"/>
        <rFont val="Calibri"/>
        <family val="1"/>
      </rPr>
      <t>03.00.27</t>
    </r>
  </si>
  <si>
    <r>
      <rPr>
        <sz val="6.5"/>
        <rFont val="Calibri"/>
        <family val="1"/>
      </rPr>
      <t>NIVEL LASER</t>
    </r>
  </si>
  <si>
    <r>
      <rPr>
        <sz val="6.5"/>
        <rFont val="Calibri"/>
        <family val="1"/>
      </rPr>
      <t>03.00.28</t>
    </r>
  </si>
  <si>
    <r>
      <rPr>
        <sz val="6.5"/>
        <rFont val="Calibri"/>
        <family val="1"/>
      </rPr>
      <t>FLEXOMETRO</t>
    </r>
  </si>
  <si>
    <r>
      <rPr>
        <sz val="6.5"/>
        <rFont val="Calibri"/>
        <family val="1"/>
      </rPr>
      <t>03.00.29</t>
    </r>
  </si>
  <si>
    <r>
      <rPr>
        <sz val="6.5"/>
        <rFont val="Calibri"/>
        <family val="1"/>
      </rPr>
      <t>LLAVE FRANCESA 14"</t>
    </r>
  </si>
  <si>
    <r>
      <rPr>
        <sz val="6.5"/>
        <rFont val="Calibri"/>
        <family val="1"/>
      </rPr>
      <t>03.00.30</t>
    </r>
  </si>
  <si>
    <r>
      <rPr>
        <sz val="6.5"/>
        <rFont val="Calibri"/>
        <family val="1"/>
      </rPr>
      <t>CORTATUBOS DE 2"</t>
    </r>
  </si>
  <si>
    <r>
      <rPr>
        <sz val="6.5"/>
        <rFont val="Calibri"/>
        <family val="1"/>
      </rPr>
      <t>03.00.31</t>
    </r>
  </si>
  <si>
    <r>
      <rPr>
        <sz val="6.5"/>
        <rFont val="Calibri"/>
        <family val="1"/>
      </rPr>
      <t>DOBLADORA DE TUBOS DE 1/2"</t>
    </r>
  </si>
  <si>
    <r>
      <rPr>
        <sz val="6.5"/>
        <rFont val="Calibri"/>
        <family val="1"/>
      </rPr>
      <t>03.00.32</t>
    </r>
  </si>
  <si>
    <r>
      <rPr>
        <sz val="6.5"/>
        <rFont val="Calibri"/>
        <family val="1"/>
      </rPr>
      <t>ARCO Y SIERRA DE MANO</t>
    </r>
  </si>
  <si>
    <r>
      <rPr>
        <sz val="6.5"/>
        <rFont val="Calibri"/>
        <family val="1"/>
      </rPr>
      <t>03.00.33</t>
    </r>
  </si>
  <si>
    <r>
      <rPr>
        <sz val="6.5"/>
        <rFont val="Calibri"/>
        <family val="1"/>
      </rPr>
      <t>MEGOHMETRO</t>
    </r>
  </si>
  <si>
    <r>
      <rPr>
        <sz val="6.5"/>
        <rFont val="Calibri"/>
        <family val="1"/>
      </rPr>
      <t>03.00.34</t>
    </r>
  </si>
  <si>
    <r>
      <rPr>
        <sz val="6.5"/>
        <rFont val="Calibri"/>
        <family val="1"/>
      </rPr>
      <t>ANEMOMETRO</t>
    </r>
  </si>
  <si>
    <r>
      <rPr>
        <sz val="6.5"/>
        <rFont val="Calibri"/>
        <family val="1"/>
      </rPr>
      <t>03.00.35</t>
    </r>
  </si>
  <si>
    <r>
      <rPr>
        <sz val="6.5"/>
        <rFont val="Calibri"/>
        <family val="1"/>
      </rPr>
      <t>JUEGO DE PUNTAS DE ALARGUE</t>
    </r>
  </si>
  <si>
    <r>
      <rPr>
        <sz val="6.5"/>
        <rFont val="Calibri"/>
        <family val="1"/>
      </rPr>
      <t>03.00.36</t>
    </r>
  </si>
  <si>
    <r>
      <rPr>
        <sz val="6.5"/>
        <rFont val="Calibri"/>
        <family val="1"/>
      </rPr>
      <t>JUEGO DE DADOS Y CHICHARRA</t>
    </r>
  </si>
  <si>
    <r>
      <rPr>
        <sz val="6.5"/>
        <rFont val="Calibri"/>
        <family val="1"/>
      </rPr>
      <t>03.00.37</t>
    </r>
  </si>
  <si>
    <r>
      <rPr>
        <sz val="6.5"/>
        <rFont val="Calibri"/>
        <family val="1"/>
      </rPr>
      <t>CAJA DE HERRAMIENTAS</t>
    </r>
  </si>
  <si>
    <r>
      <rPr>
        <sz val="6.5"/>
        <rFont val="Calibri"/>
        <family val="1"/>
      </rPr>
      <t>03.00.38</t>
    </r>
  </si>
  <si>
    <r>
      <rPr>
        <sz val="6.5"/>
        <rFont val="Calibri"/>
        <family val="1"/>
      </rPr>
      <t>JUEGO TARRAJA DE 1/2" - 1" RIDGID</t>
    </r>
  </si>
  <si>
    <r>
      <rPr>
        <sz val="6.5"/>
        <rFont val="Calibri"/>
        <family val="1"/>
      </rPr>
      <t>03.00.39</t>
    </r>
  </si>
  <si>
    <r>
      <rPr>
        <sz val="6.5"/>
        <rFont val="Calibri"/>
        <family val="1"/>
      </rPr>
      <t>JGO. MANIFOLD C/3 MANGUERAS, 2 MANOMETRO R410A</t>
    </r>
  </si>
  <si>
    <r>
      <rPr>
        <sz val="6.5"/>
        <rFont val="Calibri"/>
        <family val="1"/>
      </rPr>
      <t>03.00.40</t>
    </r>
  </si>
  <si>
    <r>
      <rPr>
        <sz val="6.5"/>
        <rFont val="Calibri"/>
        <family val="1"/>
      </rPr>
      <t>ACOPLE PARA REFRIGERANTE R410A</t>
    </r>
  </si>
  <si>
    <r>
      <rPr>
        <sz val="6.5"/>
        <rFont val="Calibri"/>
        <family val="1"/>
      </rPr>
      <t>03.00.41</t>
    </r>
  </si>
  <si>
    <r>
      <rPr>
        <sz val="6.5"/>
        <rFont val="Calibri"/>
        <family val="1"/>
      </rPr>
      <t>MARTILLO DE ANDAMIERO</t>
    </r>
  </si>
  <si>
    <r>
      <rPr>
        <sz val="6.5"/>
        <rFont val="Calibri"/>
        <family val="1"/>
      </rPr>
      <t>03.00.42</t>
    </r>
  </si>
  <si>
    <r>
      <rPr>
        <sz val="6.5"/>
        <rFont val="Calibri"/>
        <family val="1"/>
      </rPr>
      <t>JUEGO DE PERILLEROS</t>
    </r>
  </si>
  <si>
    <r>
      <rPr>
        <sz val="6.5"/>
        <rFont val="Calibri"/>
        <family val="1"/>
      </rPr>
      <t>03.00.43</t>
    </r>
  </si>
  <si>
    <r>
      <rPr>
        <sz val="6.5"/>
        <rFont val="Calibri"/>
        <family val="1"/>
      </rPr>
      <t>SOGAS</t>
    </r>
  </si>
  <si>
    <r>
      <rPr>
        <sz val="6.5"/>
        <rFont val="Calibri"/>
        <family val="1"/>
      </rPr>
      <t>03.00.44</t>
    </r>
  </si>
  <si>
    <r>
      <rPr>
        <sz val="6.5"/>
        <rFont val="Calibri"/>
        <family val="1"/>
      </rPr>
      <t>JUEGO DE AVELLANADOR DE 1/2 A 5/8</t>
    </r>
  </si>
  <si>
    <r>
      <rPr>
        <sz val="6.5"/>
        <rFont val="Calibri"/>
        <family val="1"/>
      </rPr>
      <t>03.00.45</t>
    </r>
  </si>
  <si>
    <r>
      <rPr>
        <sz val="6.5"/>
        <rFont val="Calibri"/>
        <family val="1"/>
      </rPr>
      <t>PISTOLA DE CALOR D26411 DEWALT</t>
    </r>
  </si>
  <si>
    <r>
      <rPr>
        <sz val="6.5"/>
        <rFont val="Calibri"/>
        <family val="1"/>
      </rPr>
      <t>03.00.46</t>
    </r>
  </si>
  <si>
    <r>
      <rPr>
        <sz val="6.5"/>
        <rFont val="Calibri"/>
        <family val="1"/>
      </rPr>
      <t>PIRÓMETRO</t>
    </r>
  </si>
  <si>
    <r>
      <rPr>
        <sz val="6.5"/>
        <rFont val="Calibri"/>
        <family val="1"/>
      </rPr>
      <t>03.00.47</t>
    </r>
  </si>
  <si>
    <r>
      <rPr>
        <sz val="6.5"/>
        <rFont val="Calibri"/>
        <family val="1"/>
      </rPr>
      <t>ALICATES DE PRESION</t>
    </r>
  </si>
  <si>
    <r>
      <rPr>
        <sz val="6.5"/>
        <rFont val="Calibri"/>
        <family val="1"/>
      </rPr>
      <t>03.00.48</t>
    </r>
  </si>
  <si>
    <r>
      <rPr>
        <sz val="6.5"/>
        <rFont val="Calibri"/>
        <family val="1"/>
      </rPr>
      <t>ALICATES PELACABLES DE VARIOS DIÁMETROS (26-16 AWG).</t>
    </r>
  </si>
  <si>
    <r>
      <rPr>
        <sz val="6.5"/>
        <rFont val="Calibri"/>
        <family val="1"/>
      </rPr>
      <t>03.00.49</t>
    </r>
  </si>
  <si>
    <r>
      <rPr>
        <sz val="6.5"/>
        <rFont val="Calibri"/>
        <family val="1"/>
      </rPr>
      <t>ALICATE PRENSATERMINALES</t>
    </r>
  </si>
  <si>
    <r>
      <rPr>
        <sz val="6.5"/>
        <rFont val="Calibri"/>
        <family val="1"/>
      </rPr>
      <t>03.00.50</t>
    </r>
  </si>
  <si>
    <r>
      <rPr>
        <sz val="6.5"/>
        <rFont val="Calibri"/>
        <family val="1"/>
      </rPr>
      <t>EXTENSION ELECTRICA 20MTRS</t>
    </r>
  </si>
  <si>
    <r>
      <rPr>
        <sz val="6.5"/>
        <rFont val="Calibri"/>
        <family val="1"/>
      </rPr>
      <t>03.00.51</t>
    </r>
  </si>
  <si>
    <r>
      <rPr>
        <sz val="6.5"/>
        <rFont val="Calibri"/>
        <family val="1"/>
      </rPr>
      <t>FLEXOMETRO 5MTRS</t>
    </r>
  </si>
  <si>
    <r>
      <rPr>
        <sz val="6.5"/>
        <rFont val="Calibri"/>
        <family val="1"/>
      </rPr>
      <t>03.00.52</t>
    </r>
  </si>
  <si>
    <r>
      <rPr>
        <sz val="6.5"/>
        <rFont val="Calibri"/>
        <family val="1"/>
      </rPr>
      <t>TIJERA DE AVIACION CURVA</t>
    </r>
  </si>
  <si>
    <r>
      <rPr>
        <sz val="6.5"/>
        <rFont val="Calibri"/>
        <family val="1"/>
      </rPr>
      <t>03.00.53</t>
    </r>
  </si>
  <si>
    <r>
      <rPr>
        <sz val="6.5"/>
        <rFont val="Calibri"/>
        <family val="1"/>
      </rPr>
      <t>TIJERA DE LATA</t>
    </r>
  </si>
  <si>
    <r>
      <rPr>
        <sz val="6.5"/>
        <rFont val="Calibri"/>
        <family val="1"/>
      </rPr>
      <t>03.00.54</t>
    </r>
  </si>
  <si>
    <r>
      <rPr>
        <sz val="6.5"/>
        <rFont val="Calibri"/>
        <family val="1"/>
      </rPr>
      <t>MARTILLO DE GOMA</t>
    </r>
  </si>
  <si>
    <r>
      <rPr>
        <sz val="6.5"/>
        <rFont val="Calibri"/>
        <family val="1"/>
      </rPr>
      <t>03.00.55</t>
    </r>
  </si>
  <si>
    <r>
      <rPr>
        <sz val="6.5"/>
        <rFont val="Calibri"/>
        <family val="1"/>
      </rPr>
      <t>BALANZA</t>
    </r>
  </si>
  <si>
    <r>
      <rPr>
        <sz val="6.5"/>
        <rFont val="Calibri"/>
        <family val="1"/>
      </rPr>
      <t>03.00.56</t>
    </r>
  </si>
  <si>
    <r>
      <rPr>
        <sz val="6.5"/>
        <rFont val="Calibri"/>
        <family val="1"/>
      </rPr>
      <t>BOMBA DE VACÍO</t>
    </r>
  </si>
  <si>
    <r>
      <rPr>
        <sz val="6.5"/>
        <rFont val="Calibri"/>
        <family val="1"/>
      </rPr>
      <t>03.00.57</t>
    </r>
  </si>
  <si>
    <r>
      <rPr>
        <sz val="6.5"/>
        <rFont val="Calibri"/>
        <family val="1"/>
      </rPr>
      <t>VACUOMETRO DIGITAL</t>
    </r>
  </si>
  <si>
    <r>
      <rPr>
        <sz val="6.5"/>
        <rFont val="Calibri"/>
        <family val="1"/>
      </rPr>
      <t>03.00.58</t>
    </r>
  </si>
  <si>
    <r>
      <rPr>
        <sz val="6.5"/>
        <rFont val="Calibri"/>
        <family val="1"/>
      </rPr>
      <t>ESPATULA 3"</t>
    </r>
  </si>
  <si>
    <r>
      <rPr>
        <sz val="6.5"/>
        <rFont val="Calibri"/>
        <family val="1"/>
      </rPr>
      <t>03.00.59</t>
    </r>
  </si>
  <si>
    <r>
      <rPr>
        <sz val="6.5"/>
        <rFont val="Calibri"/>
        <family val="1"/>
      </rPr>
      <t>JUEGO DE 8 LLAVES TORR 1.5MM A 8MM</t>
    </r>
  </si>
  <si>
    <r>
      <rPr>
        <b/>
        <sz val="6.5"/>
        <rFont val="Calibri"/>
        <family val="1"/>
      </rPr>
      <t>04.00.00</t>
    </r>
  </si>
  <si>
    <r>
      <rPr>
        <b/>
        <sz val="6.5"/>
        <rFont val="Calibri"/>
        <family val="1"/>
      </rPr>
      <t>EPP'S</t>
    </r>
  </si>
  <si>
    <r>
      <rPr>
        <sz val="6.5"/>
        <rFont val="Calibri"/>
        <family val="1"/>
      </rPr>
      <t>04.00.01</t>
    </r>
  </si>
  <si>
    <r>
      <rPr>
        <sz val="6.5"/>
        <rFont val="Calibri"/>
        <family val="1"/>
      </rPr>
      <t>CASCO DE SEGURIDAD</t>
    </r>
  </si>
  <si>
    <r>
      <rPr>
        <sz val="6.5"/>
        <rFont val="Calibri"/>
        <family val="1"/>
      </rPr>
      <t>04.00.02</t>
    </r>
  </si>
  <si>
    <r>
      <rPr>
        <sz val="6.5"/>
        <rFont val="Calibri"/>
        <family val="1"/>
      </rPr>
      <t>BARBIQUEJO ELASTICO CON MENTONERA Y CLIPS EN LOS EXTREMOS</t>
    </r>
  </si>
  <si>
    <r>
      <rPr>
        <sz val="6.5"/>
        <rFont val="Calibri"/>
        <family val="1"/>
      </rPr>
      <t>04.00.03</t>
    </r>
  </si>
  <si>
    <r>
      <rPr>
        <sz val="6.5"/>
        <rFont val="Calibri"/>
        <family val="1"/>
      </rPr>
      <t>LENTES CLAROS MSA</t>
    </r>
  </si>
  <si>
    <r>
      <rPr>
        <sz val="6.5"/>
        <rFont val="Calibri"/>
        <family val="1"/>
      </rPr>
      <t>04.00.04</t>
    </r>
  </si>
  <si>
    <r>
      <rPr>
        <sz val="6.5"/>
        <rFont val="Calibri"/>
        <family val="1"/>
      </rPr>
      <t>LENTES OSCUROS MSA</t>
    </r>
  </si>
  <si>
    <r>
      <rPr>
        <sz val="6.5"/>
        <rFont val="Calibri"/>
        <family val="1"/>
      </rPr>
      <t>04.00.05</t>
    </r>
  </si>
  <si>
    <r>
      <rPr>
        <sz val="6.5"/>
        <rFont val="Calibri"/>
        <family val="1"/>
      </rPr>
      <t>SOBRELENTES OSCUROS MSA</t>
    </r>
  </si>
  <si>
    <r>
      <rPr>
        <sz val="6.5"/>
        <rFont val="Calibri"/>
        <family val="1"/>
      </rPr>
      <t>04.00.06</t>
    </r>
  </si>
  <si>
    <r>
      <rPr>
        <sz val="6.5"/>
        <rFont val="Calibri"/>
        <family val="1"/>
      </rPr>
      <t>SOBRELENTES CLAROS MSA</t>
    </r>
  </si>
  <si>
    <r>
      <rPr>
        <sz val="6.5"/>
        <rFont val="Calibri"/>
        <family val="1"/>
      </rPr>
      <t>04.00.07</t>
    </r>
  </si>
  <si>
    <r>
      <rPr>
        <sz val="6.5"/>
        <rFont val="Calibri"/>
        <family val="1"/>
      </rPr>
      <t>TAPON DE OIDO EPT06 CON ESTUCHE</t>
    </r>
  </si>
  <si>
    <r>
      <rPr>
        <sz val="6.5"/>
        <rFont val="Calibri"/>
        <family val="1"/>
      </rPr>
      <t>04.00.08</t>
    </r>
  </si>
  <si>
    <r>
      <rPr>
        <sz val="6.5"/>
        <rFont val="Calibri"/>
        <family val="1"/>
      </rPr>
      <t>OREJERAS 3M</t>
    </r>
  </si>
  <si>
    <r>
      <rPr>
        <sz val="6.5"/>
        <rFont val="Calibri"/>
        <family val="1"/>
      </rPr>
      <t>04.00.09</t>
    </r>
  </si>
  <si>
    <r>
      <rPr>
        <sz val="6.5"/>
        <rFont val="Calibri"/>
        <family val="1"/>
      </rPr>
      <t>MAMELUCO DRILL</t>
    </r>
  </si>
  <si>
    <r>
      <rPr>
        <sz val="6.5"/>
        <rFont val="Calibri"/>
        <family val="1"/>
      </rPr>
      <t>04.00.10</t>
    </r>
  </si>
  <si>
    <r>
      <rPr>
        <sz val="6.5"/>
        <rFont val="Calibri"/>
        <family val="1"/>
      </rPr>
      <t>BOTA DE SEGURIDAD DIELECTRICA</t>
    </r>
  </si>
  <si>
    <r>
      <rPr>
        <sz val="6.5"/>
        <rFont val="Calibri"/>
        <family val="1"/>
      </rPr>
      <t>04.00.11</t>
    </r>
  </si>
  <si>
    <r>
      <rPr>
        <sz val="6.5"/>
        <rFont val="Calibri"/>
        <family val="1"/>
      </rPr>
      <t>GUANTES HYFLEX</t>
    </r>
  </si>
  <si>
    <r>
      <rPr>
        <sz val="6.5"/>
        <rFont val="Calibri"/>
        <family val="1"/>
      </rPr>
      <t>04.00.12</t>
    </r>
  </si>
  <si>
    <r>
      <rPr>
        <sz val="6.5"/>
        <rFont val="Calibri"/>
        <family val="1"/>
      </rPr>
      <t>ARNES DE CUERPO COMPLETO</t>
    </r>
  </si>
  <si>
    <r>
      <rPr>
        <sz val="6.5"/>
        <rFont val="Calibri"/>
        <family val="1"/>
      </rPr>
      <t>04.00.13</t>
    </r>
  </si>
  <si>
    <r>
      <rPr>
        <sz val="6.5"/>
        <rFont val="Calibri"/>
        <family val="1"/>
      </rPr>
      <t>LINEA DE VIDA ACERADA</t>
    </r>
  </si>
  <si>
    <r>
      <rPr>
        <sz val="6.5"/>
        <rFont val="Calibri"/>
        <family val="1"/>
      </rPr>
      <t>04.00.14</t>
    </r>
  </si>
  <si>
    <r>
      <rPr>
        <sz val="6.5"/>
        <rFont val="Calibri"/>
        <family val="1"/>
      </rPr>
      <t>LINEA RETRACTIL</t>
    </r>
  </si>
  <si>
    <r>
      <rPr>
        <sz val="6.5"/>
        <rFont val="Calibri"/>
        <family val="1"/>
      </rPr>
      <t>04.00.15</t>
    </r>
  </si>
  <si>
    <r>
      <rPr>
        <sz val="6.5"/>
        <rFont val="Calibri"/>
        <family val="1"/>
      </rPr>
      <t>GUANTES DE CUERO MODELO SUPERVISOR AMARILLO</t>
    </r>
  </si>
  <si>
    <r>
      <rPr>
        <sz val="6.5"/>
        <rFont val="Calibri"/>
        <family val="1"/>
      </rPr>
      <t>04.00.16</t>
    </r>
  </si>
  <si>
    <r>
      <rPr>
        <sz val="6.5"/>
        <rFont val="Calibri"/>
        <family val="1"/>
      </rPr>
      <t>PANTALON DE CUERO PARA SOLDAR</t>
    </r>
  </si>
  <si>
    <r>
      <rPr>
        <sz val="6.5"/>
        <rFont val="Calibri"/>
        <family val="1"/>
      </rPr>
      <t>04.00.17</t>
    </r>
  </si>
  <si>
    <r>
      <rPr>
        <sz val="6.5"/>
        <rFont val="Calibri"/>
        <family val="1"/>
      </rPr>
      <t>CASACA DE CUERO PARA SOLDAR</t>
    </r>
  </si>
  <si>
    <r>
      <rPr>
        <sz val="6.5"/>
        <rFont val="Calibri"/>
        <family val="1"/>
      </rPr>
      <t>04.00.18</t>
    </r>
  </si>
  <si>
    <r>
      <rPr>
        <sz val="6.5"/>
        <rFont val="Calibri"/>
        <family val="1"/>
      </rPr>
      <t>CARETA PARA SOLDAR</t>
    </r>
  </si>
  <si>
    <r>
      <rPr>
        <sz val="6.5"/>
        <rFont val="Calibri"/>
        <family val="1"/>
      </rPr>
      <t>04.00.19</t>
    </r>
  </si>
  <si>
    <r>
      <rPr>
        <sz val="6.5"/>
        <rFont val="Calibri"/>
        <family val="1"/>
      </rPr>
      <t>ESCARPINES DE CUERO</t>
    </r>
  </si>
  <si>
    <r>
      <rPr>
        <sz val="6.5"/>
        <rFont val="Calibri"/>
        <family val="1"/>
      </rPr>
      <t>04.00.20</t>
    </r>
  </si>
  <si>
    <r>
      <rPr>
        <sz val="6.5"/>
        <rFont val="Calibri"/>
        <family val="1"/>
      </rPr>
      <t>RESPIRADOR DE MEDIA CARA 3M</t>
    </r>
  </si>
  <si>
    <r>
      <rPr>
        <sz val="6.5"/>
        <rFont val="Calibri"/>
        <family val="1"/>
      </rPr>
      <t>04.00.21</t>
    </r>
  </si>
  <si>
    <r>
      <rPr>
        <sz val="6.5"/>
        <rFont val="Calibri"/>
        <family val="1"/>
      </rPr>
      <t>FILTROS PARA GASES</t>
    </r>
  </si>
  <si>
    <r>
      <rPr>
        <sz val="6.5"/>
        <rFont val="Calibri"/>
        <family val="1"/>
      </rPr>
      <t>04.00.22</t>
    </r>
  </si>
  <si>
    <r>
      <rPr>
        <sz val="6.5"/>
        <rFont val="Calibri"/>
        <family val="1"/>
      </rPr>
      <t>GUANTES DE NITRILO</t>
    </r>
  </si>
  <si>
    <r>
      <rPr>
        <sz val="6.5"/>
        <rFont val="Calibri"/>
        <family val="1"/>
      </rPr>
      <t>CAJA</t>
    </r>
  </si>
  <si>
    <r>
      <rPr>
        <sz val="6.5"/>
        <rFont val="Calibri"/>
        <family val="1"/>
      </rPr>
      <t>04.00.23</t>
    </r>
  </si>
  <si>
    <r>
      <rPr>
        <sz val="6.5"/>
        <rFont val="Calibri"/>
        <family val="1"/>
      </rPr>
      <t>CHALECO EN FLUORITEX C/CINTA REFLECTIVA 2"</t>
    </r>
  </si>
  <si>
    <r>
      <rPr>
        <sz val="6.5"/>
        <rFont val="Calibri"/>
        <family val="1"/>
      </rPr>
      <t>04.00.24</t>
    </r>
  </si>
  <si>
    <r>
      <rPr>
        <sz val="6.5"/>
        <rFont val="Calibri"/>
        <family val="1"/>
      </rPr>
      <t>CANDADO DE BLOQUEO</t>
    </r>
  </si>
  <si>
    <r>
      <rPr>
        <sz val="6.5"/>
        <rFont val="Calibri"/>
        <family val="1"/>
      </rPr>
      <t>04.00.25</t>
    </r>
  </si>
  <si>
    <r>
      <rPr>
        <sz val="6.5"/>
        <rFont val="Calibri"/>
        <family val="1"/>
      </rPr>
      <t>CAJA DE BLOQUEO</t>
    </r>
  </si>
  <si>
    <r>
      <rPr>
        <sz val="6.5"/>
        <rFont val="Calibri"/>
        <family val="1"/>
      </rPr>
      <t>04.00.26</t>
    </r>
  </si>
  <si>
    <r>
      <rPr>
        <sz val="6.5"/>
        <rFont val="Calibri"/>
        <family val="1"/>
      </rPr>
      <t>BLOQUEADOR SOLAR F50 3M 110 ML</t>
    </r>
  </si>
  <si>
    <r>
      <rPr>
        <sz val="6.5"/>
        <rFont val="Calibri"/>
        <family val="1"/>
      </rPr>
      <t>04.00.27</t>
    </r>
  </si>
  <si>
    <r>
      <rPr>
        <sz val="6.5"/>
        <rFont val="Calibri"/>
        <family val="1"/>
      </rPr>
      <t>ROPA IGNIFUGA 12 CAL/CM2.</t>
    </r>
  </si>
  <si>
    <r>
      <rPr>
        <sz val="6.5"/>
        <rFont val="Calibri"/>
        <family val="1"/>
      </rPr>
      <t>04.00.28</t>
    </r>
  </si>
  <si>
    <r>
      <rPr>
        <sz val="6.5"/>
        <rFont val="Calibri"/>
        <family val="1"/>
      </rPr>
      <t>CARETA FACIAL RESISTENTE AL ARCO ELÉCTRICO 12 CAL/CM2.</t>
    </r>
  </si>
  <si>
    <r>
      <rPr>
        <sz val="6.5"/>
        <rFont val="Calibri"/>
        <family val="1"/>
      </rPr>
      <t>04.00.29</t>
    </r>
  </si>
  <si>
    <r>
      <rPr>
        <sz val="6.5"/>
        <rFont val="Calibri"/>
        <family val="1"/>
      </rPr>
      <t>GUANTES RESISTENTES AL ARCO ELÉCTRICO 12 CAL/CM2.</t>
    </r>
  </si>
  <si>
    <r>
      <rPr>
        <sz val="6.5"/>
        <rFont val="Calibri"/>
        <family val="1"/>
      </rPr>
      <t>04.00.30</t>
    </r>
  </si>
  <si>
    <r>
      <rPr>
        <sz val="6.5"/>
        <rFont val="Calibri"/>
        <family val="1"/>
      </rPr>
      <t>PANTALÓN JEAN AZUL</t>
    </r>
  </si>
  <si>
    <r>
      <rPr>
        <sz val="6.5"/>
        <rFont val="Calibri"/>
        <family val="1"/>
      </rPr>
      <t>04.00.31</t>
    </r>
  </si>
  <si>
    <r>
      <rPr>
        <sz val="6.5"/>
        <rFont val="Calibri"/>
        <family val="1"/>
      </rPr>
      <t>CAMISA</t>
    </r>
  </si>
  <si>
    <r>
      <rPr>
        <sz val="6.5"/>
        <rFont val="Calibri"/>
        <family val="1"/>
      </rPr>
      <t>04.00.32</t>
    </r>
  </si>
  <si>
    <r>
      <rPr>
        <sz val="6.5"/>
        <rFont val="Calibri"/>
        <family val="1"/>
      </rPr>
      <t>CHOMPA JORGE CHAVEZ</t>
    </r>
  </si>
  <si>
    <r>
      <rPr>
        <sz val="6.5"/>
        <rFont val="Calibri"/>
        <family val="1"/>
      </rPr>
      <t>04.00.33</t>
    </r>
  </si>
  <si>
    <r>
      <rPr>
        <sz val="6.5"/>
        <rFont val="Calibri"/>
        <family val="1"/>
      </rPr>
      <t>04.00.34</t>
    </r>
  </si>
  <si>
    <r>
      <rPr>
        <sz val="6.5"/>
        <rFont val="Calibri"/>
        <family val="1"/>
      </rPr>
      <t>BARANDAS DE SEGURIDAD AMARILLAS</t>
    </r>
  </si>
  <si>
    <r>
      <rPr>
        <sz val="6.5"/>
        <rFont val="Calibri"/>
        <family val="1"/>
      </rPr>
      <t>04.00.35</t>
    </r>
  </si>
  <si>
    <r>
      <rPr>
        <sz val="6.5"/>
        <rFont val="Calibri"/>
        <family val="1"/>
      </rPr>
      <t>BARANDAS DE SEGURIDAD ROJAS</t>
    </r>
  </si>
  <si>
    <r>
      <rPr>
        <sz val="6.5"/>
        <rFont val="Calibri"/>
        <family val="1"/>
      </rPr>
      <t>04.00.36</t>
    </r>
  </si>
  <si>
    <r>
      <rPr>
        <sz val="6.5"/>
        <rFont val="Calibri"/>
        <family val="1"/>
      </rPr>
      <t>TARJETAS SEÑALIZADORAS</t>
    </r>
  </si>
  <si>
    <r>
      <rPr>
        <sz val="6.5"/>
        <rFont val="Calibri"/>
        <family val="1"/>
      </rPr>
      <t>04.00.37</t>
    </r>
  </si>
  <si>
    <r>
      <rPr>
        <sz val="6.5"/>
        <rFont val="Calibri"/>
        <family val="1"/>
      </rPr>
      <t>DRIZA ELASTICA</t>
    </r>
  </si>
  <si>
    <r>
      <rPr>
        <b/>
        <sz val="6.5"/>
        <rFont val="Calibri"/>
        <family val="1"/>
      </rPr>
      <t>05.00.00</t>
    </r>
  </si>
  <si>
    <r>
      <rPr>
        <b/>
        <sz val="6.5"/>
        <rFont val="Calibri"/>
        <family val="1"/>
      </rPr>
      <t>PERSONAL</t>
    </r>
  </si>
  <si>
    <r>
      <rPr>
        <sz val="6.5"/>
        <rFont val="Calibri"/>
        <family val="1"/>
      </rPr>
      <t>05.00.03</t>
    </r>
  </si>
  <si>
    <r>
      <rPr>
        <sz val="6.5"/>
        <rFont val="Calibri"/>
        <family val="1"/>
      </rPr>
      <t>TECNICO A</t>
    </r>
  </si>
  <si>
    <r>
      <rPr>
        <b/>
        <sz val="6.5"/>
        <rFont val="Calibri"/>
        <family val="1"/>
      </rPr>
      <t>06.00.00</t>
    </r>
  </si>
  <si>
    <r>
      <rPr>
        <b/>
        <sz val="6.5"/>
        <rFont val="Calibri"/>
        <family val="1"/>
      </rPr>
      <t>GENERALES</t>
    </r>
  </si>
  <si>
    <r>
      <rPr>
        <sz val="6.5"/>
        <rFont val="Calibri"/>
        <family val="1"/>
      </rPr>
      <t>06.00.01</t>
    </r>
  </si>
  <si>
    <r>
      <rPr>
        <sz val="6.5"/>
        <rFont val="Calibri"/>
        <family val="1"/>
      </rPr>
      <t>TRANSPORTE DE EQUIPOS Y HERRAMIENTAS</t>
    </r>
  </si>
  <si>
    <r>
      <rPr>
        <sz val="6.5"/>
        <rFont val="Calibri"/>
        <family val="1"/>
      </rPr>
      <t>06.00.06</t>
    </r>
  </si>
  <si>
    <r>
      <rPr>
        <sz val="6.5"/>
        <rFont val="Calibri"/>
        <family val="1"/>
      </rPr>
      <t>ALIMENTACION</t>
    </r>
  </si>
  <si>
    <r>
      <rPr>
        <sz val="6.5"/>
        <rFont val="Calibri"/>
        <family val="1"/>
      </rPr>
      <t>06.00.07</t>
    </r>
  </si>
  <si>
    <r>
      <rPr>
        <b/>
        <sz val="14"/>
        <rFont val="Calibri"/>
        <family val="1"/>
      </rPr>
      <t>JP. 0002.2404.2024</t>
    </r>
  </si>
  <si>
    <r>
      <rPr>
        <sz val="8.5"/>
        <rFont val="Calibri"/>
        <family val="1"/>
      </rPr>
      <t>JP. 0002.2404.2024</t>
    </r>
  </si>
  <si>
    <r>
      <rPr>
        <sz val="8.5"/>
        <rFont val="Calibri"/>
        <family val="1"/>
      </rPr>
      <t xml:space="preserve">Cotización:
</t>
    </r>
    <r>
      <rPr>
        <b/>
        <sz val="8.5"/>
        <rFont val="Calibri"/>
        <family val="1"/>
      </rPr>
      <t>PRESUPUESTO: ''MEJORAMIENTO DE VENTILACION Y EXTRACCION DE SALA TI - ANTAPACCAY''</t>
    </r>
  </si>
  <si>
    <r>
      <rPr>
        <b/>
        <sz val="8.5"/>
        <rFont val="Calibri"/>
        <family val="1"/>
      </rPr>
      <t>PRECIO NO INCLUIDO IGV       $                                                  135,782.20</t>
    </r>
  </si>
  <si>
    <r>
      <rPr>
        <b/>
        <sz val="7.5"/>
        <rFont val="Calibri"/>
        <family val="1"/>
      </rPr>
      <t>DIAS</t>
    </r>
  </si>
  <si>
    <r>
      <rPr>
        <b/>
        <sz val="7.5"/>
        <rFont val="Calibri"/>
        <family val="1"/>
      </rPr>
      <t>ITEM</t>
    </r>
  </si>
  <si>
    <r>
      <rPr>
        <b/>
        <sz val="7.5"/>
        <rFont val="Calibri"/>
        <family val="1"/>
      </rPr>
      <t>DESCRIPCION DE PARTIDA</t>
    </r>
  </si>
  <si>
    <r>
      <rPr>
        <b/>
        <sz val="7.5"/>
        <rFont val="Calibri"/>
        <family val="1"/>
      </rPr>
      <t>UND</t>
    </r>
  </si>
  <si>
    <r>
      <rPr>
        <b/>
        <sz val="7.5"/>
        <rFont val="Calibri"/>
        <family val="1"/>
      </rPr>
      <t>CANT.</t>
    </r>
  </si>
  <si>
    <r>
      <rPr>
        <b/>
        <sz val="7.5"/>
        <rFont val="Calibri"/>
        <family val="1"/>
      </rPr>
      <t>P.U.</t>
    </r>
  </si>
  <si>
    <r>
      <rPr>
        <b/>
        <sz val="7.5"/>
        <rFont val="Calibri"/>
        <family val="1"/>
      </rPr>
      <t>SUB TOTAL</t>
    </r>
  </si>
  <si>
    <r>
      <rPr>
        <b/>
        <sz val="7.5"/>
        <rFont val="Calibri"/>
        <family val="1"/>
      </rPr>
      <t>TOTAL</t>
    </r>
  </si>
  <si>
    <r>
      <rPr>
        <b/>
        <sz val="7.5"/>
        <rFont val="Calibri"/>
        <family val="1"/>
      </rPr>
      <t>1. EJECUCION DE LA OBRA</t>
    </r>
  </si>
  <si>
    <r>
      <rPr>
        <b/>
        <sz val="7.5"/>
        <rFont val="Calibri"/>
        <family val="1"/>
      </rPr>
      <t>01.00.00</t>
    </r>
  </si>
  <si>
    <r>
      <rPr>
        <b/>
        <sz val="7.5"/>
        <rFont val="Calibri"/>
        <family val="1"/>
      </rPr>
      <t>EQUIPOS</t>
    </r>
  </si>
  <si>
    <r>
      <rPr>
        <sz val="7.5"/>
        <rFont val="Calibri"/>
        <family val="1"/>
      </rPr>
      <t>01.00.01</t>
    </r>
  </si>
  <si>
    <r>
      <rPr>
        <sz val="7.5"/>
        <rFont val="Calibri"/>
        <family val="1"/>
      </rPr>
      <t>01.00.02</t>
    </r>
  </si>
  <si>
    <r>
      <rPr>
        <sz val="7.5"/>
        <rFont val="Calibri"/>
        <family val="1"/>
      </rPr>
      <t>UND</t>
    </r>
  </si>
  <si>
    <r>
      <rPr>
        <b/>
        <sz val="7.5"/>
        <rFont val="Calibri"/>
        <family val="1"/>
      </rPr>
      <t>02.00.00</t>
    </r>
  </si>
  <si>
    <r>
      <rPr>
        <b/>
        <sz val="7.5"/>
        <rFont val="Calibri"/>
        <family val="1"/>
      </rPr>
      <t>MATERIALES</t>
    </r>
  </si>
  <si>
    <r>
      <rPr>
        <sz val="7.5"/>
        <rFont val="Calibri"/>
        <family val="1"/>
      </rPr>
      <t>02.00.01</t>
    </r>
  </si>
  <si>
    <r>
      <rPr>
        <sz val="7.5"/>
        <rFont val="Calibri"/>
        <family val="1"/>
      </rPr>
      <t>02.00.09</t>
    </r>
  </si>
  <si>
    <r>
      <rPr>
        <b/>
        <sz val="7.5"/>
        <rFont val="Calibri"/>
        <family val="1"/>
      </rPr>
      <t>03.00.00</t>
    </r>
  </si>
  <si>
    <r>
      <rPr>
        <b/>
        <sz val="7.5"/>
        <rFont val="Calibri"/>
        <family val="1"/>
      </rPr>
      <t>HERRAMIENTAS</t>
    </r>
  </si>
  <si>
    <r>
      <rPr>
        <sz val="7.5"/>
        <rFont val="Calibri"/>
        <family val="1"/>
      </rPr>
      <t>TALADRO INALAMBRICO - GRANDE WURTH</t>
    </r>
  </si>
  <si>
    <r>
      <rPr>
        <sz val="7.5"/>
        <rFont val="Calibri"/>
        <family val="1"/>
      </rPr>
      <t>TALADRO PERCUTOR DEWALT</t>
    </r>
  </si>
  <si>
    <r>
      <rPr>
        <sz val="7.5"/>
        <rFont val="Calibri"/>
        <family val="1"/>
      </rPr>
      <t>JUEGO DE BROCAS DE CONCRETO</t>
    </r>
  </si>
  <si>
    <r>
      <rPr>
        <sz val="7.5"/>
        <rFont val="Calibri"/>
        <family val="1"/>
      </rPr>
      <t>EXTENSION ELECTRICA 50 M</t>
    </r>
  </si>
  <si>
    <r>
      <rPr>
        <sz val="7.5"/>
        <rFont val="Calibri"/>
        <family val="1"/>
      </rPr>
      <t>TIRALINEA 30M</t>
    </r>
  </si>
  <si>
    <r>
      <rPr>
        <sz val="7.5"/>
        <rFont val="Calibri"/>
        <family val="1"/>
      </rPr>
      <t>COMBO 4 LB</t>
    </r>
  </si>
  <si>
    <r>
      <rPr>
        <sz val="7.5"/>
        <rFont val="Calibri"/>
        <family val="1"/>
      </rPr>
      <t>ESMERIL DE MANO</t>
    </r>
  </si>
  <si>
    <r>
      <rPr>
        <sz val="7.5"/>
        <rFont val="Calibri"/>
        <family val="1"/>
      </rPr>
      <t>NIVEL DE MANO</t>
    </r>
  </si>
  <si>
    <r>
      <rPr>
        <sz val="7.5"/>
        <rFont val="Calibri"/>
        <family val="1"/>
      </rPr>
      <t>FLEXOMETRO</t>
    </r>
  </si>
  <si>
    <r>
      <rPr>
        <b/>
        <sz val="7.5"/>
        <rFont val="Calibri"/>
        <family val="1"/>
      </rPr>
      <t>04.00.00</t>
    </r>
  </si>
  <si>
    <r>
      <rPr>
        <b/>
        <sz val="7.5"/>
        <rFont val="Calibri"/>
        <family val="1"/>
      </rPr>
      <t>EPP'S</t>
    </r>
  </si>
  <si>
    <r>
      <rPr>
        <sz val="7.5"/>
        <rFont val="Calibri"/>
        <family val="1"/>
      </rPr>
      <t>04.00.01</t>
    </r>
  </si>
  <si>
    <r>
      <rPr>
        <sz val="7.5"/>
        <rFont val="Calibri"/>
        <family val="1"/>
      </rPr>
      <t>CASCO DE SEGURIDAD</t>
    </r>
  </si>
  <si>
    <r>
      <rPr>
        <sz val="7.5"/>
        <rFont val="Calibri"/>
        <family val="1"/>
      </rPr>
      <t>04.00.02</t>
    </r>
  </si>
  <si>
    <r>
      <rPr>
        <sz val="7.5"/>
        <rFont val="Calibri"/>
        <family val="1"/>
      </rPr>
      <t>BARBIQUEJO ELASTICO CON MENTONERA Y CLIPS EN LOS EXTREMOS</t>
    </r>
  </si>
  <si>
    <r>
      <rPr>
        <sz val="7.5"/>
        <rFont val="Calibri"/>
        <family val="1"/>
      </rPr>
      <t>04.00.03</t>
    </r>
  </si>
  <si>
    <r>
      <rPr>
        <sz val="7.5"/>
        <rFont val="Calibri"/>
        <family val="1"/>
      </rPr>
      <t>LENTES CLAROS MSA</t>
    </r>
  </si>
  <si>
    <r>
      <rPr>
        <sz val="7.5"/>
        <rFont val="Calibri"/>
        <family val="1"/>
      </rPr>
      <t>04.00.04</t>
    </r>
  </si>
  <si>
    <r>
      <rPr>
        <sz val="7.5"/>
        <rFont val="Calibri"/>
        <family val="1"/>
      </rPr>
      <t>04.00.05</t>
    </r>
  </si>
  <si>
    <r>
      <rPr>
        <sz val="7.5"/>
        <rFont val="Calibri"/>
        <family val="1"/>
      </rPr>
      <t>04.00.06</t>
    </r>
  </si>
  <si>
    <r>
      <rPr>
        <sz val="7.5"/>
        <rFont val="Calibri"/>
        <family val="1"/>
      </rPr>
      <t>04.00.07</t>
    </r>
  </si>
  <si>
    <r>
      <rPr>
        <sz val="7.5"/>
        <rFont val="Calibri"/>
        <family val="1"/>
      </rPr>
      <t>TAPON DE OIDO EPT06 CON ESTUCHE</t>
    </r>
  </si>
  <si>
    <r>
      <rPr>
        <sz val="7.5"/>
        <rFont val="Calibri"/>
        <family val="1"/>
      </rPr>
      <t>04.00.08</t>
    </r>
  </si>
  <si>
    <r>
      <rPr>
        <sz val="7.5"/>
        <rFont val="Calibri"/>
        <family val="1"/>
      </rPr>
      <t>04.00.09</t>
    </r>
  </si>
  <si>
    <r>
      <rPr>
        <sz val="7.5"/>
        <rFont val="Calibri"/>
        <family val="1"/>
      </rPr>
      <t>MAMELUCO DRILL</t>
    </r>
  </si>
  <si>
    <r>
      <rPr>
        <sz val="7.5"/>
        <rFont val="Calibri"/>
        <family val="1"/>
      </rPr>
      <t>04.00.10</t>
    </r>
  </si>
  <si>
    <r>
      <rPr>
        <sz val="7.5"/>
        <rFont val="Calibri"/>
        <family val="1"/>
      </rPr>
      <t>04.00.11</t>
    </r>
  </si>
  <si>
    <r>
      <rPr>
        <sz val="7.5"/>
        <rFont val="Calibri"/>
        <family val="1"/>
      </rPr>
      <t>GUANTES HYFLEX</t>
    </r>
  </si>
  <si>
    <r>
      <rPr>
        <b/>
        <sz val="7.5"/>
        <rFont val="Calibri"/>
        <family val="1"/>
      </rPr>
      <t>05.00.00</t>
    </r>
  </si>
  <si>
    <r>
      <rPr>
        <b/>
        <sz val="7.5"/>
        <rFont val="Calibri"/>
        <family val="1"/>
      </rPr>
      <t>PERSONAL</t>
    </r>
  </si>
  <si>
    <r>
      <rPr>
        <sz val="7.5"/>
        <rFont val="Calibri"/>
        <family val="1"/>
      </rPr>
      <t>TECNICO A</t>
    </r>
  </si>
  <si>
    <r>
      <rPr>
        <b/>
        <sz val="7.5"/>
        <rFont val="Calibri"/>
        <family val="1"/>
      </rPr>
      <t>06.00.00</t>
    </r>
  </si>
  <si>
    <r>
      <rPr>
        <b/>
        <sz val="7.5"/>
        <rFont val="Calibri"/>
        <family val="1"/>
      </rPr>
      <t>GENERALES</t>
    </r>
  </si>
  <si>
    <r>
      <rPr>
        <sz val="7.5"/>
        <rFont val="Calibri"/>
        <family val="1"/>
      </rPr>
      <t>06.00.01</t>
    </r>
  </si>
  <si>
    <r>
      <rPr>
        <b/>
        <sz val="14"/>
        <rFont val="Calibri"/>
        <family val="1"/>
      </rPr>
      <t>JP. 0003.2404.2024</t>
    </r>
  </si>
  <si>
    <r>
      <rPr>
        <sz val="8.5"/>
        <rFont val="Calibri"/>
        <family val="1"/>
      </rPr>
      <t>JP. 0003.2404.2024</t>
    </r>
  </si>
  <si>
    <r>
      <rPr>
        <sz val="8.5"/>
        <rFont val="Calibri"/>
        <family val="1"/>
      </rPr>
      <t xml:space="preserve">Cotización:
</t>
    </r>
    <r>
      <rPr>
        <b/>
        <sz val="8.5"/>
        <rFont val="Calibri"/>
        <family val="1"/>
      </rPr>
      <t>PRESUPUESTO: '' SOPORTE PARA CONDENSADORAS - ANTAPACCAY''</t>
    </r>
  </si>
  <si>
    <r>
      <rPr>
        <b/>
        <sz val="8.5"/>
        <rFont val="Calibri"/>
        <family val="1"/>
      </rPr>
      <t>PRECIO NO INCLUIDO IGV       $                                                    12,469.02</t>
    </r>
  </si>
  <si>
    <r>
      <rPr>
        <b/>
        <sz val="8.5"/>
        <rFont val="Calibri"/>
        <family val="1"/>
      </rPr>
      <t xml:space="preserve">CONDICIONES DE LA OFERTA
</t>
    </r>
    <r>
      <rPr>
        <b/>
        <sz val="8.5"/>
        <rFont val="Calibri"/>
        <family val="1"/>
      </rPr>
      <t xml:space="preserve">Moneda                                :    </t>
    </r>
    <r>
      <rPr>
        <sz val="8.5"/>
        <rFont val="Calibri"/>
        <family val="1"/>
      </rPr>
      <t xml:space="preserve">DOLARES
</t>
    </r>
    <r>
      <rPr>
        <b/>
        <sz val="8.5"/>
        <rFont val="Calibri"/>
        <family val="1"/>
      </rPr>
      <t xml:space="preserve">Impuesto                              :    </t>
    </r>
    <r>
      <rPr>
        <sz val="8.5"/>
        <rFont val="Calibri"/>
        <family val="1"/>
      </rPr>
      <t xml:space="preserve">NO INCLUIDO IGV
</t>
    </r>
    <r>
      <rPr>
        <b/>
        <sz val="8.5"/>
        <rFont val="Calibri"/>
        <family val="1"/>
      </rPr>
      <t xml:space="preserve">Tiempo de Entrega            :    </t>
    </r>
    <r>
      <rPr>
        <sz val="8.5"/>
        <color rgb="FFFF0000"/>
        <rFont val="Calibri"/>
        <family val="1"/>
      </rPr>
      <t xml:space="preserve">20 DIAS
</t>
    </r>
    <r>
      <rPr>
        <b/>
        <sz val="8.5"/>
        <rFont val="Calibri"/>
        <family val="1"/>
      </rPr>
      <t xml:space="preserve">Tiempo de Servicio            :    </t>
    </r>
    <r>
      <rPr>
        <sz val="8.5"/>
        <color rgb="FFFF0000"/>
        <rFont val="Calibri"/>
        <family val="1"/>
      </rPr>
      <t>15 DIAS</t>
    </r>
  </si>
  <si>
    <r>
      <rPr>
        <sz val="7.5"/>
        <rFont val="Calibri"/>
        <family val="1"/>
      </rPr>
      <t>PLANCHA ACERO ESTRUCTURAL ASTM A36 DE 2.4 X 1.2 MTRS. X 3MM</t>
    </r>
  </si>
  <si>
    <r>
      <rPr>
        <sz val="7.5"/>
        <rFont val="Calibri"/>
        <family val="1"/>
      </rPr>
      <t>ANGULO DUAL A36/A572-G50 2x1/8"</t>
    </r>
  </si>
  <si>
    <r>
      <rPr>
        <sz val="7.5"/>
        <rFont val="Calibri"/>
        <family val="1"/>
      </rPr>
      <t>ELECTRODO 6011P 1/8" 5KG</t>
    </r>
  </si>
  <si>
    <r>
      <rPr>
        <sz val="7.5"/>
        <rFont val="Calibri"/>
        <family val="1"/>
      </rPr>
      <t>02.00.02</t>
    </r>
  </si>
  <si>
    <r>
      <rPr>
        <sz val="7.5"/>
        <rFont val="Calibri"/>
        <family val="1"/>
      </rPr>
      <t>DISCO DE CORTE 7,5MM</t>
    </r>
  </si>
  <si>
    <r>
      <rPr>
        <sz val="7.5"/>
        <rFont val="Calibri"/>
        <family val="1"/>
      </rPr>
      <t>02.00.03</t>
    </r>
  </si>
  <si>
    <r>
      <rPr>
        <sz val="7.5"/>
        <rFont val="Calibri"/>
        <family val="1"/>
      </rPr>
      <t>DISCO DE CORTE 4MM</t>
    </r>
  </si>
  <si>
    <r>
      <rPr>
        <sz val="7.5"/>
        <rFont val="Calibri"/>
        <family val="1"/>
      </rPr>
      <t>02.00.04</t>
    </r>
  </si>
  <si>
    <r>
      <rPr>
        <sz val="7.5"/>
        <rFont val="Calibri"/>
        <family val="1"/>
      </rPr>
      <t>DISCO DE DEBASTE</t>
    </r>
  </si>
  <si>
    <r>
      <rPr>
        <sz val="7.5"/>
        <rFont val="Calibri"/>
        <family val="1"/>
      </rPr>
      <t>02.00.05</t>
    </r>
  </si>
  <si>
    <r>
      <rPr>
        <sz val="7.5"/>
        <rFont val="Calibri"/>
        <family val="1"/>
      </rPr>
      <t>ARENADO</t>
    </r>
  </si>
  <si>
    <r>
      <rPr>
        <sz val="7.5"/>
        <rFont val="Calibri"/>
        <family val="1"/>
      </rPr>
      <t>M2</t>
    </r>
  </si>
  <si>
    <r>
      <rPr>
        <sz val="7.5"/>
        <rFont val="Calibri"/>
        <family val="1"/>
      </rPr>
      <t>02.00.06</t>
    </r>
  </si>
  <si>
    <r>
      <rPr>
        <sz val="7.5"/>
        <rFont val="Calibri"/>
        <family val="1"/>
      </rPr>
      <t>THINNER</t>
    </r>
  </si>
  <si>
    <r>
      <rPr>
        <sz val="7.5"/>
        <rFont val="Calibri"/>
        <family val="1"/>
      </rPr>
      <t>GAL</t>
    </r>
  </si>
  <si>
    <r>
      <rPr>
        <sz val="7.5"/>
        <rFont val="Calibri"/>
        <family val="1"/>
      </rPr>
      <t>02.00.07</t>
    </r>
  </si>
  <si>
    <r>
      <rPr>
        <sz val="7.5"/>
        <rFont val="Calibri"/>
        <family val="1"/>
      </rPr>
      <t>PINTURA ANTICORROSIVA</t>
    </r>
  </si>
  <si>
    <r>
      <rPr>
        <sz val="7.5"/>
        <rFont val="Calibri"/>
        <family val="1"/>
      </rPr>
      <t>TUERCA CABEZA HEXAGONAL 1"</t>
    </r>
  </si>
  <si>
    <r>
      <rPr>
        <sz val="7.5"/>
        <rFont val="Calibri"/>
        <family val="1"/>
      </rPr>
      <t>02.00.10</t>
    </r>
  </si>
  <si>
    <r>
      <rPr>
        <sz val="7.5"/>
        <rFont val="Calibri"/>
        <family val="1"/>
      </rPr>
      <t>VOLANDA DE 1"</t>
    </r>
  </si>
  <si>
    <r>
      <rPr>
        <sz val="7.5"/>
        <rFont val="Calibri"/>
        <family val="1"/>
      </rPr>
      <t>02.00.11</t>
    </r>
  </si>
  <si>
    <r>
      <rPr>
        <sz val="7.5"/>
        <rFont val="Calibri"/>
        <family val="1"/>
      </rPr>
      <t>TACOS DE EXPANSION 1''</t>
    </r>
  </si>
  <si>
    <r>
      <rPr>
        <sz val="7.5"/>
        <rFont val="Calibri"/>
        <family val="1"/>
      </rPr>
      <t>02.00.12</t>
    </r>
  </si>
  <si>
    <r>
      <rPr>
        <sz val="7.5"/>
        <rFont val="Calibri"/>
        <family val="1"/>
      </rPr>
      <t>BROCAS DE METAL DE 1"</t>
    </r>
  </si>
  <si>
    <r>
      <rPr>
        <sz val="7.5"/>
        <rFont val="Calibri"/>
        <family val="1"/>
      </rPr>
      <t>3.00.01</t>
    </r>
  </si>
  <si>
    <r>
      <rPr>
        <sz val="7.5"/>
        <rFont val="Calibri"/>
        <family val="1"/>
      </rPr>
      <t>3.00.02</t>
    </r>
  </si>
  <si>
    <r>
      <rPr>
        <sz val="7.5"/>
        <rFont val="Calibri"/>
        <family val="1"/>
      </rPr>
      <t>3.00.03</t>
    </r>
  </si>
  <si>
    <r>
      <rPr>
        <sz val="7.5"/>
        <rFont val="Calibri"/>
        <family val="1"/>
      </rPr>
      <t>3.00.04</t>
    </r>
  </si>
  <si>
    <r>
      <rPr>
        <sz val="7.5"/>
        <rFont val="Calibri"/>
        <family val="1"/>
      </rPr>
      <t>3.00.05</t>
    </r>
  </si>
  <si>
    <r>
      <rPr>
        <sz val="7.5"/>
        <rFont val="Calibri"/>
        <family val="1"/>
      </rPr>
      <t>3.00.06</t>
    </r>
  </si>
  <si>
    <r>
      <rPr>
        <sz val="7.5"/>
        <rFont val="Calibri"/>
        <family val="1"/>
      </rPr>
      <t>3.00.07</t>
    </r>
  </si>
  <si>
    <r>
      <rPr>
        <sz val="7.5"/>
        <rFont val="Calibri"/>
        <family val="1"/>
      </rPr>
      <t>3.00.08</t>
    </r>
  </si>
  <si>
    <r>
      <rPr>
        <sz val="7.5"/>
        <rFont val="Calibri"/>
        <family val="1"/>
      </rPr>
      <t>3.00.09</t>
    </r>
  </si>
  <si>
    <r>
      <rPr>
        <sz val="7.5"/>
        <rFont val="Calibri"/>
        <family val="1"/>
      </rPr>
      <t>MAUQINA DE SOLDAR TIC</t>
    </r>
  </si>
  <si>
    <r>
      <rPr>
        <sz val="7.5"/>
        <rFont val="Calibri"/>
        <family val="1"/>
      </rPr>
      <t>3.00.10</t>
    </r>
  </si>
  <si>
    <r>
      <rPr>
        <sz val="7.5"/>
        <rFont val="Calibri"/>
        <family val="1"/>
      </rPr>
      <t>REGULADOR DE ARGON</t>
    </r>
  </si>
  <si>
    <r>
      <rPr>
        <sz val="7.5"/>
        <rFont val="Calibri"/>
        <family val="1"/>
      </rPr>
      <t>3.00.11</t>
    </r>
  </si>
  <si>
    <r>
      <rPr>
        <sz val="7.5"/>
        <rFont val="Calibri"/>
        <family val="1"/>
      </rPr>
      <t>EXTINTOR DE 6 KG</t>
    </r>
  </si>
  <si>
    <r>
      <rPr>
        <sz val="7.5"/>
        <rFont val="Calibri"/>
        <family val="1"/>
      </rPr>
      <t>3.00.12</t>
    </r>
  </si>
  <si>
    <r>
      <rPr>
        <sz val="7.5"/>
        <rFont val="Calibri"/>
        <family val="1"/>
      </rPr>
      <t>MANTA IGNIFUGA</t>
    </r>
  </si>
  <si>
    <r>
      <rPr>
        <sz val="7.5"/>
        <rFont val="Calibri"/>
        <family val="1"/>
      </rPr>
      <t>3.00.13</t>
    </r>
  </si>
  <si>
    <r>
      <rPr>
        <sz val="7.5"/>
        <rFont val="Calibri"/>
        <family val="1"/>
      </rPr>
      <t>CARRITO PARA TRANSPORTAR BALONES</t>
    </r>
  </si>
  <si>
    <r>
      <rPr>
        <sz val="7.5"/>
        <rFont val="Calibri"/>
        <family val="1"/>
      </rPr>
      <t>3.00.14</t>
    </r>
  </si>
  <si>
    <r>
      <rPr>
        <sz val="7.5"/>
        <rFont val="Calibri"/>
        <family val="1"/>
      </rPr>
      <t>BOTA DE SEGURIDAD</t>
    </r>
  </si>
  <si>
    <r>
      <rPr>
        <sz val="7.5"/>
        <rFont val="Calibri"/>
        <family val="1"/>
      </rPr>
      <t>GUANTES DE CUERO MODELO SUPERVISOR AMARILLO</t>
    </r>
  </si>
  <si>
    <r>
      <rPr>
        <sz val="7.5"/>
        <rFont val="Calibri"/>
        <family val="1"/>
      </rPr>
      <t>CASACA Y PANTALON DE CUERO PARA SOLDAR</t>
    </r>
  </si>
  <si>
    <r>
      <rPr>
        <sz val="7.5"/>
        <rFont val="Calibri"/>
        <family val="1"/>
      </rPr>
      <t>CARETA PARA SOLDAR</t>
    </r>
  </si>
  <si>
    <r>
      <rPr>
        <sz val="7.5"/>
        <rFont val="Calibri"/>
        <family val="1"/>
      </rPr>
      <t>CARETA PARA ESMERILAR</t>
    </r>
  </si>
  <si>
    <r>
      <rPr>
        <sz val="7.5"/>
        <rFont val="Calibri"/>
        <family val="1"/>
      </rPr>
      <t>05.00.01</t>
    </r>
  </si>
  <si>
    <r>
      <rPr>
        <sz val="7.5"/>
        <rFont val="Calibri"/>
        <family val="1"/>
      </rPr>
      <t>05.00.02</t>
    </r>
  </si>
  <si>
    <r>
      <rPr>
        <sz val="7.5"/>
        <rFont val="Calibri"/>
        <family val="1"/>
      </rPr>
      <t>TECNICO C</t>
    </r>
  </si>
  <si>
    <r>
      <rPr>
        <sz val="7.5"/>
        <rFont val="Calibri"/>
        <family val="1"/>
      </rPr>
      <t>TRANSPORTE DE HERRAMIENTAS</t>
    </r>
  </si>
  <si>
    <r>
      <rPr>
        <sz val="7.5"/>
        <rFont val="Calibri"/>
        <family val="1"/>
      </rPr>
      <t>06.00.02</t>
    </r>
  </si>
  <si>
    <r>
      <rPr>
        <sz val="7.5"/>
        <rFont val="Calibri"/>
        <family val="1"/>
      </rPr>
      <t>TRANSPORTE DE MATERIALES Y EQUIPOS</t>
    </r>
  </si>
  <si>
    <r>
      <rPr>
        <b/>
        <sz val="7.5"/>
        <rFont val="Calibri"/>
        <family val="1"/>
      </rPr>
      <t xml:space="preserve">TOTAL PARCIAL                                                    38,446.14
</t>
    </r>
    <r>
      <rPr>
        <b/>
        <sz val="7.5"/>
        <rFont val="Calibri"/>
        <family val="1"/>
      </rPr>
      <t xml:space="preserve">GASTOS ADMINISTRATIVOS 10%                       3,844.61
</t>
    </r>
    <r>
      <rPr>
        <u/>
        <sz val="7.5"/>
        <rFont val="Times New Roman"/>
        <family val="1"/>
      </rPr>
      <t>  </t>
    </r>
    <r>
      <rPr>
        <b/>
        <u/>
        <sz val="7.5"/>
        <rFont val="Calibri"/>
        <family val="1"/>
      </rPr>
      <t xml:space="preserve">UTILIDAD 10%                                                         3,844.61  
</t>
    </r>
    <r>
      <rPr>
        <b/>
        <sz val="7.5"/>
        <rFont val="Calibri"/>
        <family val="1"/>
      </rPr>
      <t>TOTAL                                                                     46,135.36</t>
    </r>
  </si>
  <si>
    <r>
      <rPr>
        <b/>
        <i/>
        <sz val="7.5"/>
        <rFont val="Calibri"/>
        <family val="1"/>
      </rPr>
      <t xml:space="preserve">TOTAL EN DOLARES               </t>
    </r>
    <r>
      <rPr>
        <b/>
        <sz val="7.5"/>
        <rFont val="Calibri"/>
        <family val="1"/>
      </rPr>
      <t>12,469.02</t>
    </r>
  </si>
  <si>
    <t>UNIDAD</t>
  </si>
  <si>
    <t>CANTIDAD</t>
  </si>
  <si>
    <t>PQ</t>
  </si>
  <si>
    <t>BAL</t>
  </si>
  <si>
    <t>Cambio USD SUNAT</t>
  </si>
  <si>
    <t xml:space="preserve">TOTAL                                                       </t>
  </si>
  <si>
    <t>GASTOS ADMINISTRATIVOS 10%</t>
  </si>
  <si>
    <t>UTILIDAD 10%</t>
  </si>
  <si>
    <t>TOTAL PARCIAL</t>
  </si>
  <si>
    <t xml:space="preserve">TOTAL EN DÓLARES             </t>
  </si>
  <si>
    <t>DÍAS</t>
  </si>
  <si>
    <t>02.01.01</t>
  </si>
  <si>
    <t>02.01.02</t>
  </si>
  <si>
    <t>02.01.03</t>
  </si>
  <si>
    <t>02.01.04</t>
  </si>
  <si>
    <t>02.01.05</t>
  </si>
  <si>
    <t>02.01.06</t>
  </si>
  <si>
    <t>02.01.07</t>
  </si>
  <si>
    <t>02.01.08</t>
  </si>
  <si>
    <t>02.01.09</t>
  </si>
  <si>
    <t>02.01.10</t>
  </si>
  <si>
    <t>02.01.11</t>
  </si>
  <si>
    <t>02.01.12</t>
  </si>
  <si>
    <t>02.01.13</t>
  </si>
  <si>
    <t>02.01.14</t>
  </si>
  <si>
    <t>02.01.15</t>
  </si>
  <si>
    <t>M</t>
  </si>
  <si>
    <t>TUBERIA DE COBRE RIGIDA 3/4" X 6M</t>
  </si>
  <si>
    <t>TUBERIA DE COBRE  RIGIDA 1/2" X 6M</t>
  </si>
  <si>
    <t>UND</t>
  </si>
  <si>
    <t>EXTRACTOR AXIAL PARED C/ ENCENDIDO INTERRUPTOR</t>
  </si>
  <si>
    <t>LAMPARA EMISORA DE RAYOS UVC LONG. 30IN  100W</t>
  </si>
  <si>
    <t>PANEL PARA EVAPORADOR</t>
  </si>
  <si>
    <t>01.00.01</t>
  </si>
  <si>
    <t>01.00.02</t>
  </si>
  <si>
    <t>PULSADOR RASANTE NA VERDE XB4AA31</t>
  </si>
  <si>
    <t>PULSADOR RASANTE NC ROJO XB4AA42</t>
  </si>
  <si>
    <t>TABLERO ELECTRICO 1  800X600X300</t>
  </si>
  <si>
    <t>LLAVE TERMOMAGNETICA 63A MONOFASICA</t>
  </si>
  <si>
    <t>01.00.14</t>
  </si>
  <si>
    <t>01.00.15</t>
  </si>
  <si>
    <t>01.00.16</t>
  </si>
  <si>
    <t>01.00.17</t>
  </si>
  <si>
    <t>01.00.18</t>
  </si>
  <si>
    <t>CODO PARA TUBERIA RIGIDA 3/4"</t>
  </si>
  <si>
    <t>CODO PARA TUBERIA RIGIDA 1/2"</t>
  </si>
  <si>
    <t>UNION PARA TUBERIA RIGIDA 3/4"</t>
  </si>
  <si>
    <t>UNION PARA TUBERIA RIGIDA 1/2"</t>
  </si>
  <si>
    <t>ARMAFLEX DE 3/4"X1/2" X 1.8M</t>
  </si>
  <si>
    <t>ARMAFLEX DE 1/2"X1/2" X 1.8M</t>
  </si>
  <si>
    <t>CINTA AISLANTE T/ESPONJA 30'X 2" X 1/8" - K502 / 475290</t>
  </si>
  <si>
    <t>TUERCAS DE BRONCE 3/4"</t>
  </si>
  <si>
    <t>TUERCAS DE BRONCE 1/2"</t>
  </si>
  <si>
    <t>TUERCAS DE BRONCE 3/8"</t>
  </si>
  <si>
    <t>CINTA PVC PARA AIRE ACONDICIONADO 0.12MM X 5CM X 10M</t>
  </si>
  <si>
    <t>01.00.04</t>
  </si>
  <si>
    <t>01.00.05</t>
  </si>
  <si>
    <t>01.00.06</t>
  </si>
  <si>
    <t>01.00.07</t>
  </si>
  <si>
    <t>01.00.08</t>
  </si>
  <si>
    <t>01.00.09</t>
  </si>
  <si>
    <t>01.00.10</t>
  </si>
  <si>
    <t>01.00.11</t>
  </si>
  <si>
    <t>01.00.12</t>
  </si>
  <si>
    <t>01.00.13</t>
  </si>
  <si>
    <t>DUCTOS DE AIRE</t>
  </si>
  <si>
    <t>DUCTERIA DE ACERO GALVANIZADO DE 1/32"</t>
  </si>
  <si>
    <t>LANA DE VIDRIO</t>
  </si>
  <si>
    <t>CINTA DE ALUMINIO</t>
  </si>
  <si>
    <t>CINTA PLOMA</t>
  </si>
  <si>
    <t>AUTOPERFORANTE</t>
  </si>
  <si>
    <t>CUERINA</t>
  </si>
  <si>
    <t>IN2</t>
  </si>
  <si>
    <t>01.00.03</t>
  </si>
  <si>
    <t>CABLE NHX 80 2.5mm ROJO</t>
  </si>
  <si>
    <t>CABLE NHX 80 2.5mm NEGRO</t>
  </si>
  <si>
    <t>CABLE NHX 80 2.5mm AZUL</t>
  </si>
  <si>
    <t>CABLE NHX 80 2.5mm AMARILLO - VERDE</t>
  </si>
  <si>
    <t>TERMINALES 2.5MM TIPO "U"</t>
  </si>
  <si>
    <t>TERMINALES 2.5MM TIPO PIN</t>
  </si>
  <si>
    <t>CAPUCHONES PARA CABLE 2.5MM</t>
  </si>
  <si>
    <t>TUBERIA DE COBRE RIGIDA 3/8" X 6M</t>
  </si>
  <si>
    <t>CODO PARA TUBERIA RIGIDA 1 1/8"</t>
  </si>
  <si>
    <t>CODO PARA TUBERIA RIGIDA 1/4"</t>
  </si>
  <si>
    <t>CODO PARA TUBERIA RIGIDA 3/8"</t>
  </si>
  <si>
    <t>UNION PARA TUBERIA RIGIDA 1 1/8"</t>
  </si>
  <si>
    <t>UNION PARA TUBERIA RIGIDA 1/4"</t>
  </si>
  <si>
    <t>UNION PARA TUBERIA RIGIDA 3/8"</t>
  </si>
  <si>
    <t>ARMAFLEX DE 1 1/8"X1/2" X 1.8M</t>
  </si>
  <si>
    <t>ARMAFLEX DE 1/4"X1/2" X 1.8M</t>
  </si>
  <si>
    <t>ARMAFLEX DE 3/8"X1/2" X 1.8M</t>
  </si>
  <si>
    <t>TUERCAS DE BRONCE 1/4"</t>
  </si>
  <si>
    <t>TUBO CONDUIT RIG  IMC Ø1/2'' X 3M</t>
  </si>
  <si>
    <t>CABLE 4 HILOS CALIBRE 16 AWG</t>
  </si>
  <si>
    <t xml:space="preserve">UC_UNIDAD CONDENSADORA  4TVY0229HE000AA 41 KW 382800 BTU/HR 380v/3ø/60Hz  </t>
  </si>
  <si>
    <t xml:space="preserve">UC_UNIDAD CONDENSADORA  4TVY0155HE000AA 41 KW 382800 BTU/HR 380v/3ø/60Hz  </t>
  </si>
  <si>
    <t>REMOTE CONTROLLER TCONTRMUT12D</t>
  </si>
  <si>
    <t>BRANCH JOINT TODK02UTHP</t>
  </si>
  <si>
    <t>BRANCH JOINT TRDK314HP</t>
  </si>
  <si>
    <t>UE_SPLIT TIPO TECHO    4TVX0038EF000AA 500 W    36000 BTU/HR    220V/1ø/60Hz (UE-2P-01/02/03) (UE-3P-01/02/03)</t>
  </si>
  <si>
    <t>UE_FAN COIL TIPO TECHO  4TVD0030EF000AA 350W    35000 BTU/HR    220V/1ø/60Hz (UE-1P-02/03/04/05)</t>
  </si>
  <si>
    <t>UE_SPLIT TIPO PARED  4TVW0012CF000BA  250 W    12000 BTU/HR    220V/1ø/60Hz (UE-1P-01)</t>
  </si>
  <si>
    <t>WIRED CONTROLLER TCONTKJRUT86ED</t>
  </si>
  <si>
    <r>
      <rPr>
        <b/>
        <sz val="8.5"/>
        <rFont val="Calibri"/>
        <family val="1"/>
      </rPr>
      <t xml:space="preserve">: Compañía Minera Antapaccay S.A.
:  </t>
    </r>
    <r>
      <rPr>
        <sz val="8.5"/>
        <rFont val="Calibri"/>
        <family val="1"/>
      </rPr>
      <t>Alvaro Supo</t>
    </r>
  </si>
  <si>
    <t>TECNICO C</t>
  </si>
  <si>
    <r>
      <rPr>
        <sz val="6.5"/>
        <rFont val="Calibri"/>
        <family val="1"/>
      </rPr>
      <t>SUPERVISOR</t>
    </r>
    <r>
      <rPr>
        <sz val="6.5"/>
        <rFont val="Calibri"/>
        <family val="2"/>
      </rPr>
      <t xml:space="preserve"> OPERATIVO</t>
    </r>
  </si>
  <si>
    <t>GRUA IZAJE</t>
  </si>
  <si>
    <t>HR</t>
  </si>
  <si>
    <t>DIA</t>
  </si>
  <si>
    <r>
      <t>BOLSAS DE BASURA</t>
    </r>
    <r>
      <rPr>
        <sz val="6.5"/>
        <rFont val="Calibri"/>
        <family val="2"/>
      </rPr>
      <t xml:space="preserve"> 50LT 50 UND</t>
    </r>
  </si>
  <si>
    <t>CONOS DE SEGURIDAD</t>
  </si>
  <si>
    <t>DUCTO FLEXIBLE CON AISLAMIENTO 16″X7.62M</t>
  </si>
  <si>
    <t>PERNO CABEZA HEXAGONAL 3/8"</t>
  </si>
  <si>
    <t>SOPORTES PERFIL STRUT RIEL BAJO X 2.40M</t>
  </si>
  <si>
    <t>TUBO CONDUIT FLEXIBLE LIQUID TIGHT 1/2"</t>
  </si>
  <si>
    <t>CONECTOR RECTO LIQUID TIGHT Ø1/2''</t>
  </si>
  <si>
    <t>CABLE NH 80 1.5MM ROJO</t>
  </si>
  <si>
    <t>CABLE NH 80 1.5MM NEGRO</t>
  </si>
  <si>
    <t>CABLE NH 80 1.5MM VERDE</t>
  </si>
  <si>
    <t>TERMINALES 4MM TIPO "U"</t>
  </si>
  <si>
    <t>TERMINALES 1.5MM TIPO "U"</t>
  </si>
  <si>
    <t>TERMINALES 4MM TIPO PIN</t>
  </si>
  <si>
    <t>TERMINALES 1.5MM TIPO PIN</t>
  </si>
  <si>
    <t>DIFUSOR 16"x16" 500 CFM</t>
  </si>
  <si>
    <t>CAJA DE MEZCLA PARA UE-1P-02/03/04</t>
  </si>
  <si>
    <t>REJILLA DE EXTRACCIÓN 10"x10"  120 CFM</t>
  </si>
  <si>
    <t>REJILLA DE EXTRACCIÓN 18"x18"</t>
  </si>
  <si>
    <r>
      <rPr>
        <b/>
        <sz val="8.5"/>
        <rFont val="Calibri"/>
        <family val="1"/>
      </rPr>
      <t xml:space="preserve">CONDICIONES DE LA OFERTA
Moneda                                :    </t>
    </r>
    <r>
      <rPr>
        <sz val="8.5"/>
        <rFont val="Calibri"/>
        <family val="1"/>
      </rPr>
      <t xml:space="preserve">DOLARES
</t>
    </r>
    <r>
      <rPr>
        <b/>
        <sz val="8.5"/>
        <rFont val="Calibri"/>
        <family val="1"/>
      </rPr>
      <t xml:space="preserve">Impuesto                              :    </t>
    </r>
    <r>
      <rPr>
        <sz val="8.5"/>
        <rFont val="Calibri"/>
        <family val="1"/>
      </rPr>
      <t xml:space="preserve">NO INCLUIDO IGV
</t>
    </r>
    <r>
      <rPr>
        <b/>
        <sz val="8.5"/>
        <rFont val="Calibri"/>
        <family val="1"/>
      </rPr>
      <t xml:space="preserve">Tiempo de Entrega            :    </t>
    </r>
    <r>
      <rPr>
        <sz val="8.5"/>
        <color rgb="FFFF0000"/>
        <rFont val="Calibri"/>
        <family val="1"/>
      </rPr>
      <t xml:space="preserve">15 DIAS
</t>
    </r>
    <r>
      <rPr>
        <b/>
        <sz val="8.5"/>
        <rFont val="Calibri"/>
        <family val="1"/>
      </rPr>
      <t xml:space="preserve">Tiempo de Servicio            :    </t>
    </r>
    <r>
      <rPr>
        <sz val="8.5"/>
        <color rgb="FFFF0000"/>
        <rFont val="Calibri"/>
        <family val="1"/>
      </rPr>
      <t>30 DIAS</t>
    </r>
  </si>
  <si>
    <t>N° DE COTIZACIÓN</t>
  </si>
  <si>
    <t>INFORMACIÓN DE LA EMPRESA</t>
  </si>
  <si>
    <t>Señores        :</t>
  </si>
  <si>
    <t>Atención      :</t>
  </si>
  <si>
    <t>E-mail           :</t>
  </si>
  <si>
    <t>N° Cot.       :</t>
  </si>
  <si>
    <t>Celular          :</t>
  </si>
  <si>
    <t>Fecha         :</t>
  </si>
  <si>
    <t>Atendiendo a su pedido le hacemos llegar la siguiente cotización:</t>
  </si>
  <si>
    <t>Cotización:</t>
  </si>
  <si>
    <t>CONDICIONES DE LA OFERTA</t>
  </si>
  <si>
    <t>Moneda                              :</t>
  </si>
  <si>
    <t>Impuesto                            :</t>
  </si>
  <si>
    <t>Tiempo de Entrega           :</t>
  </si>
  <si>
    <t>Tiempo de Servicio           :</t>
  </si>
  <si>
    <t>Facturación                        :</t>
  </si>
  <si>
    <t>50% ADELANTO 50% CONTRAENTREGA</t>
  </si>
  <si>
    <t>Tiempo de Garantia         :</t>
  </si>
  <si>
    <t>3 MES</t>
  </si>
  <si>
    <t>Validez de la Oferta         :</t>
  </si>
  <si>
    <t>15 DÍAS</t>
  </si>
  <si>
    <t>NO INCLUYE ANDAMIOS</t>
  </si>
  <si>
    <t>NO INCLUYE GRUA</t>
  </si>
  <si>
    <t>Luis Vargas</t>
  </si>
  <si>
    <t>Celular : 972850800</t>
  </si>
  <si>
    <t>luis.vargas@jpingenieria.pe</t>
  </si>
  <si>
    <t>www.jpingenieria.pe</t>
  </si>
  <si>
    <t>MTR</t>
  </si>
  <si>
    <t>KG</t>
  </si>
  <si>
    <t>LLAVE TERMOMAGNETICA  MONOFASICA</t>
  </si>
  <si>
    <t>Aquí algo para llenar</t>
  </si>
  <si>
    <t xml:space="preserve">Dirección: </t>
  </si>
  <si>
    <t>RUC:</t>
  </si>
  <si>
    <t>Razón Social:</t>
  </si>
  <si>
    <t>aquí dejar en blanco</t>
  </si>
  <si>
    <t>aquí algo para llenar</t>
  </si>
  <si>
    <t xml:space="preserve">PRESUPUESTO: </t>
  </si>
  <si>
    <t>aquí aalgo para llenar</t>
  </si>
  <si>
    <t>Aquí el precio que samos de la BD</t>
  </si>
  <si>
    <t>PRECIO NO INCLUIDO IGV:</t>
  </si>
  <si>
    <t>aquí llenar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</si>
</sst>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\.dd\.yy;@"/>
    <numFmt numFmtId="165" formatCode="_-[$$-409]* #,##0.00_ ;_-[$$-409]* \-#,##0.00\ ;_-[$$-409]* &quot;-&quot;??_ ;_-@_ "/>
    <numFmt numFmtId="166" formatCode="_-[$S/-280A]\ * #,##0.00_-;\-[$S/-280A]\ * #,##0.00_-;_-[$S/-280A]\ * &quot;-&quot;??_-;_-@_-"/>
    <numFmt numFmtId="167" formatCode="_ [$$-340A]* #,##0.00_ ;_ [$$-340A]* \-#,##0.00_ ;_ [$$-340A]* &quot;-&quot;??_ ;_ @_ "/>
    <numFmt numFmtId="168" formatCode="&quot;S/&quot;\ #,##0.00"/>
    <numFmt numFmtId="169" formatCode="[$-F800]dddd\,\ mmmm\ dd\,\ yyyy"/>
  </numFmts>
  <fonts count="58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b/>
      <sz val="8.5"/>
      <name val="Calibri"/>
      <family val="2"/>
    </font>
    <font>
      <b/>
      <sz val="14"/>
      <name val="Calibri"/>
      <family val="2"/>
    </font>
    <font>
      <sz val="8.5"/>
      <name val="Calibri"/>
      <family val="2"/>
    </font>
    <font>
      <b/>
      <sz val="6.5"/>
      <name val="Calibri"/>
      <family val="2"/>
    </font>
    <font>
      <b/>
      <sz val="6.5"/>
      <color rgb="FF000000"/>
      <name val="Calibri"/>
      <family val="2"/>
    </font>
    <font>
      <sz val="6.5"/>
      <name val="Calibri"/>
      <family val="2"/>
    </font>
    <font>
      <sz val="6.5"/>
      <color rgb="FF000000"/>
      <name val="Calibri"/>
      <family val="2"/>
    </font>
    <font>
      <b/>
      <sz val="7.5"/>
      <name val="Calibri"/>
      <family val="2"/>
    </font>
    <font>
      <b/>
      <sz val="7.5"/>
      <color rgb="FF000000"/>
      <name val="Calibri"/>
      <family val="2"/>
    </font>
    <font>
      <sz val="7.5"/>
      <name val="Calibri"/>
      <family val="2"/>
    </font>
    <font>
      <sz val="7.5"/>
      <color rgb="FF000000"/>
      <name val="Calibri"/>
      <family val="2"/>
    </font>
    <font>
      <b/>
      <sz val="8.5"/>
      <name val="Calibri"/>
      <family val="1"/>
    </font>
    <font>
      <b/>
      <sz val="14"/>
      <name val="Calibri"/>
      <family val="1"/>
    </font>
    <font>
      <sz val="8.5"/>
      <name val="Calibri"/>
      <family val="1"/>
    </font>
    <font>
      <u/>
      <sz val="8.5"/>
      <color rgb="FF0000FF"/>
      <name val="Arial MT"/>
      <family val="2"/>
    </font>
    <font>
      <sz val="8.5"/>
      <color rgb="FFFF0000"/>
      <name val="Calibri"/>
      <family val="1"/>
    </font>
    <font>
      <b/>
      <vertAlign val="superscript"/>
      <sz val="8.5"/>
      <name val="Calibri"/>
      <family val="1"/>
    </font>
    <font>
      <b/>
      <i/>
      <sz val="8"/>
      <color rgb="FFFF0000"/>
      <name val="Calibri"/>
      <family val="1"/>
    </font>
    <font>
      <b/>
      <sz val="8.5"/>
      <color rgb="FF808080"/>
      <name val="Calibri"/>
      <family val="1"/>
    </font>
    <font>
      <b/>
      <sz val="8.5"/>
      <color rgb="FF001F60"/>
      <name val="Arial"/>
      <family val="2"/>
    </font>
    <font>
      <b/>
      <u/>
      <sz val="8.5"/>
      <color rgb="FF233F62"/>
      <name val="Calibri"/>
      <family val="1"/>
    </font>
    <font>
      <b/>
      <sz val="6.5"/>
      <name val="Calibri"/>
      <family val="1"/>
    </font>
    <font>
      <sz val="6.5"/>
      <name val="Calibri"/>
      <family val="1"/>
    </font>
    <font>
      <b/>
      <sz val="7.5"/>
      <name val="Calibri"/>
      <family val="1"/>
    </font>
    <font>
      <sz val="7.5"/>
      <name val="Calibri"/>
      <family val="1"/>
    </font>
    <font>
      <u/>
      <sz val="7.5"/>
      <name val="Times New Roman"/>
      <family val="1"/>
    </font>
    <font>
      <b/>
      <u/>
      <sz val="7.5"/>
      <name val="Calibri"/>
      <family val="1"/>
    </font>
    <font>
      <b/>
      <i/>
      <sz val="7.5"/>
      <name val="Calibri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6.5"/>
      <color theme="0"/>
      <name val="Calibri"/>
      <family val="1"/>
    </font>
    <font>
      <sz val="7"/>
      <color rgb="FF000000"/>
      <name val="Calibri"/>
      <family val="2"/>
    </font>
    <font>
      <sz val="7"/>
      <color rgb="FF000000"/>
      <name val="Times New Roman"/>
      <family val="1"/>
    </font>
    <font>
      <sz val="8"/>
      <name val="Times New Roman"/>
      <family val="1"/>
    </font>
    <font>
      <b/>
      <sz val="11"/>
      <color theme="1"/>
      <name val="Calibri"/>
      <family val="2"/>
      <scheme val="minor"/>
    </font>
    <font>
      <b/>
      <sz val="7"/>
      <color rgb="FF000000"/>
      <name val="Calibri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7"/>
      <name val="Calibri"/>
      <family val="2"/>
    </font>
    <font>
      <sz val="8.5"/>
      <color rgb="FF000000"/>
      <name val="Calibri"/>
      <family val="1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1"/>
      <name val="Calibri"/>
      <family val="2"/>
      <scheme val="minor"/>
    </font>
    <font>
      <b/>
      <sz val="10"/>
      <name val="Geneva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b/>
      <sz val="10"/>
      <color rgb="FF002060"/>
      <name val="Arial"/>
      <family val="2"/>
    </font>
    <font>
      <u/>
      <sz val="11"/>
      <color theme="10"/>
      <name val="Calibri"/>
      <family val="2"/>
      <scheme val="minor"/>
    </font>
    <font>
      <b/>
      <u/>
      <sz val="10"/>
      <color theme="4" tint="-0.499984740745262"/>
      <name val="Calibri"/>
      <family val="2"/>
      <scheme val="minor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6">
    <xf numFmtId="0" fontId="0" fillId="0" borderId="0"/>
    <xf numFmtId="0" fontId="38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38" fillId="0" borderId="0"/>
    <xf numFmtId="0" fontId="1" fillId="0" borderId="0"/>
    <xf numFmtId="0" fontId="55" fillId="0" borderId="0" applyNumberFormat="0" applyFill="0" applyBorder="0" applyAlignment="0" applyProtection="0"/>
  </cellStyleXfs>
  <cellXfs count="192"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 wrapText="1" indent="1"/>
    </xf>
    <xf numFmtId="0" fontId="0" fillId="0" borderId="0" xfId="0" applyAlignment="1">
      <alignment horizontal="left" vertical="top" wrapText="1" indent="2"/>
    </xf>
    <xf numFmtId="0" fontId="2" fillId="0" borderId="0" xfId="0" applyFont="1" applyAlignment="1">
      <alignment horizontal="right" vertical="top" wrapText="1" indent="2"/>
    </xf>
    <xf numFmtId="0" fontId="2" fillId="0" borderId="0" xfId="0" applyFont="1" applyAlignment="1">
      <alignment horizontal="right" vertical="top" wrapText="1"/>
    </xf>
    <xf numFmtId="0" fontId="4" fillId="0" borderId="0" xfId="0" applyFont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5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left" vertical="top" wrapText="1" indent="2"/>
    </xf>
    <xf numFmtId="1" fontId="10" fillId="0" borderId="1" xfId="0" applyNumberFormat="1" applyFont="1" applyBorder="1" applyAlignment="1">
      <alignment horizontal="left" vertical="top" indent="2" shrinkToFit="1"/>
    </xf>
    <xf numFmtId="0" fontId="9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left" vertical="top" wrapText="1" indent="1"/>
    </xf>
    <xf numFmtId="0" fontId="9" fillId="0" borderId="1" xfId="0" applyFont="1" applyBorder="1" applyAlignment="1">
      <alignment horizontal="right" vertical="top" wrapText="1"/>
    </xf>
    <xf numFmtId="0" fontId="11" fillId="0" borderId="2" xfId="0" applyFont="1" applyBorder="1" applyAlignment="1">
      <alignment horizontal="center" vertical="top" wrapText="1"/>
    </xf>
    <xf numFmtId="4" fontId="12" fillId="0" borderId="2" xfId="0" applyNumberFormat="1" applyFont="1" applyBorder="1" applyAlignment="1">
      <alignment horizontal="right" vertical="top" indent="1" shrinkToFit="1"/>
    </xf>
    <xf numFmtId="4" fontId="10" fillId="0" borderId="2" xfId="0" applyNumberFormat="1" applyFont="1" applyBorder="1" applyAlignment="1">
      <alignment horizontal="right" vertical="top" shrinkToFit="1"/>
    </xf>
    <xf numFmtId="0" fontId="0" fillId="0" borderId="0" xfId="0" applyAlignment="1">
      <alignment horizontal="left" wrapText="1"/>
    </xf>
    <xf numFmtId="0" fontId="11" fillId="0" borderId="0" xfId="0" applyFont="1" applyAlignment="1">
      <alignment horizontal="center" vertical="top" wrapText="1"/>
    </xf>
    <xf numFmtId="4" fontId="12" fillId="0" borderId="0" xfId="0" applyNumberFormat="1" applyFont="1" applyAlignment="1">
      <alignment horizontal="right" vertical="top" indent="1" shrinkToFit="1"/>
    </xf>
    <xf numFmtId="4" fontId="10" fillId="0" borderId="0" xfId="0" applyNumberFormat="1" applyFont="1" applyAlignment="1">
      <alignment horizontal="right" vertical="top" shrinkToFit="1"/>
    </xf>
    <xf numFmtId="2" fontId="12" fillId="0" borderId="0" xfId="0" applyNumberFormat="1" applyFont="1" applyAlignment="1">
      <alignment horizontal="right" vertical="top" indent="1" shrinkToFit="1"/>
    </xf>
    <xf numFmtId="0" fontId="11" fillId="0" borderId="3" xfId="0" applyFont="1" applyBorder="1" applyAlignment="1">
      <alignment horizontal="center" vertical="top" wrapText="1"/>
    </xf>
    <xf numFmtId="2" fontId="12" fillId="0" borderId="3" xfId="0" applyNumberFormat="1" applyFont="1" applyBorder="1" applyAlignment="1">
      <alignment horizontal="right" vertical="top" indent="1" shrinkToFit="1"/>
    </xf>
    <xf numFmtId="4" fontId="10" fillId="0" borderId="3" xfId="0" applyNumberFormat="1" applyFont="1" applyBorder="1" applyAlignment="1">
      <alignment horizontal="right" vertical="top" shrinkToFit="1"/>
    </xf>
    <xf numFmtId="2" fontId="12" fillId="0" borderId="2" xfId="0" applyNumberFormat="1" applyFont="1" applyBorder="1" applyAlignment="1">
      <alignment horizontal="right" vertical="top" indent="1" shrinkToFit="1"/>
    </xf>
    <xf numFmtId="2" fontId="10" fillId="0" borderId="2" xfId="0" applyNumberFormat="1" applyFont="1" applyBorder="1" applyAlignment="1">
      <alignment horizontal="right" vertical="top" shrinkToFit="1"/>
    </xf>
    <xf numFmtId="2" fontId="10" fillId="0" borderId="0" xfId="0" applyNumberFormat="1" applyFont="1" applyAlignment="1">
      <alignment horizontal="right" vertical="top" shrinkToFit="1"/>
    </xf>
    <xf numFmtId="2" fontId="10" fillId="0" borderId="3" xfId="0" applyNumberFormat="1" applyFont="1" applyBorder="1" applyAlignment="1">
      <alignment horizontal="right" vertical="top" shrinkToFit="1"/>
    </xf>
    <xf numFmtId="4" fontId="12" fillId="0" borderId="3" xfId="0" applyNumberFormat="1" applyFont="1" applyBorder="1" applyAlignment="1">
      <alignment horizontal="right" vertical="top" indent="1" shrinkToFit="1"/>
    </xf>
    <xf numFmtId="0" fontId="9" fillId="0" borderId="1" xfId="0" applyFont="1" applyBorder="1" applyAlignment="1">
      <alignment horizontal="right" vertical="top" wrapText="1" indent="1"/>
    </xf>
    <xf numFmtId="0" fontId="9" fillId="0" borderId="1" xfId="0" applyFont="1" applyBorder="1" applyAlignment="1">
      <alignment horizontal="right" vertical="top" wrapText="1" indent="2"/>
    </xf>
    <xf numFmtId="0" fontId="11" fillId="0" borderId="2" xfId="0" applyFont="1" applyBorder="1" applyAlignment="1">
      <alignment horizontal="right" vertical="top" wrapText="1" indent="2"/>
    </xf>
    <xf numFmtId="2" fontId="12" fillId="0" borderId="2" xfId="0" applyNumberFormat="1" applyFont="1" applyBorder="1" applyAlignment="1">
      <alignment horizontal="right" vertical="top" indent="2" shrinkToFit="1"/>
    </xf>
    <xf numFmtId="0" fontId="11" fillId="0" borderId="3" xfId="0" applyFont="1" applyBorder="1" applyAlignment="1">
      <alignment horizontal="right" vertical="top" wrapText="1" indent="2"/>
    </xf>
    <xf numFmtId="2" fontId="12" fillId="0" borderId="3" xfId="0" applyNumberFormat="1" applyFont="1" applyBorder="1" applyAlignment="1">
      <alignment horizontal="right" vertical="top" indent="2" shrinkToFit="1"/>
    </xf>
    <xf numFmtId="0" fontId="11" fillId="0" borderId="0" xfId="0" applyFont="1" applyAlignment="1">
      <alignment horizontal="right" vertical="top" wrapText="1" indent="2"/>
    </xf>
    <xf numFmtId="2" fontId="12" fillId="0" borderId="0" xfId="0" applyNumberFormat="1" applyFont="1" applyAlignment="1">
      <alignment horizontal="right" vertical="top" indent="2" shrinkToFit="1"/>
    </xf>
    <xf numFmtId="2" fontId="12" fillId="0" borderId="3" xfId="0" applyNumberFormat="1" applyFont="1" applyBorder="1" applyAlignment="1">
      <alignment horizontal="right" vertical="top" indent="3" shrinkToFit="1"/>
    </xf>
    <xf numFmtId="2" fontId="12" fillId="0" borderId="2" xfId="0" applyNumberFormat="1" applyFont="1" applyBorder="1" applyAlignment="1">
      <alignment horizontal="right" vertical="top" indent="3" shrinkToFit="1"/>
    </xf>
    <xf numFmtId="2" fontId="12" fillId="0" borderId="0" xfId="0" applyNumberFormat="1" applyFont="1" applyAlignment="1">
      <alignment horizontal="right" vertical="top" indent="3" shrinkToFit="1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center" vertical="center" wrapText="1"/>
    </xf>
    <xf numFmtId="164" fontId="8" fillId="0" borderId="5" xfId="0" applyNumberFormat="1" applyFont="1" applyBorder="1" applyAlignment="1">
      <alignment horizontal="center" vertical="top" shrinkToFit="1"/>
    </xf>
    <xf numFmtId="164" fontId="8" fillId="0" borderId="6" xfId="0" applyNumberFormat="1" applyFont="1" applyBorder="1" applyAlignment="1">
      <alignment horizontal="center" vertical="top" shrinkToFit="1"/>
    </xf>
    <xf numFmtId="0" fontId="7" fillId="0" borderId="6" xfId="0" applyFont="1" applyBorder="1" applyAlignment="1">
      <alignment vertical="top" wrapText="1"/>
    </xf>
    <xf numFmtId="0" fontId="7" fillId="0" borderId="5" xfId="0" applyFont="1" applyBorder="1" applyAlignment="1">
      <alignment vertical="top" wrapText="1"/>
    </xf>
    <xf numFmtId="0" fontId="30" fillId="0" borderId="0" xfId="0" applyFont="1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horizontal="center" vertical="center"/>
    </xf>
    <xf numFmtId="165" fontId="6" fillId="0" borderId="4" xfId="0" applyNumberFormat="1" applyFont="1" applyBorder="1" applyAlignment="1">
      <alignment horizontal="center" vertical="center" shrinkToFit="1"/>
    </xf>
    <xf numFmtId="1" fontId="6" fillId="0" borderId="1" xfId="0" applyNumberFormat="1" applyFont="1" applyBorder="1" applyAlignment="1">
      <alignment horizontal="center" vertical="top" shrinkToFit="1"/>
    </xf>
    <xf numFmtId="0" fontId="23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top" wrapText="1"/>
    </xf>
    <xf numFmtId="2" fontId="33" fillId="0" borderId="0" xfId="0" applyNumberFormat="1" applyFont="1" applyAlignment="1">
      <alignment horizontal="center" vertical="center" shrinkToFit="1"/>
    </xf>
    <xf numFmtId="2" fontId="33" fillId="0" borderId="5" xfId="0" applyNumberFormat="1" applyFont="1" applyBorder="1" applyAlignment="1">
      <alignment horizontal="center" vertical="center" shrinkToFit="1"/>
    </xf>
    <xf numFmtId="166" fontId="33" fillId="0" borderId="5" xfId="0" applyNumberFormat="1" applyFont="1" applyBorder="1" applyAlignment="1">
      <alignment horizontal="center" vertical="center" shrinkToFit="1"/>
    </xf>
    <xf numFmtId="2" fontId="33" fillId="0" borderId="6" xfId="0" applyNumberFormat="1" applyFont="1" applyBorder="1" applyAlignment="1">
      <alignment horizontal="center" vertical="center" shrinkToFit="1"/>
    </xf>
    <xf numFmtId="166" fontId="33" fillId="0" borderId="6" xfId="0" applyNumberFormat="1" applyFont="1" applyBorder="1" applyAlignment="1">
      <alignment horizontal="center" vertical="center" shrinkToFit="1"/>
    </xf>
    <xf numFmtId="0" fontId="34" fillId="0" borderId="0" xfId="0" applyFont="1" applyAlignment="1">
      <alignment horizontal="center" vertical="center" wrapText="1"/>
    </xf>
    <xf numFmtId="166" fontId="34" fillId="0" borderId="0" xfId="0" applyNumberFormat="1" applyFont="1" applyAlignment="1">
      <alignment horizontal="center" vertical="center" wrapText="1"/>
    </xf>
    <xf numFmtId="0" fontId="24" fillId="0" borderId="5" xfId="0" applyFont="1" applyBorder="1" applyAlignment="1">
      <alignment horizontal="center" vertical="top" wrapText="1"/>
    </xf>
    <xf numFmtId="164" fontId="6" fillId="0" borderId="4" xfId="0" applyNumberFormat="1" applyFont="1" applyBorder="1" applyAlignment="1">
      <alignment horizontal="center" vertical="top" shrinkToFit="1"/>
    </xf>
    <xf numFmtId="0" fontId="31" fillId="0" borderId="0" xfId="0" applyFont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 wrapText="1"/>
    </xf>
    <xf numFmtId="166" fontId="34" fillId="0" borderId="4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5" fillId="4" borderId="5" xfId="0" applyFont="1" applyFill="1" applyBorder="1" applyAlignment="1">
      <alignment horizontal="left" vertical="center" wrapText="1"/>
    </xf>
    <xf numFmtId="164" fontId="8" fillId="0" borderId="0" xfId="0" applyNumberFormat="1" applyFont="1" applyAlignment="1">
      <alignment horizontal="center" vertical="top" shrinkToFit="1"/>
    </xf>
    <xf numFmtId="0" fontId="7" fillId="0" borderId="0" xfId="0" applyFont="1" applyAlignment="1">
      <alignment horizontal="left" vertical="top" wrapText="1"/>
    </xf>
    <xf numFmtId="0" fontId="24" fillId="0" borderId="0" xfId="0" applyFont="1" applyAlignment="1">
      <alignment horizontal="center" vertical="center" wrapText="1"/>
    </xf>
    <xf numFmtId="166" fontId="33" fillId="0" borderId="0" xfId="0" applyNumberFormat="1" applyFont="1" applyAlignment="1">
      <alignment horizontal="center" vertical="center" shrinkToFit="1"/>
    </xf>
    <xf numFmtId="0" fontId="7" fillId="0" borderId="0" xfId="0" applyFont="1" applyAlignment="1">
      <alignment horizontal="center" vertical="top" wrapText="1"/>
    </xf>
    <xf numFmtId="0" fontId="24" fillId="0" borderId="6" xfId="0" applyFont="1" applyBorder="1" applyAlignment="1">
      <alignment horizontal="center" vertical="center" wrapText="1"/>
    </xf>
    <xf numFmtId="0" fontId="5" fillId="4" borderId="4" xfId="0" applyFont="1" applyFill="1" applyBorder="1" applyAlignment="1">
      <alignment horizontal="left" vertical="top" wrapText="1"/>
    </xf>
    <xf numFmtId="166" fontId="37" fillId="0" borderId="0" xfId="0" applyNumberFormat="1" applyFont="1" applyAlignment="1">
      <alignment horizontal="center" vertical="center" shrinkToFit="1"/>
    </xf>
    <xf numFmtId="166" fontId="37" fillId="0" borderId="4" xfId="0" applyNumberFormat="1" applyFont="1" applyBorder="1" applyAlignment="1">
      <alignment horizontal="center" vertical="center" shrinkToFit="1"/>
    </xf>
    <xf numFmtId="0" fontId="5" fillId="0" borderId="0" xfId="0" applyFont="1" applyAlignment="1">
      <alignment horizontal="center" vertical="top" wrapText="1"/>
    </xf>
    <xf numFmtId="0" fontId="5" fillId="0" borderId="5" xfId="0" applyFont="1" applyBorder="1" applyAlignment="1">
      <alignment horizontal="left" vertical="top" wrapText="1"/>
    </xf>
    <xf numFmtId="0" fontId="34" fillId="0" borderId="5" xfId="0" applyFont="1" applyBorder="1" applyAlignment="1">
      <alignment horizontal="center" vertical="center" wrapText="1"/>
    </xf>
    <xf numFmtId="166" fontId="34" fillId="0" borderId="5" xfId="0" applyNumberFormat="1" applyFont="1" applyBorder="1" applyAlignment="1">
      <alignment horizontal="center" vertical="center" wrapText="1"/>
    </xf>
    <xf numFmtId="166" fontId="37" fillId="0" borderId="5" xfId="0" applyNumberFormat="1" applyFont="1" applyBorder="1" applyAlignment="1">
      <alignment horizontal="center" vertical="center" shrinkToFit="1"/>
    </xf>
    <xf numFmtId="0" fontId="24" fillId="0" borderId="0" xfId="0" applyFont="1" applyAlignment="1">
      <alignment horizontal="center" vertical="top" wrapText="1"/>
    </xf>
    <xf numFmtId="164" fontId="6" fillId="0" borderId="6" xfId="0" applyNumberFormat="1" applyFont="1" applyBorder="1" applyAlignment="1">
      <alignment horizontal="center" vertical="top" shrinkToFit="1"/>
    </xf>
    <xf numFmtId="0" fontId="5" fillId="4" borderId="6" xfId="0" applyFont="1" applyFill="1" applyBorder="1" applyAlignment="1">
      <alignment horizontal="left" vertical="top" wrapText="1"/>
    </xf>
    <xf numFmtId="0" fontId="30" fillId="0" borderId="6" xfId="0" applyFont="1" applyBorder="1" applyAlignment="1">
      <alignment horizontal="center" vertical="center" wrapText="1"/>
    </xf>
    <xf numFmtId="0" fontId="34" fillId="0" borderId="6" xfId="0" applyFont="1" applyBorder="1" applyAlignment="1">
      <alignment horizontal="center" vertical="center" wrapText="1"/>
    </xf>
    <xf numFmtId="166" fontId="34" fillId="0" borderId="6" xfId="0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32" fillId="0" borderId="0" xfId="0" applyFont="1" applyAlignment="1">
      <alignment horizontal="center" vertical="center" wrapText="1"/>
    </xf>
    <xf numFmtId="0" fontId="32" fillId="0" borderId="6" xfId="0" applyFont="1" applyBorder="1" applyAlignment="1">
      <alignment horizontal="center" vertical="center" wrapText="1"/>
    </xf>
    <xf numFmtId="166" fontId="37" fillId="0" borderId="6" xfId="0" applyNumberFormat="1" applyFont="1" applyBorder="1" applyAlignment="1">
      <alignment horizontal="center" vertical="center" shrinkToFit="1"/>
    </xf>
    <xf numFmtId="0" fontId="24" fillId="0" borderId="0" xfId="0" applyFont="1" applyAlignment="1">
      <alignment horizontal="left" vertical="top" wrapText="1"/>
    </xf>
    <xf numFmtId="0" fontId="24" fillId="0" borderId="6" xfId="0" applyFont="1" applyBorder="1" applyAlignment="1">
      <alignment vertical="top" wrapText="1"/>
    </xf>
    <xf numFmtId="0" fontId="24" fillId="0" borderId="0" xfId="0" applyFont="1" applyAlignment="1">
      <alignment vertical="top" wrapText="1"/>
    </xf>
    <xf numFmtId="0" fontId="5" fillId="0" borderId="5" xfId="0" applyFont="1" applyBorder="1" applyAlignment="1">
      <alignment horizontal="center" vertical="top" wrapText="1"/>
    </xf>
    <xf numFmtId="0" fontId="30" fillId="0" borderId="5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left" vertical="top" wrapText="1"/>
    </xf>
    <xf numFmtId="0" fontId="5" fillId="4" borderId="0" xfId="0" applyFont="1" applyFill="1" applyAlignment="1">
      <alignment vertical="top" wrapText="1"/>
    </xf>
    <xf numFmtId="0" fontId="5" fillId="4" borderId="5" xfId="0" applyFont="1" applyFill="1" applyBorder="1" applyAlignment="1">
      <alignment horizontal="left" vertical="top" wrapText="1"/>
    </xf>
    <xf numFmtId="164" fontId="6" fillId="0" borderId="5" xfId="0" applyNumberFormat="1" applyFont="1" applyBorder="1" applyAlignment="1">
      <alignment horizontal="center" vertical="top" shrinkToFit="1"/>
    </xf>
    <xf numFmtId="166" fontId="0" fillId="0" borderId="0" xfId="0" applyNumberFormat="1" applyAlignment="1">
      <alignment horizontal="left" vertical="top"/>
    </xf>
    <xf numFmtId="164" fontId="6" fillId="0" borderId="0" xfId="0" applyNumberFormat="1" applyFont="1" applyAlignment="1">
      <alignment horizontal="center" vertical="top" shrinkToFit="1"/>
    </xf>
    <xf numFmtId="2" fontId="40" fillId="0" borderId="0" xfId="0" applyNumberFormat="1" applyFont="1" applyAlignment="1">
      <alignment horizontal="center" vertical="center" shrinkToFit="1"/>
    </xf>
    <xf numFmtId="166" fontId="40" fillId="0" borderId="0" xfId="0" applyNumberFormat="1" applyFont="1" applyAlignment="1">
      <alignment horizontal="center" vertical="center" shrinkToFit="1"/>
    </xf>
    <xf numFmtId="2" fontId="7" fillId="0" borderId="0" xfId="0" applyNumberFormat="1" applyFont="1" applyAlignment="1">
      <alignment horizontal="center" vertical="center" shrinkToFit="1"/>
    </xf>
    <xf numFmtId="2" fontId="7" fillId="0" borderId="0" xfId="0" applyNumberFormat="1" applyFont="1" applyAlignment="1">
      <alignment horizontal="center" vertical="top" shrinkToFit="1"/>
    </xf>
    <xf numFmtId="2" fontId="40" fillId="0" borderId="6" xfId="0" applyNumberFormat="1" applyFont="1" applyBorder="1" applyAlignment="1">
      <alignment horizontal="center" vertical="center" shrinkToFit="1"/>
    </xf>
    <xf numFmtId="166" fontId="40" fillId="0" borderId="6" xfId="0" applyNumberFormat="1" applyFont="1" applyBorder="1" applyAlignment="1">
      <alignment horizontal="center" vertical="center" shrinkToFit="1"/>
    </xf>
    <xf numFmtId="0" fontId="38" fillId="5" borderId="7" xfId="1" applyFill="1" applyBorder="1"/>
    <xf numFmtId="0" fontId="42" fillId="5" borderId="7" xfId="1" applyFont="1" applyFill="1" applyBorder="1" applyAlignment="1">
      <alignment horizontal="center" vertical="center"/>
    </xf>
    <xf numFmtId="0" fontId="38" fillId="5" borderId="0" xfId="1" applyFill="1"/>
    <xf numFmtId="0" fontId="43" fillId="5" borderId="0" xfId="1" applyFont="1" applyFill="1"/>
    <xf numFmtId="0" fontId="44" fillId="5" borderId="0" xfId="1" applyFont="1" applyFill="1"/>
    <xf numFmtId="0" fontId="44" fillId="5" borderId="0" xfId="1" applyFont="1" applyFill="1" applyAlignment="1">
      <alignment horizontal="left"/>
    </xf>
    <xf numFmtId="0" fontId="45" fillId="5" borderId="7" xfId="1" applyFont="1" applyFill="1" applyBorder="1"/>
    <xf numFmtId="0" fontId="45" fillId="5" borderId="0" xfId="1" applyFont="1" applyFill="1"/>
    <xf numFmtId="0" fontId="43" fillId="5" borderId="7" xfId="1" applyFont="1" applyFill="1" applyBorder="1"/>
    <xf numFmtId="0" fontId="44" fillId="5" borderId="7" xfId="1" applyFont="1" applyFill="1" applyBorder="1" applyAlignment="1">
      <alignment horizontal="left"/>
    </xf>
    <xf numFmtId="0" fontId="44" fillId="5" borderId="7" xfId="1" applyFont="1" applyFill="1" applyBorder="1"/>
    <xf numFmtId="0" fontId="47" fillId="5" borderId="0" xfId="2" applyFont="1" applyFill="1" applyAlignment="1" applyProtection="1"/>
    <xf numFmtId="0" fontId="39" fillId="5" borderId="0" xfId="3" applyFont="1" applyFill="1"/>
    <xf numFmtId="0" fontId="36" fillId="5" borderId="0" xfId="1" applyFont="1" applyFill="1"/>
    <xf numFmtId="0" fontId="48" fillId="5" borderId="0" xfId="3" applyFont="1" applyFill="1"/>
    <xf numFmtId="0" fontId="38" fillId="5" borderId="0" xfId="1" applyFill="1" applyAlignment="1">
      <alignment horizontal="left"/>
    </xf>
    <xf numFmtId="0" fontId="49" fillId="5" borderId="0" xfId="3" applyFont="1" applyFill="1"/>
    <xf numFmtId="0" fontId="38" fillId="5" borderId="7" xfId="1" applyFill="1" applyBorder="1" applyAlignment="1">
      <alignment horizontal="left"/>
    </xf>
    <xf numFmtId="168" fontId="38" fillId="5" borderId="0" xfId="1" applyNumberFormat="1" applyFill="1"/>
    <xf numFmtId="0" fontId="49" fillId="5" borderId="0" xfId="1" applyFont="1" applyFill="1" applyAlignment="1">
      <alignment horizontal="right" wrapText="1"/>
    </xf>
    <xf numFmtId="14" fontId="44" fillId="5" borderId="0" xfId="1" applyNumberFormat="1" applyFont="1" applyFill="1" applyAlignment="1">
      <alignment horizontal="right"/>
    </xf>
    <xf numFmtId="0" fontId="43" fillId="5" borderId="0" xfId="1" applyFont="1" applyFill="1" applyAlignment="1">
      <alignment wrapText="1"/>
    </xf>
    <xf numFmtId="0" fontId="38" fillId="5" borderId="0" xfId="1" applyFill="1" applyAlignment="1">
      <alignment horizontal="center"/>
    </xf>
    <xf numFmtId="9" fontId="50" fillId="5" borderId="0" xfId="1" applyNumberFormat="1" applyFont="1" applyFill="1" applyAlignment="1">
      <alignment horizontal="left"/>
    </xf>
    <xf numFmtId="0" fontId="36" fillId="5" borderId="0" xfId="1" applyFont="1" applyFill="1" applyAlignment="1">
      <alignment horizontal="center" vertical="center"/>
    </xf>
    <xf numFmtId="0" fontId="36" fillId="5" borderId="0" xfId="1" applyFont="1" applyFill="1" applyAlignment="1">
      <alignment horizontal="center" vertical="center" wrapText="1"/>
    </xf>
    <xf numFmtId="49" fontId="44" fillId="5" borderId="0" xfId="1" applyNumberFormat="1" applyFont="1" applyFill="1" applyAlignment="1">
      <alignment horizontal="center" vertical="center"/>
    </xf>
    <xf numFmtId="0" fontId="44" fillId="5" borderId="0" xfId="1" applyFont="1" applyFill="1" applyAlignment="1">
      <alignment vertical="center" wrapText="1"/>
    </xf>
    <xf numFmtId="49" fontId="38" fillId="5" borderId="0" xfId="1" applyNumberFormat="1" applyFill="1" applyAlignment="1">
      <alignment horizontal="center" vertical="center"/>
    </xf>
    <xf numFmtId="2" fontId="38" fillId="5" borderId="0" xfId="1" applyNumberFormat="1" applyFill="1" applyAlignment="1">
      <alignment horizontal="center" vertical="center"/>
    </xf>
    <xf numFmtId="0" fontId="44" fillId="5" borderId="0" xfId="1" applyFont="1" applyFill="1" applyAlignment="1">
      <alignment vertical="center"/>
    </xf>
    <xf numFmtId="0" fontId="51" fillId="0" borderId="0" xfId="1" applyFont="1" applyAlignment="1">
      <alignment vertical="center"/>
    </xf>
    <xf numFmtId="0" fontId="36" fillId="5" borderId="7" xfId="1" applyFont="1" applyFill="1" applyBorder="1" applyAlignment="1">
      <alignment horizontal="center" vertical="center"/>
    </xf>
    <xf numFmtId="0" fontId="36" fillId="5" borderId="7" xfId="1" applyFont="1" applyFill="1" applyBorder="1" applyAlignment="1">
      <alignment horizontal="center" vertical="center" wrapText="1"/>
    </xf>
    <xf numFmtId="0" fontId="38" fillId="5" borderId="0" xfId="1" applyFill="1" applyAlignment="1">
      <alignment vertical="center"/>
    </xf>
    <xf numFmtId="0" fontId="52" fillId="5" borderId="0" xfId="1" applyFont="1" applyFill="1"/>
    <xf numFmtId="0" fontId="53" fillId="5" borderId="0" xfId="4" applyFont="1" applyFill="1"/>
    <xf numFmtId="0" fontId="54" fillId="5" borderId="0" xfId="2" applyFont="1" applyFill="1" applyAlignment="1" applyProtection="1"/>
    <xf numFmtId="0" fontId="56" fillId="5" borderId="0" xfId="5" applyFont="1" applyFill="1"/>
    <xf numFmtId="169" fontId="44" fillId="5" borderId="0" xfId="1" applyNumberFormat="1" applyFont="1" applyFill="1"/>
    <xf numFmtId="0" fontId="41" fillId="0" borderId="0" xfId="0" applyFont="1" applyAlignment="1">
      <alignment horizontal="left" vertical="top" wrapText="1" indent="3"/>
    </xf>
    <xf numFmtId="0" fontId="0" fillId="0" borderId="0" xfId="0" applyAlignment="1">
      <alignment horizontal="left" vertical="top" wrapText="1" indent="3"/>
    </xf>
    <xf numFmtId="0" fontId="0" fillId="0" borderId="0" xfId="0" applyAlignment="1">
      <alignment horizontal="left" vertical="top" wrapText="1" indent="16"/>
    </xf>
    <xf numFmtId="0" fontId="0" fillId="0" borderId="0" xfId="0" applyAlignment="1">
      <alignment horizontal="left" vertical="top" wrapText="1" indent="1"/>
    </xf>
    <xf numFmtId="0" fontId="2" fillId="0" borderId="0" xfId="0" applyFont="1" applyAlignment="1">
      <alignment horizontal="left" vertical="top" wrapText="1" indent="1"/>
    </xf>
    <xf numFmtId="0" fontId="4" fillId="0" borderId="0" xfId="0" applyFont="1" applyAlignment="1">
      <alignment horizontal="left" vertical="top" wrapText="1" indent="3"/>
    </xf>
    <xf numFmtId="0" fontId="2" fillId="0" borderId="0" xfId="0" applyFont="1" applyAlignment="1">
      <alignment horizontal="left" vertical="top" wrapText="1" indent="39"/>
    </xf>
    <xf numFmtId="0" fontId="2" fillId="0" borderId="0" xfId="0" applyFont="1" applyAlignment="1">
      <alignment horizontal="left" vertical="center" wrapText="1" indent="3"/>
    </xf>
    <xf numFmtId="0" fontId="3" fillId="0" borderId="0" xfId="0" applyFont="1" applyAlignment="1">
      <alignment horizontal="left" vertical="top" wrapText="1" indent="2"/>
    </xf>
    <xf numFmtId="0" fontId="15" fillId="0" borderId="0" xfId="0" applyFont="1" applyAlignment="1">
      <alignment horizontal="left" vertical="top" wrapText="1" indent="1"/>
    </xf>
    <xf numFmtId="0" fontId="0" fillId="0" borderId="0" xfId="0" applyAlignment="1">
      <alignment horizontal="left" vertical="center" wrapText="1"/>
    </xf>
    <xf numFmtId="0" fontId="42" fillId="5" borderId="7" xfId="1" applyFont="1" applyFill="1" applyBorder="1" applyAlignment="1">
      <alignment horizontal="left" vertical="center"/>
    </xf>
    <xf numFmtId="0" fontId="36" fillId="5" borderId="0" xfId="1" applyFont="1" applyFill="1" applyAlignment="1">
      <alignment horizontal="left"/>
    </xf>
    <xf numFmtId="0" fontId="38" fillId="5" borderId="0" xfId="1" applyFill="1" applyAlignment="1">
      <alignment horizontal="left"/>
    </xf>
    <xf numFmtId="167" fontId="43" fillId="5" borderId="8" xfId="1" applyNumberFormat="1" applyFont="1" applyFill="1" applyBorder="1" applyAlignment="1">
      <alignment horizontal="center"/>
    </xf>
    <xf numFmtId="0" fontId="38" fillId="5" borderId="0" xfId="1" applyFill="1" applyAlignment="1">
      <alignment horizontal="center"/>
    </xf>
    <xf numFmtId="0" fontId="44" fillId="5" borderId="0" xfId="1" applyFont="1" applyFill="1" applyAlignment="1">
      <alignment horizontal="left" vertical="center" wrapText="1"/>
    </xf>
    <xf numFmtId="0" fontId="23" fillId="0" borderId="6" xfId="0" applyFont="1" applyBorder="1" applyAlignment="1">
      <alignment horizontal="center" vertical="center" wrapText="1"/>
    </xf>
    <xf numFmtId="0" fontId="23" fillId="3" borderId="4" xfId="0" applyFont="1" applyFill="1" applyBorder="1" applyAlignment="1">
      <alignment horizontal="center" vertical="center" wrapText="1"/>
    </xf>
    <xf numFmtId="0" fontId="30" fillId="3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5" fillId="0" borderId="0" xfId="0" applyFont="1" applyAlignment="1">
      <alignment horizontal="left" vertical="top" wrapText="1"/>
    </xf>
    <xf numFmtId="0" fontId="23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top" wrapText="1"/>
    </xf>
    <xf numFmtId="0" fontId="0" fillId="0" borderId="0" xfId="0" applyAlignment="1">
      <alignment horizontal="right" vertical="top" wrapText="1"/>
    </xf>
    <xf numFmtId="0" fontId="0" fillId="2" borderId="0" xfId="0" applyFill="1" applyAlignment="1">
      <alignment horizontal="left" vertical="top" wrapText="1" indent="7"/>
    </xf>
    <xf numFmtId="0" fontId="9" fillId="0" borderId="1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9" fillId="0" borderId="1" xfId="0" applyFont="1" applyBorder="1" applyAlignment="1">
      <alignment horizontal="left" vertical="top" wrapText="1" indent="11"/>
    </xf>
  </cellXfs>
  <cellStyles count="6">
    <cellStyle name="Cancel 2" xfId="3" xr:uid="{B0D9368E-BF7A-44D6-887E-7B80DE8D24CA}"/>
    <cellStyle name="Hipervínculo 2" xfId="2" xr:uid="{7E1C5A48-AE2A-4127-AB70-499B8C1E5B88}"/>
    <cellStyle name="Hipervínculo 2 2" xfId="5" xr:uid="{11F6CAC5-64A3-48B8-9E43-3FE9EF1F82A4}"/>
    <cellStyle name="Normal" xfId="0" builtinId="0"/>
    <cellStyle name="Normal 2" xfId="1" xr:uid="{D966FF7B-84CD-432D-A5E0-B4614A04485C}"/>
    <cellStyle name="Normal 4" xfId="4" xr:uid="{55B793C1-09A5-4C85-822E-8D46F9CDC47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260604</xdr:colOff>
      <xdr:row>0</xdr:row>
      <xdr:rowOff>177551</xdr:rowOff>
    </xdr:from>
    <xdr:ext cx="6682740" cy="32384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6682740" cy="32384"/>
        </a:xfrm>
        <a:custGeom>
          <a:avLst/>
          <a:gdLst/>
          <a:ahLst/>
          <a:cxnLst/>
          <a:rect l="0" t="0" r="0" b="0"/>
          <a:pathLst>
            <a:path w="6682740" h="32384">
              <a:moveTo>
                <a:pt x="6682740" y="21336"/>
              </a:moveTo>
              <a:lnTo>
                <a:pt x="0" y="21336"/>
              </a:lnTo>
              <a:lnTo>
                <a:pt x="0" y="32004"/>
              </a:lnTo>
              <a:lnTo>
                <a:pt x="6682740" y="32004"/>
              </a:lnTo>
              <a:lnTo>
                <a:pt x="6682740" y="21336"/>
              </a:lnTo>
              <a:close/>
            </a:path>
            <a:path w="6682740" h="32384">
              <a:moveTo>
                <a:pt x="6682740" y="0"/>
              </a:moveTo>
              <a:lnTo>
                <a:pt x="0" y="0"/>
              </a:lnTo>
              <a:lnTo>
                <a:pt x="0" y="10668"/>
              </a:lnTo>
              <a:lnTo>
                <a:pt x="6682740" y="10668"/>
              </a:lnTo>
              <a:lnTo>
                <a:pt x="668274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413004</xdr:colOff>
      <xdr:row>12</xdr:row>
      <xdr:rowOff>0</xdr:rowOff>
    </xdr:from>
    <xdr:ext cx="6682740" cy="32384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6682740" cy="32384"/>
        </a:xfrm>
        <a:custGeom>
          <a:avLst/>
          <a:gdLst/>
          <a:ahLst/>
          <a:cxnLst/>
          <a:rect l="0" t="0" r="0" b="0"/>
          <a:pathLst>
            <a:path w="6682740" h="32384">
              <a:moveTo>
                <a:pt x="6682740" y="21336"/>
              </a:moveTo>
              <a:lnTo>
                <a:pt x="0" y="21336"/>
              </a:lnTo>
              <a:lnTo>
                <a:pt x="0" y="32004"/>
              </a:lnTo>
              <a:lnTo>
                <a:pt x="6682740" y="32004"/>
              </a:lnTo>
              <a:lnTo>
                <a:pt x="6682740" y="21336"/>
              </a:lnTo>
              <a:close/>
            </a:path>
            <a:path w="6682740" h="32384">
              <a:moveTo>
                <a:pt x="6682740" y="0"/>
              </a:moveTo>
              <a:lnTo>
                <a:pt x="0" y="0"/>
              </a:lnTo>
              <a:lnTo>
                <a:pt x="0" y="10668"/>
              </a:lnTo>
              <a:lnTo>
                <a:pt x="6682740" y="10668"/>
              </a:lnTo>
              <a:lnTo>
                <a:pt x="668274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413004</xdr:colOff>
      <xdr:row>13</xdr:row>
      <xdr:rowOff>0</xdr:rowOff>
    </xdr:from>
    <xdr:ext cx="6682740" cy="32384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6682740" cy="32384"/>
        </a:xfrm>
        <a:custGeom>
          <a:avLst/>
          <a:gdLst/>
          <a:ahLst/>
          <a:cxnLst/>
          <a:rect l="0" t="0" r="0" b="0"/>
          <a:pathLst>
            <a:path w="6682740" h="32384">
              <a:moveTo>
                <a:pt x="6682740" y="21336"/>
              </a:moveTo>
              <a:lnTo>
                <a:pt x="0" y="21336"/>
              </a:lnTo>
              <a:lnTo>
                <a:pt x="0" y="32004"/>
              </a:lnTo>
              <a:lnTo>
                <a:pt x="6682740" y="32004"/>
              </a:lnTo>
              <a:lnTo>
                <a:pt x="6682740" y="21336"/>
              </a:lnTo>
              <a:close/>
            </a:path>
            <a:path w="6682740" h="32384">
              <a:moveTo>
                <a:pt x="6682740" y="0"/>
              </a:moveTo>
              <a:lnTo>
                <a:pt x="0" y="0"/>
              </a:lnTo>
              <a:lnTo>
                <a:pt x="0" y="10668"/>
              </a:lnTo>
              <a:lnTo>
                <a:pt x="6682740" y="10668"/>
              </a:lnTo>
              <a:lnTo>
                <a:pt x="668274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4</xdr:col>
      <xdr:colOff>8001</xdr:colOff>
      <xdr:row>6</xdr:row>
      <xdr:rowOff>263962</xdr:rowOff>
    </xdr:from>
    <xdr:ext cx="3211195" cy="32384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3211195" cy="32384"/>
        </a:xfrm>
        <a:custGeom>
          <a:avLst/>
          <a:gdLst/>
          <a:ahLst/>
          <a:cxnLst/>
          <a:rect l="0" t="0" r="0" b="0"/>
          <a:pathLst>
            <a:path w="3211195" h="32384">
              <a:moveTo>
                <a:pt x="3211068" y="21336"/>
              </a:moveTo>
              <a:lnTo>
                <a:pt x="0" y="21336"/>
              </a:lnTo>
              <a:lnTo>
                <a:pt x="0" y="32004"/>
              </a:lnTo>
              <a:lnTo>
                <a:pt x="3211068" y="32004"/>
              </a:lnTo>
              <a:lnTo>
                <a:pt x="3211068" y="21336"/>
              </a:lnTo>
              <a:close/>
            </a:path>
            <a:path w="3211195" h="32384">
              <a:moveTo>
                <a:pt x="3211068" y="0"/>
              </a:moveTo>
              <a:lnTo>
                <a:pt x="0" y="0"/>
              </a:lnTo>
              <a:lnTo>
                <a:pt x="0" y="10668"/>
              </a:lnTo>
              <a:lnTo>
                <a:pt x="3211068" y="10668"/>
              </a:lnTo>
              <a:lnTo>
                <a:pt x="3211068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4</xdr:col>
      <xdr:colOff>8001</xdr:colOff>
      <xdr:row>7</xdr:row>
      <xdr:rowOff>140970</xdr:rowOff>
    </xdr:from>
    <xdr:ext cx="3211195" cy="32384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3211195" cy="32384"/>
        </a:xfrm>
        <a:custGeom>
          <a:avLst/>
          <a:gdLst/>
          <a:ahLst/>
          <a:cxnLst/>
          <a:rect l="0" t="0" r="0" b="0"/>
          <a:pathLst>
            <a:path w="3211195" h="32384">
              <a:moveTo>
                <a:pt x="3211068" y="21336"/>
              </a:moveTo>
              <a:lnTo>
                <a:pt x="0" y="21336"/>
              </a:lnTo>
              <a:lnTo>
                <a:pt x="0" y="32004"/>
              </a:lnTo>
              <a:lnTo>
                <a:pt x="3211068" y="32004"/>
              </a:lnTo>
              <a:lnTo>
                <a:pt x="3211068" y="21336"/>
              </a:lnTo>
              <a:close/>
            </a:path>
            <a:path w="3211195" h="32384">
              <a:moveTo>
                <a:pt x="3211068" y="0"/>
              </a:moveTo>
              <a:lnTo>
                <a:pt x="0" y="0"/>
              </a:lnTo>
              <a:lnTo>
                <a:pt x="0" y="10668"/>
              </a:lnTo>
              <a:lnTo>
                <a:pt x="3211068" y="10668"/>
              </a:lnTo>
              <a:lnTo>
                <a:pt x="3211068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413004</xdr:colOff>
      <xdr:row>14</xdr:row>
      <xdr:rowOff>0</xdr:rowOff>
    </xdr:from>
    <xdr:ext cx="6682740" cy="32384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0" y="0"/>
          <a:ext cx="6682740" cy="32384"/>
        </a:xfrm>
        <a:custGeom>
          <a:avLst/>
          <a:gdLst/>
          <a:ahLst/>
          <a:cxnLst/>
          <a:rect l="0" t="0" r="0" b="0"/>
          <a:pathLst>
            <a:path w="6682740" h="32384">
              <a:moveTo>
                <a:pt x="6682740" y="21336"/>
              </a:moveTo>
              <a:lnTo>
                <a:pt x="0" y="21336"/>
              </a:lnTo>
              <a:lnTo>
                <a:pt x="0" y="32004"/>
              </a:lnTo>
              <a:lnTo>
                <a:pt x="6682740" y="32004"/>
              </a:lnTo>
              <a:lnTo>
                <a:pt x="6682740" y="21336"/>
              </a:lnTo>
              <a:close/>
            </a:path>
            <a:path w="6682740" h="32384">
              <a:moveTo>
                <a:pt x="6682740" y="0"/>
              </a:moveTo>
              <a:lnTo>
                <a:pt x="0" y="0"/>
              </a:lnTo>
              <a:lnTo>
                <a:pt x="0" y="10668"/>
              </a:lnTo>
              <a:lnTo>
                <a:pt x="6682740" y="10668"/>
              </a:lnTo>
              <a:lnTo>
                <a:pt x="668274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311245</xdr:colOff>
      <xdr:row>10</xdr:row>
      <xdr:rowOff>562403</xdr:rowOff>
    </xdr:from>
    <xdr:ext cx="1096930" cy="584632"/>
    <xdr:pic>
      <xdr:nvPicPr>
        <xdr:cNvPr id="8" name="image1.jpe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96930" cy="584632"/>
        </a:xfrm>
        <a:prstGeom prst="rect">
          <a:avLst/>
        </a:prstGeom>
      </xdr:spPr>
    </xdr:pic>
    <xdr:clientData/>
  </xdr:oneCellAnchor>
  <xdr:oneCellAnchor>
    <xdr:from>
      <xdr:col>0</xdr:col>
      <xdr:colOff>409956</xdr:colOff>
      <xdr:row>15</xdr:row>
      <xdr:rowOff>0</xdr:rowOff>
    </xdr:from>
    <xdr:ext cx="6713219" cy="1182624"/>
    <xdr:pic>
      <xdr:nvPicPr>
        <xdr:cNvPr id="9" name="image2.jpe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713219" cy="118262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624321</xdr:colOff>
      <xdr:row>45</xdr:row>
      <xdr:rowOff>132483</xdr:rowOff>
    </xdr:from>
    <xdr:to>
      <xdr:col>2</xdr:col>
      <xdr:colOff>567170</xdr:colOff>
      <xdr:row>49</xdr:row>
      <xdr:rowOff>158302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1B4199A-B246-47BB-8600-40453053B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841" y="8049663"/>
          <a:ext cx="1283969" cy="7192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665016</xdr:colOff>
      <xdr:row>1</xdr:row>
      <xdr:rowOff>27709</xdr:rowOff>
    </xdr:from>
    <xdr:to>
      <xdr:col>6</xdr:col>
      <xdr:colOff>1175810</xdr:colOff>
      <xdr:row>9</xdr:row>
      <xdr:rowOff>117763</xdr:rowOff>
    </xdr:to>
    <xdr:pic>
      <xdr:nvPicPr>
        <xdr:cNvPr id="3" name="4 Imagen">
          <a:extLst>
            <a:ext uri="{FF2B5EF4-FFF2-40B4-BE49-F238E27FC236}">
              <a16:creationId xmlns:a16="http://schemas.microsoft.com/office/drawing/2014/main" id="{A622EC4A-E6BA-4181-8F37-415D39BBD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436" y="195349"/>
          <a:ext cx="7465230" cy="1431174"/>
        </a:xfrm>
        <a:prstGeom prst="rect">
          <a:avLst/>
        </a:prstGeom>
      </xdr:spPr>
    </xdr:pic>
    <xdr:clientData/>
  </xdr:twoCellAnchor>
  <xdr:twoCellAnchor editAs="oneCell">
    <xdr:from>
      <xdr:col>1</xdr:col>
      <xdr:colOff>5886</xdr:colOff>
      <xdr:row>1</xdr:row>
      <xdr:rowOff>23899</xdr:rowOff>
    </xdr:from>
    <xdr:to>
      <xdr:col>6</xdr:col>
      <xdr:colOff>1175810</xdr:colOff>
      <xdr:row>9</xdr:row>
      <xdr:rowOff>113953</xdr:rowOff>
    </xdr:to>
    <xdr:pic>
      <xdr:nvPicPr>
        <xdr:cNvPr id="4" name="4 Imagen">
          <a:extLst>
            <a:ext uri="{FF2B5EF4-FFF2-40B4-BE49-F238E27FC236}">
              <a16:creationId xmlns:a16="http://schemas.microsoft.com/office/drawing/2014/main" id="{CC92586D-C8AF-4E0F-8F7A-294B1B148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246" y="191539"/>
          <a:ext cx="7461420" cy="14311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220980</xdr:colOff>
      <xdr:row>0</xdr:row>
      <xdr:rowOff>0</xdr:rowOff>
    </xdr:from>
    <xdr:ext cx="6715125" cy="323215"/>
    <xdr:grpSp>
      <xdr:nvGrpSpPr>
        <xdr:cNvPr id="10" name="Group 10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pSpPr/>
      </xdr:nvGrpSpPr>
      <xdr:grpSpPr>
        <a:xfrm>
          <a:off x="220980" y="0"/>
          <a:ext cx="6715125" cy="323215"/>
          <a:chOff x="0" y="0"/>
          <a:chExt cx="6715125" cy="323215"/>
        </a:xfrm>
      </xdr:grpSpPr>
      <xdr:sp macro="" textlink="">
        <xdr:nvSpPr>
          <xdr:cNvPr id="11" name="Shape 11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/>
        </xdr:nvSpPr>
        <xdr:spPr>
          <a:xfrm>
            <a:off x="0" y="0"/>
            <a:ext cx="6105525" cy="24765"/>
          </a:xfrm>
          <a:custGeom>
            <a:avLst/>
            <a:gdLst/>
            <a:ahLst/>
            <a:cxnLst/>
            <a:rect l="0" t="0" r="0" b="0"/>
            <a:pathLst>
              <a:path w="6105525" h="24765">
                <a:moveTo>
                  <a:pt x="6105131" y="16764"/>
                </a:moveTo>
                <a:lnTo>
                  <a:pt x="0" y="16764"/>
                </a:lnTo>
                <a:lnTo>
                  <a:pt x="0" y="24384"/>
                </a:lnTo>
                <a:lnTo>
                  <a:pt x="6105131" y="24384"/>
                </a:lnTo>
                <a:lnTo>
                  <a:pt x="6105131" y="16764"/>
                </a:lnTo>
                <a:close/>
              </a:path>
              <a:path w="6105525" h="24765">
                <a:moveTo>
                  <a:pt x="6105131" y="0"/>
                </a:moveTo>
                <a:lnTo>
                  <a:pt x="0" y="0"/>
                </a:lnTo>
                <a:lnTo>
                  <a:pt x="0" y="7620"/>
                </a:lnTo>
                <a:lnTo>
                  <a:pt x="6105131" y="7620"/>
                </a:lnTo>
                <a:lnTo>
                  <a:pt x="6105131" y="0"/>
                </a:lnTo>
                <a:close/>
              </a:path>
            </a:pathLst>
          </a:custGeom>
          <a:solidFill>
            <a:srgbClr val="000000"/>
          </a:solidFill>
        </xdr:spPr>
      </xdr:sp>
      <xdr:pic>
        <xdr:nvPicPr>
          <xdr:cNvPr id="12" name="image3.jpeg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1627" y="59436"/>
            <a:ext cx="400812" cy="263651"/>
          </a:xfrm>
          <a:prstGeom prst="rect">
            <a:avLst/>
          </a:prstGeom>
        </xdr:spPr>
      </xdr:pic>
      <xdr:sp macro="" textlink="">
        <xdr:nvSpPr>
          <xdr:cNvPr id="13" name="Textbox 13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 txBox="1"/>
        </xdr:nvSpPr>
        <xdr:spPr>
          <a:xfrm>
            <a:off x="609600" y="0"/>
            <a:ext cx="6105525" cy="323215"/>
          </a:xfrm>
          <a:prstGeom prst="rect">
            <a:avLst/>
          </a:prstGeom>
        </xdr:spPr>
        <xdr:txBody>
          <a:bodyPr vertOverflow="clip" lIns="0" tIns="0" rIns="0" bIns="0" anchor="t"/>
          <a:lstStyle/>
          <a:p>
            <a:endParaRPr/>
          </a:p>
          <a:p>
            <a:r>
              <a:rPr sz="800" b="1">
                <a:latin typeface="Calibri"/>
                <a:cs typeface="Calibri"/>
              </a:rPr>
              <a:t>PR</a:t>
            </a:r>
            <a:r>
              <a:rPr sz="800" b="1" spc="-10">
                <a:latin typeface="Calibri"/>
                <a:cs typeface="Calibri"/>
              </a:rPr>
              <a:t>E</a:t>
            </a:r>
            <a:r>
              <a:rPr sz="800" b="1" spc="0">
                <a:latin typeface="Calibri"/>
                <a:cs typeface="Calibri"/>
              </a:rPr>
              <a:t>SUPU</a:t>
            </a:r>
            <a:r>
              <a:rPr sz="800" b="1" spc="-10">
                <a:latin typeface="Calibri"/>
                <a:cs typeface="Calibri"/>
              </a:rPr>
              <a:t>E</a:t>
            </a:r>
            <a:r>
              <a:rPr sz="800" b="1" spc="0">
                <a:latin typeface="Calibri"/>
                <a:cs typeface="Calibri"/>
              </a:rPr>
              <a:t>S</a:t>
            </a:r>
            <a:r>
              <a:rPr sz="800" b="1" spc="-5">
                <a:latin typeface="Calibri"/>
                <a:cs typeface="Calibri"/>
              </a:rPr>
              <a:t>T</a:t>
            </a:r>
            <a:r>
              <a:rPr sz="800" b="1" spc="10">
                <a:latin typeface="Calibri"/>
                <a:cs typeface="Calibri"/>
              </a:rPr>
              <a:t>O</a:t>
            </a:r>
            <a:r>
              <a:rPr sz="800" b="1" spc="0">
                <a:latin typeface="Calibri"/>
                <a:cs typeface="Calibri"/>
              </a:rPr>
              <a:t>:</a:t>
            </a:r>
            <a:r>
              <a:rPr sz="800" b="1" spc="-10">
                <a:latin typeface="Calibri"/>
                <a:cs typeface="Calibri"/>
              </a:rPr>
              <a:t> </a:t>
            </a:r>
            <a:r>
              <a:rPr lang="es-ES" sz="800" b="1" spc="0">
                <a:latin typeface="Calibri"/>
                <a:cs typeface="Calibri"/>
              </a:rPr>
              <a:t>"BIM</a:t>
            </a:r>
            <a:r>
              <a:rPr lang="es-ES" sz="800" b="1" spc="0" baseline="0">
                <a:latin typeface="Calibri"/>
                <a:cs typeface="Calibri"/>
              </a:rPr>
              <a:t> IT - LABORATORIOS COLEGIO SOPHIANUM"</a:t>
            </a:r>
            <a:endParaRPr sz="800" b="1" spc="0">
              <a:latin typeface="Calibri"/>
              <a:cs typeface="Calibri"/>
            </a:endParaRPr>
          </a:p>
        </xdr:txBody>
      </xdr:sp>
    </xdr:grp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260604</xdr:colOff>
      <xdr:row>0</xdr:row>
      <xdr:rowOff>177551</xdr:rowOff>
    </xdr:from>
    <xdr:ext cx="6682740" cy="32384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0" y="0"/>
          <a:ext cx="6682740" cy="32384"/>
        </a:xfrm>
        <a:custGeom>
          <a:avLst/>
          <a:gdLst/>
          <a:ahLst/>
          <a:cxnLst/>
          <a:rect l="0" t="0" r="0" b="0"/>
          <a:pathLst>
            <a:path w="6682740" h="32384">
              <a:moveTo>
                <a:pt x="6682740" y="21336"/>
              </a:moveTo>
              <a:lnTo>
                <a:pt x="0" y="21336"/>
              </a:lnTo>
              <a:lnTo>
                <a:pt x="0" y="32004"/>
              </a:lnTo>
              <a:lnTo>
                <a:pt x="6682740" y="32004"/>
              </a:lnTo>
              <a:lnTo>
                <a:pt x="6682740" y="21336"/>
              </a:lnTo>
              <a:close/>
            </a:path>
            <a:path w="6682740" h="32384">
              <a:moveTo>
                <a:pt x="6682740" y="0"/>
              </a:moveTo>
              <a:lnTo>
                <a:pt x="0" y="0"/>
              </a:lnTo>
              <a:lnTo>
                <a:pt x="0" y="10668"/>
              </a:lnTo>
              <a:lnTo>
                <a:pt x="6682740" y="10668"/>
              </a:lnTo>
              <a:lnTo>
                <a:pt x="668274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413004</xdr:colOff>
      <xdr:row>12</xdr:row>
      <xdr:rowOff>0</xdr:rowOff>
    </xdr:from>
    <xdr:ext cx="6682740" cy="32384"/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0" y="0"/>
          <a:ext cx="6682740" cy="32384"/>
        </a:xfrm>
        <a:custGeom>
          <a:avLst/>
          <a:gdLst/>
          <a:ahLst/>
          <a:cxnLst/>
          <a:rect l="0" t="0" r="0" b="0"/>
          <a:pathLst>
            <a:path w="6682740" h="32384">
              <a:moveTo>
                <a:pt x="6682740" y="21336"/>
              </a:moveTo>
              <a:lnTo>
                <a:pt x="0" y="21336"/>
              </a:lnTo>
              <a:lnTo>
                <a:pt x="0" y="32004"/>
              </a:lnTo>
              <a:lnTo>
                <a:pt x="6682740" y="32004"/>
              </a:lnTo>
              <a:lnTo>
                <a:pt x="6682740" y="21336"/>
              </a:lnTo>
              <a:close/>
            </a:path>
            <a:path w="6682740" h="32384">
              <a:moveTo>
                <a:pt x="6682740" y="0"/>
              </a:moveTo>
              <a:lnTo>
                <a:pt x="0" y="0"/>
              </a:lnTo>
              <a:lnTo>
                <a:pt x="0" y="10668"/>
              </a:lnTo>
              <a:lnTo>
                <a:pt x="6682740" y="10668"/>
              </a:lnTo>
              <a:lnTo>
                <a:pt x="668274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413004</xdr:colOff>
      <xdr:row>13</xdr:row>
      <xdr:rowOff>0</xdr:rowOff>
    </xdr:from>
    <xdr:ext cx="6682740" cy="32384"/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0" y="0"/>
          <a:ext cx="6682740" cy="32384"/>
        </a:xfrm>
        <a:custGeom>
          <a:avLst/>
          <a:gdLst/>
          <a:ahLst/>
          <a:cxnLst/>
          <a:rect l="0" t="0" r="0" b="0"/>
          <a:pathLst>
            <a:path w="6682740" h="32384">
              <a:moveTo>
                <a:pt x="6682740" y="21336"/>
              </a:moveTo>
              <a:lnTo>
                <a:pt x="0" y="21336"/>
              </a:lnTo>
              <a:lnTo>
                <a:pt x="0" y="32004"/>
              </a:lnTo>
              <a:lnTo>
                <a:pt x="6682740" y="32004"/>
              </a:lnTo>
              <a:lnTo>
                <a:pt x="6682740" y="21336"/>
              </a:lnTo>
              <a:close/>
            </a:path>
            <a:path w="6682740" h="32384">
              <a:moveTo>
                <a:pt x="6682740" y="0"/>
              </a:moveTo>
              <a:lnTo>
                <a:pt x="0" y="0"/>
              </a:lnTo>
              <a:lnTo>
                <a:pt x="0" y="10668"/>
              </a:lnTo>
              <a:lnTo>
                <a:pt x="6682740" y="10668"/>
              </a:lnTo>
              <a:lnTo>
                <a:pt x="668274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4</xdr:col>
      <xdr:colOff>8001</xdr:colOff>
      <xdr:row>6</xdr:row>
      <xdr:rowOff>263962</xdr:rowOff>
    </xdr:from>
    <xdr:ext cx="3211195" cy="32384"/>
    <xdr:sp macro="" textlink="">
      <xdr:nvSpPr>
        <xdr:cNvPr id="17" name="Shape 17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0" y="0"/>
          <a:ext cx="3211195" cy="32384"/>
        </a:xfrm>
        <a:custGeom>
          <a:avLst/>
          <a:gdLst/>
          <a:ahLst/>
          <a:cxnLst/>
          <a:rect l="0" t="0" r="0" b="0"/>
          <a:pathLst>
            <a:path w="3211195" h="32384">
              <a:moveTo>
                <a:pt x="3211068" y="21336"/>
              </a:moveTo>
              <a:lnTo>
                <a:pt x="0" y="21336"/>
              </a:lnTo>
              <a:lnTo>
                <a:pt x="0" y="32004"/>
              </a:lnTo>
              <a:lnTo>
                <a:pt x="3211068" y="32004"/>
              </a:lnTo>
              <a:lnTo>
                <a:pt x="3211068" y="21336"/>
              </a:lnTo>
              <a:close/>
            </a:path>
            <a:path w="3211195" h="32384">
              <a:moveTo>
                <a:pt x="3211068" y="0"/>
              </a:moveTo>
              <a:lnTo>
                <a:pt x="0" y="0"/>
              </a:lnTo>
              <a:lnTo>
                <a:pt x="0" y="10668"/>
              </a:lnTo>
              <a:lnTo>
                <a:pt x="3211068" y="10668"/>
              </a:lnTo>
              <a:lnTo>
                <a:pt x="3211068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4</xdr:col>
      <xdr:colOff>8001</xdr:colOff>
      <xdr:row>7</xdr:row>
      <xdr:rowOff>140970</xdr:rowOff>
    </xdr:from>
    <xdr:ext cx="3211195" cy="32384"/>
    <xdr:sp macro="" textlink="">
      <xdr:nvSpPr>
        <xdr:cNvPr id="18" name="Shape 18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0" y="0"/>
          <a:ext cx="3211195" cy="32384"/>
        </a:xfrm>
        <a:custGeom>
          <a:avLst/>
          <a:gdLst/>
          <a:ahLst/>
          <a:cxnLst/>
          <a:rect l="0" t="0" r="0" b="0"/>
          <a:pathLst>
            <a:path w="3211195" h="32384">
              <a:moveTo>
                <a:pt x="3211068" y="21336"/>
              </a:moveTo>
              <a:lnTo>
                <a:pt x="0" y="21336"/>
              </a:lnTo>
              <a:lnTo>
                <a:pt x="0" y="32004"/>
              </a:lnTo>
              <a:lnTo>
                <a:pt x="3211068" y="32004"/>
              </a:lnTo>
              <a:lnTo>
                <a:pt x="3211068" y="21336"/>
              </a:lnTo>
              <a:close/>
            </a:path>
            <a:path w="3211195" h="32384">
              <a:moveTo>
                <a:pt x="3211068" y="0"/>
              </a:moveTo>
              <a:lnTo>
                <a:pt x="0" y="0"/>
              </a:lnTo>
              <a:lnTo>
                <a:pt x="0" y="10668"/>
              </a:lnTo>
              <a:lnTo>
                <a:pt x="3211068" y="10668"/>
              </a:lnTo>
              <a:lnTo>
                <a:pt x="3211068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413004</xdr:colOff>
      <xdr:row>14</xdr:row>
      <xdr:rowOff>0</xdr:rowOff>
    </xdr:from>
    <xdr:ext cx="6682740" cy="32384"/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0" y="0"/>
          <a:ext cx="6682740" cy="32384"/>
        </a:xfrm>
        <a:custGeom>
          <a:avLst/>
          <a:gdLst/>
          <a:ahLst/>
          <a:cxnLst/>
          <a:rect l="0" t="0" r="0" b="0"/>
          <a:pathLst>
            <a:path w="6682740" h="32384">
              <a:moveTo>
                <a:pt x="6682740" y="21336"/>
              </a:moveTo>
              <a:lnTo>
                <a:pt x="0" y="21336"/>
              </a:lnTo>
              <a:lnTo>
                <a:pt x="0" y="32004"/>
              </a:lnTo>
              <a:lnTo>
                <a:pt x="6682740" y="32004"/>
              </a:lnTo>
              <a:lnTo>
                <a:pt x="6682740" y="21336"/>
              </a:lnTo>
              <a:close/>
            </a:path>
            <a:path w="6682740" h="32384">
              <a:moveTo>
                <a:pt x="6682740" y="0"/>
              </a:moveTo>
              <a:lnTo>
                <a:pt x="0" y="0"/>
              </a:lnTo>
              <a:lnTo>
                <a:pt x="0" y="10668"/>
              </a:lnTo>
              <a:lnTo>
                <a:pt x="6682740" y="10668"/>
              </a:lnTo>
              <a:lnTo>
                <a:pt x="668274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311245</xdr:colOff>
      <xdr:row>10</xdr:row>
      <xdr:rowOff>562403</xdr:rowOff>
    </xdr:from>
    <xdr:ext cx="1096930" cy="584632"/>
    <xdr:pic>
      <xdr:nvPicPr>
        <xdr:cNvPr id="20" name="image1.jpeg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96930" cy="584632"/>
        </a:xfrm>
        <a:prstGeom prst="rect">
          <a:avLst/>
        </a:prstGeom>
      </xdr:spPr>
    </xdr:pic>
    <xdr:clientData/>
  </xdr:oneCellAnchor>
  <xdr:oneCellAnchor>
    <xdr:from>
      <xdr:col>0</xdr:col>
      <xdr:colOff>409956</xdr:colOff>
      <xdr:row>15</xdr:row>
      <xdr:rowOff>0</xdr:rowOff>
    </xdr:from>
    <xdr:ext cx="6713219" cy="1182624"/>
    <xdr:pic>
      <xdr:nvPicPr>
        <xdr:cNvPr id="21" name="image2.jpeg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713219" cy="1182624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260604</xdr:colOff>
      <xdr:row>0</xdr:row>
      <xdr:rowOff>177551</xdr:rowOff>
    </xdr:from>
    <xdr:ext cx="6682740" cy="32384"/>
    <xdr:sp macro="" textlink="">
      <xdr:nvSpPr>
        <xdr:cNvPr id="26" name="Shape 26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0" y="0"/>
          <a:ext cx="6682740" cy="32384"/>
        </a:xfrm>
        <a:custGeom>
          <a:avLst/>
          <a:gdLst/>
          <a:ahLst/>
          <a:cxnLst/>
          <a:rect l="0" t="0" r="0" b="0"/>
          <a:pathLst>
            <a:path w="6682740" h="32384">
              <a:moveTo>
                <a:pt x="6682740" y="21336"/>
              </a:moveTo>
              <a:lnTo>
                <a:pt x="0" y="21336"/>
              </a:lnTo>
              <a:lnTo>
                <a:pt x="0" y="32004"/>
              </a:lnTo>
              <a:lnTo>
                <a:pt x="6682740" y="32004"/>
              </a:lnTo>
              <a:lnTo>
                <a:pt x="6682740" y="21336"/>
              </a:lnTo>
              <a:close/>
            </a:path>
            <a:path w="6682740" h="32384">
              <a:moveTo>
                <a:pt x="6682740" y="0"/>
              </a:moveTo>
              <a:lnTo>
                <a:pt x="0" y="0"/>
              </a:lnTo>
              <a:lnTo>
                <a:pt x="0" y="10668"/>
              </a:lnTo>
              <a:lnTo>
                <a:pt x="6682740" y="10668"/>
              </a:lnTo>
              <a:lnTo>
                <a:pt x="668274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413004</xdr:colOff>
      <xdr:row>12</xdr:row>
      <xdr:rowOff>0</xdr:rowOff>
    </xdr:from>
    <xdr:ext cx="6682740" cy="32384"/>
    <xdr:sp macro="" textlink="">
      <xdr:nvSpPr>
        <xdr:cNvPr id="27" name="Shape 27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>
        <a:xfrm>
          <a:off x="0" y="0"/>
          <a:ext cx="6682740" cy="32384"/>
        </a:xfrm>
        <a:custGeom>
          <a:avLst/>
          <a:gdLst/>
          <a:ahLst/>
          <a:cxnLst/>
          <a:rect l="0" t="0" r="0" b="0"/>
          <a:pathLst>
            <a:path w="6682740" h="32384">
              <a:moveTo>
                <a:pt x="6682740" y="21336"/>
              </a:moveTo>
              <a:lnTo>
                <a:pt x="0" y="21336"/>
              </a:lnTo>
              <a:lnTo>
                <a:pt x="0" y="32004"/>
              </a:lnTo>
              <a:lnTo>
                <a:pt x="6682740" y="32004"/>
              </a:lnTo>
              <a:lnTo>
                <a:pt x="6682740" y="21336"/>
              </a:lnTo>
              <a:close/>
            </a:path>
            <a:path w="6682740" h="32384">
              <a:moveTo>
                <a:pt x="6682740" y="0"/>
              </a:moveTo>
              <a:lnTo>
                <a:pt x="0" y="0"/>
              </a:lnTo>
              <a:lnTo>
                <a:pt x="0" y="10668"/>
              </a:lnTo>
              <a:lnTo>
                <a:pt x="6682740" y="10668"/>
              </a:lnTo>
              <a:lnTo>
                <a:pt x="668274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413004</xdr:colOff>
      <xdr:row>13</xdr:row>
      <xdr:rowOff>0</xdr:rowOff>
    </xdr:from>
    <xdr:ext cx="6682740" cy="32384"/>
    <xdr:sp macro="" textlink="">
      <xdr:nvSpPr>
        <xdr:cNvPr id="28" name="Shape 28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/>
      </xdr:nvSpPr>
      <xdr:spPr>
        <a:xfrm>
          <a:off x="0" y="0"/>
          <a:ext cx="6682740" cy="32384"/>
        </a:xfrm>
        <a:custGeom>
          <a:avLst/>
          <a:gdLst/>
          <a:ahLst/>
          <a:cxnLst/>
          <a:rect l="0" t="0" r="0" b="0"/>
          <a:pathLst>
            <a:path w="6682740" h="32384">
              <a:moveTo>
                <a:pt x="6682740" y="21336"/>
              </a:moveTo>
              <a:lnTo>
                <a:pt x="0" y="21336"/>
              </a:lnTo>
              <a:lnTo>
                <a:pt x="0" y="32004"/>
              </a:lnTo>
              <a:lnTo>
                <a:pt x="6682740" y="32004"/>
              </a:lnTo>
              <a:lnTo>
                <a:pt x="6682740" y="21336"/>
              </a:lnTo>
              <a:close/>
            </a:path>
            <a:path w="6682740" h="32384">
              <a:moveTo>
                <a:pt x="6682740" y="0"/>
              </a:moveTo>
              <a:lnTo>
                <a:pt x="0" y="0"/>
              </a:lnTo>
              <a:lnTo>
                <a:pt x="0" y="10668"/>
              </a:lnTo>
              <a:lnTo>
                <a:pt x="6682740" y="10668"/>
              </a:lnTo>
              <a:lnTo>
                <a:pt x="668274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4</xdr:col>
      <xdr:colOff>8001</xdr:colOff>
      <xdr:row>6</xdr:row>
      <xdr:rowOff>263962</xdr:rowOff>
    </xdr:from>
    <xdr:ext cx="3211195" cy="32384"/>
    <xdr:sp macro="" textlink="">
      <xdr:nvSpPr>
        <xdr:cNvPr id="29" name="Shape 29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/>
      </xdr:nvSpPr>
      <xdr:spPr>
        <a:xfrm>
          <a:off x="0" y="0"/>
          <a:ext cx="3211195" cy="32384"/>
        </a:xfrm>
        <a:custGeom>
          <a:avLst/>
          <a:gdLst/>
          <a:ahLst/>
          <a:cxnLst/>
          <a:rect l="0" t="0" r="0" b="0"/>
          <a:pathLst>
            <a:path w="3211195" h="32384">
              <a:moveTo>
                <a:pt x="3211068" y="21336"/>
              </a:moveTo>
              <a:lnTo>
                <a:pt x="0" y="21336"/>
              </a:lnTo>
              <a:lnTo>
                <a:pt x="0" y="32004"/>
              </a:lnTo>
              <a:lnTo>
                <a:pt x="3211068" y="32004"/>
              </a:lnTo>
              <a:lnTo>
                <a:pt x="3211068" y="21336"/>
              </a:lnTo>
              <a:close/>
            </a:path>
            <a:path w="3211195" h="32384">
              <a:moveTo>
                <a:pt x="3211068" y="0"/>
              </a:moveTo>
              <a:lnTo>
                <a:pt x="0" y="0"/>
              </a:lnTo>
              <a:lnTo>
                <a:pt x="0" y="10668"/>
              </a:lnTo>
              <a:lnTo>
                <a:pt x="3211068" y="10668"/>
              </a:lnTo>
              <a:lnTo>
                <a:pt x="3211068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4</xdr:col>
      <xdr:colOff>8001</xdr:colOff>
      <xdr:row>7</xdr:row>
      <xdr:rowOff>140970</xdr:rowOff>
    </xdr:from>
    <xdr:ext cx="3211195" cy="32384"/>
    <xdr:sp macro="" textlink="">
      <xdr:nvSpPr>
        <xdr:cNvPr id="30" name="Shape 30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/>
      </xdr:nvSpPr>
      <xdr:spPr>
        <a:xfrm>
          <a:off x="0" y="0"/>
          <a:ext cx="3211195" cy="32384"/>
        </a:xfrm>
        <a:custGeom>
          <a:avLst/>
          <a:gdLst/>
          <a:ahLst/>
          <a:cxnLst/>
          <a:rect l="0" t="0" r="0" b="0"/>
          <a:pathLst>
            <a:path w="3211195" h="32384">
              <a:moveTo>
                <a:pt x="3211068" y="21336"/>
              </a:moveTo>
              <a:lnTo>
                <a:pt x="0" y="21336"/>
              </a:lnTo>
              <a:lnTo>
                <a:pt x="0" y="32004"/>
              </a:lnTo>
              <a:lnTo>
                <a:pt x="3211068" y="32004"/>
              </a:lnTo>
              <a:lnTo>
                <a:pt x="3211068" y="21336"/>
              </a:lnTo>
              <a:close/>
            </a:path>
            <a:path w="3211195" h="32384">
              <a:moveTo>
                <a:pt x="3211068" y="0"/>
              </a:moveTo>
              <a:lnTo>
                <a:pt x="0" y="0"/>
              </a:lnTo>
              <a:lnTo>
                <a:pt x="0" y="10668"/>
              </a:lnTo>
              <a:lnTo>
                <a:pt x="3211068" y="10668"/>
              </a:lnTo>
              <a:lnTo>
                <a:pt x="3211068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413004</xdr:colOff>
      <xdr:row>14</xdr:row>
      <xdr:rowOff>0</xdr:rowOff>
    </xdr:from>
    <xdr:ext cx="6682740" cy="32384"/>
    <xdr:sp macro="" textlink="">
      <xdr:nvSpPr>
        <xdr:cNvPr id="31" name="Shape 31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/>
      </xdr:nvSpPr>
      <xdr:spPr>
        <a:xfrm>
          <a:off x="0" y="0"/>
          <a:ext cx="6682740" cy="32384"/>
        </a:xfrm>
        <a:custGeom>
          <a:avLst/>
          <a:gdLst/>
          <a:ahLst/>
          <a:cxnLst/>
          <a:rect l="0" t="0" r="0" b="0"/>
          <a:pathLst>
            <a:path w="6682740" h="32384">
              <a:moveTo>
                <a:pt x="6682740" y="21336"/>
              </a:moveTo>
              <a:lnTo>
                <a:pt x="0" y="21336"/>
              </a:lnTo>
              <a:lnTo>
                <a:pt x="0" y="32004"/>
              </a:lnTo>
              <a:lnTo>
                <a:pt x="6682740" y="32004"/>
              </a:lnTo>
              <a:lnTo>
                <a:pt x="6682740" y="21336"/>
              </a:lnTo>
              <a:close/>
            </a:path>
            <a:path w="6682740" h="32384">
              <a:moveTo>
                <a:pt x="6682740" y="0"/>
              </a:moveTo>
              <a:lnTo>
                <a:pt x="0" y="0"/>
              </a:lnTo>
              <a:lnTo>
                <a:pt x="0" y="10668"/>
              </a:lnTo>
              <a:lnTo>
                <a:pt x="6682740" y="10668"/>
              </a:lnTo>
              <a:lnTo>
                <a:pt x="6682740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311245</xdr:colOff>
      <xdr:row>10</xdr:row>
      <xdr:rowOff>562403</xdr:rowOff>
    </xdr:from>
    <xdr:ext cx="1096930" cy="584632"/>
    <xdr:pic>
      <xdr:nvPicPr>
        <xdr:cNvPr id="32" name="image1.jpeg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96930" cy="584632"/>
        </a:xfrm>
        <a:prstGeom prst="rect">
          <a:avLst/>
        </a:prstGeom>
      </xdr:spPr>
    </xdr:pic>
    <xdr:clientData/>
  </xdr:oneCellAnchor>
  <xdr:oneCellAnchor>
    <xdr:from>
      <xdr:col>0</xdr:col>
      <xdr:colOff>409956</xdr:colOff>
      <xdr:row>15</xdr:row>
      <xdr:rowOff>0</xdr:rowOff>
    </xdr:from>
    <xdr:ext cx="6713219" cy="1182624"/>
    <xdr:pic>
      <xdr:nvPicPr>
        <xdr:cNvPr id="33" name="image2.jpeg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713219" cy="1182624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220980</xdr:colOff>
      <xdr:row>51</xdr:row>
      <xdr:rowOff>475491</xdr:rowOff>
    </xdr:from>
    <xdr:ext cx="7028815" cy="372110"/>
    <xdr:grpSp>
      <xdr:nvGrpSpPr>
        <xdr:cNvPr id="34" name="Group 34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GrpSpPr/>
      </xdr:nvGrpSpPr>
      <xdr:grpSpPr>
        <a:xfrm>
          <a:off x="220980" y="6959418"/>
          <a:ext cx="7028815" cy="372110"/>
          <a:chOff x="0" y="0"/>
          <a:chExt cx="7028815" cy="372110"/>
        </a:xfrm>
      </xdr:grpSpPr>
      <xdr:sp macro="" textlink="">
        <xdr:nvSpPr>
          <xdr:cNvPr id="35" name="Shape 35">
            <a:extLst>
              <a:ext uri="{FF2B5EF4-FFF2-40B4-BE49-F238E27FC236}">
                <a16:creationId xmlns:a16="http://schemas.microsoft.com/office/drawing/2014/main" id="{00000000-0008-0000-0700-000023000000}"/>
              </a:ext>
            </a:extLst>
          </xdr:cNvPr>
          <xdr:cNvSpPr/>
        </xdr:nvSpPr>
        <xdr:spPr>
          <a:xfrm>
            <a:off x="0" y="0"/>
            <a:ext cx="7028815" cy="27940"/>
          </a:xfrm>
          <a:custGeom>
            <a:avLst/>
            <a:gdLst/>
            <a:ahLst/>
            <a:cxnLst/>
            <a:rect l="0" t="0" r="0" b="0"/>
            <a:pathLst>
              <a:path w="7028815" h="27940">
                <a:moveTo>
                  <a:pt x="7028688" y="18288"/>
                </a:moveTo>
                <a:lnTo>
                  <a:pt x="0" y="18288"/>
                </a:lnTo>
                <a:lnTo>
                  <a:pt x="0" y="27432"/>
                </a:lnTo>
                <a:lnTo>
                  <a:pt x="7028688" y="27432"/>
                </a:lnTo>
                <a:lnTo>
                  <a:pt x="7028688" y="18288"/>
                </a:lnTo>
                <a:close/>
              </a:path>
              <a:path w="7028815" h="27940">
                <a:moveTo>
                  <a:pt x="7028688" y="0"/>
                </a:moveTo>
                <a:lnTo>
                  <a:pt x="0" y="0"/>
                </a:lnTo>
                <a:lnTo>
                  <a:pt x="0" y="9144"/>
                </a:lnTo>
                <a:lnTo>
                  <a:pt x="7028688" y="9144"/>
                </a:lnTo>
                <a:lnTo>
                  <a:pt x="7028688" y="0"/>
                </a:lnTo>
                <a:close/>
              </a:path>
            </a:pathLst>
          </a:custGeom>
          <a:solidFill>
            <a:srgbClr val="000000"/>
          </a:solidFill>
        </xdr:spPr>
      </xdr:sp>
      <xdr:pic>
        <xdr:nvPicPr>
          <xdr:cNvPr id="36" name="image4.jpeg">
            <a:extLst>
              <a:ext uri="{FF2B5EF4-FFF2-40B4-BE49-F238E27FC236}">
                <a16:creationId xmlns:a16="http://schemas.microsoft.com/office/drawing/2014/main" id="{00000000-0008-0000-0700-00002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3819" y="70103"/>
            <a:ext cx="640079" cy="301751"/>
          </a:xfrm>
          <a:prstGeom prst="rect">
            <a:avLst/>
          </a:prstGeom>
        </xdr:spPr>
      </xdr:pic>
      <xdr:sp macro="" textlink="">
        <xdr:nvSpPr>
          <xdr:cNvPr id="37" name="Textbox 37">
            <a:extLst>
              <a:ext uri="{FF2B5EF4-FFF2-40B4-BE49-F238E27FC236}">
                <a16:creationId xmlns:a16="http://schemas.microsoft.com/office/drawing/2014/main" id="{00000000-0008-0000-0700-000025000000}"/>
              </a:ext>
            </a:extLst>
          </xdr:cNvPr>
          <xdr:cNvSpPr txBox="1"/>
        </xdr:nvSpPr>
        <xdr:spPr>
          <a:xfrm>
            <a:off x="0" y="0"/>
            <a:ext cx="7028815" cy="372110"/>
          </a:xfrm>
          <a:prstGeom prst="rect">
            <a:avLst/>
          </a:prstGeom>
        </xdr:spPr>
        <xdr:txBody>
          <a:bodyPr vertOverflow="clip" lIns="0" tIns="0" rIns="0" bIns="0" anchor="t"/>
          <a:lstStyle/>
          <a:p>
            <a:endParaRPr/>
          </a:p>
          <a:p>
            <a:r>
              <a:rPr sz="900" b="1">
                <a:latin typeface="Calibri"/>
                <a:cs typeface="Calibri"/>
              </a:rPr>
              <a:t>PR</a:t>
            </a:r>
            <a:r>
              <a:rPr sz="900" b="1" spc="-10">
                <a:latin typeface="Calibri"/>
                <a:cs typeface="Calibri"/>
              </a:rPr>
              <a:t>E</a:t>
            </a:r>
            <a:r>
              <a:rPr sz="900" b="1" spc="5">
                <a:latin typeface="Calibri"/>
                <a:cs typeface="Calibri"/>
              </a:rPr>
              <a:t>SU</a:t>
            </a:r>
            <a:r>
              <a:rPr sz="900" b="1" spc="-15">
                <a:latin typeface="Calibri"/>
                <a:cs typeface="Calibri"/>
              </a:rPr>
              <a:t>P</a:t>
            </a:r>
            <a:r>
              <a:rPr sz="900" b="1" spc="5">
                <a:latin typeface="Calibri"/>
                <a:cs typeface="Calibri"/>
              </a:rPr>
              <a:t>U</a:t>
            </a:r>
            <a:r>
              <a:rPr sz="900" b="1" spc="0">
                <a:latin typeface="Calibri"/>
                <a:cs typeface="Calibri"/>
              </a:rPr>
              <a:t>ESTO:</a:t>
            </a:r>
            <a:r>
              <a:rPr sz="900" b="1" spc="-5">
                <a:latin typeface="Calibri"/>
                <a:cs typeface="Calibri"/>
              </a:rPr>
              <a:t> </a:t>
            </a:r>
            <a:r>
              <a:rPr sz="900" b="1" spc="5">
                <a:latin typeface="Calibri"/>
                <a:cs typeface="Calibri"/>
              </a:rPr>
              <a:t>'</a:t>
            </a:r>
            <a:r>
              <a:rPr sz="900" b="1" spc="0">
                <a:latin typeface="Calibri"/>
                <a:cs typeface="Calibri"/>
              </a:rPr>
              <a:t>' S</a:t>
            </a:r>
            <a:r>
              <a:rPr sz="900" b="1" spc="-10">
                <a:latin typeface="Calibri"/>
                <a:cs typeface="Calibri"/>
              </a:rPr>
              <a:t>O</a:t>
            </a:r>
            <a:r>
              <a:rPr sz="900" b="1" spc="0">
                <a:latin typeface="Calibri"/>
                <a:cs typeface="Calibri"/>
              </a:rPr>
              <a:t>P</a:t>
            </a:r>
            <a:r>
              <a:rPr sz="900" b="1" spc="-10">
                <a:latin typeface="Calibri"/>
                <a:cs typeface="Calibri"/>
              </a:rPr>
              <a:t>O</a:t>
            </a:r>
            <a:r>
              <a:rPr sz="900" b="1" spc="0">
                <a:latin typeface="Calibri"/>
                <a:cs typeface="Calibri"/>
              </a:rPr>
              <a:t>RTE P</a:t>
            </a:r>
            <a:r>
              <a:rPr sz="900" b="1" spc="-10">
                <a:latin typeface="Calibri"/>
                <a:cs typeface="Calibri"/>
              </a:rPr>
              <a:t>A</a:t>
            </a:r>
            <a:r>
              <a:rPr sz="900" b="1" spc="5">
                <a:latin typeface="Calibri"/>
                <a:cs typeface="Calibri"/>
              </a:rPr>
              <a:t>R</a:t>
            </a:r>
            <a:r>
              <a:rPr sz="900" b="1" spc="0">
                <a:latin typeface="Calibri"/>
                <a:cs typeface="Calibri"/>
              </a:rPr>
              <a:t>A</a:t>
            </a:r>
            <a:r>
              <a:rPr sz="900" b="1" spc="-5">
                <a:latin typeface="Calibri"/>
                <a:cs typeface="Calibri"/>
              </a:rPr>
              <a:t> </a:t>
            </a:r>
            <a:r>
              <a:rPr sz="900" b="1" spc="0">
                <a:latin typeface="Calibri"/>
                <a:cs typeface="Calibri"/>
              </a:rPr>
              <a:t>C</a:t>
            </a:r>
            <a:r>
              <a:rPr sz="900" b="1" spc="-10">
                <a:latin typeface="Calibri"/>
                <a:cs typeface="Calibri"/>
              </a:rPr>
              <a:t>O</a:t>
            </a:r>
            <a:r>
              <a:rPr sz="900" b="1" spc="0">
                <a:latin typeface="Calibri"/>
                <a:cs typeface="Calibri"/>
              </a:rPr>
              <a:t>NDENS</a:t>
            </a:r>
            <a:r>
              <a:rPr sz="900" b="1" spc="-10">
                <a:latin typeface="Calibri"/>
                <a:cs typeface="Calibri"/>
              </a:rPr>
              <a:t>A</a:t>
            </a:r>
            <a:r>
              <a:rPr sz="900" b="1" spc="0">
                <a:latin typeface="Calibri"/>
                <a:cs typeface="Calibri"/>
              </a:rPr>
              <a:t>DORAS -</a:t>
            </a:r>
            <a:r>
              <a:rPr sz="900" b="1" spc="-5">
                <a:latin typeface="Calibri"/>
                <a:cs typeface="Calibri"/>
              </a:rPr>
              <a:t> </a:t>
            </a:r>
            <a:r>
              <a:rPr sz="900" b="1" spc="0">
                <a:latin typeface="Calibri"/>
                <a:cs typeface="Calibri"/>
              </a:rPr>
              <a:t>ANTAP</a:t>
            </a:r>
            <a:r>
              <a:rPr sz="900" b="1" spc="-10">
                <a:latin typeface="Calibri"/>
                <a:cs typeface="Calibri"/>
              </a:rPr>
              <a:t>A</a:t>
            </a:r>
            <a:r>
              <a:rPr sz="900" b="1" spc="0">
                <a:latin typeface="Calibri"/>
                <a:cs typeface="Calibri"/>
              </a:rPr>
              <a:t>CC</a:t>
            </a:r>
            <a:r>
              <a:rPr sz="900" b="1" spc="-10">
                <a:latin typeface="Calibri"/>
                <a:cs typeface="Calibri"/>
              </a:rPr>
              <a:t>AY</a:t>
            </a:r>
            <a:r>
              <a:rPr sz="900" b="1" spc="5">
                <a:latin typeface="Calibri"/>
                <a:cs typeface="Calibri"/>
              </a:rPr>
              <a:t>'</a:t>
            </a:r>
            <a:r>
              <a:rPr sz="900" b="1" spc="0">
                <a:latin typeface="Calibri"/>
                <a:cs typeface="Calibri"/>
              </a:rPr>
              <a:t>'</a:t>
            </a:r>
          </a:p>
        </xdr:txBody>
      </xdr:sp>
    </xdr:grp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P\Proyectos\clinica%20oftalmol&#243;gica\observaciones%20CORREGIDAS\HOJA%20DE%20METR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TIZACIÓN "/>
      <sheetName val="A.C"/>
      <sheetName val="EXTRACCION."/>
      <sheetName val="SALA QUIRUGICA"/>
      <sheetName val="Hoja2"/>
    </sheetNames>
    <sheetDataSet>
      <sheetData sheetId="0"/>
      <sheetData sheetId="1">
        <row r="2">
          <cell r="C2" t="str">
            <v>PRESUPUESTO: "INSTALACIÓN DE AIRE ACONDICIONADO VRV -  CLINICA OFTALMOLOGICA"</v>
          </cell>
        </row>
      </sheetData>
      <sheetData sheetId="2"/>
      <sheetData sheetId="3"/>
      <sheetData sheetId="4">
        <row r="14">
          <cell r="B14" t="str">
            <v>JP0001</v>
          </cell>
        </row>
        <row r="15">
          <cell r="B15" t="str">
            <v>JP0002</v>
          </cell>
        </row>
        <row r="16">
          <cell r="B16" t="str">
            <v>JP0003</v>
          </cell>
        </row>
        <row r="17">
          <cell r="B17" t="str">
            <v>JP0004</v>
          </cell>
        </row>
        <row r="18">
          <cell r="B18" t="str">
            <v>JP0005</v>
          </cell>
        </row>
        <row r="19">
          <cell r="B19" t="str">
            <v>JP0006</v>
          </cell>
        </row>
        <row r="20">
          <cell r="B20" t="str">
            <v>JP0007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luis.vargas@jpingenieria.pe" TargetMode="External"/><Relationship Id="rId1" Type="http://schemas.openxmlformats.org/officeDocument/2006/relationships/hyperlink" Target="mailto:Alvaro.Supo@glencore.com.p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uis.vargas@jpingenieria.pe" TargetMode="External"/><Relationship Id="rId1" Type="http://schemas.openxmlformats.org/officeDocument/2006/relationships/hyperlink" Target="http://www.jpingenieria.pe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mailto:luis.vargas@jpingenieria.pe" TargetMode="External"/><Relationship Id="rId1" Type="http://schemas.openxmlformats.org/officeDocument/2006/relationships/hyperlink" Target="mailto:Alvaro.Supo@glencore.com.pe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mailto:luis.vargas@jpingenieria.pe" TargetMode="External"/><Relationship Id="rId1" Type="http://schemas.openxmlformats.org/officeDocument/2006/relationships/hyperlink" Target="mailto:Alvaro.Supo@glencore.com.p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workbookViewId="0">
      <selection activeCell="D1" sqref="D1:G1"/>
    </sheetView>
  </sheetViews>
  <sheetFormatPr baseColWidth="10" defaultColWidth="8.7109375" defaultRowHeight="13.1"/>
  <cols>
    <col min="1" max="1" width="12.7109375" customWidth="1"/>
    <col min="2" max="2" width="20.7109375" customWidth="1"/>
    <col min="3" max="3" width="31.140625" customWidth="1"/>
    <col min="4" max="4" width="3.140625" customWidth="1"/>
    <col min="5" max="5" width="22.140625" customWidth="1"/>
    <col min="6" max="6" width="37.28515625" customWidth="1"/>
    <col min="7" max="7" width="3.28515625" customWidth="1"/>
  </cols>
  <sheetData>
    <row r="1" spans="1:7" ht="26.2" customHeight="1">
      <c r="A1" s="168" t="s">
        <v>0</v>
      </c>
      <c r="B1" s="168"/>
      <c r="C1" s="1" t="s">
        <v>1</v>
      </c>
      <c r="D1" s="169" t="s">
        <v>2</v>
      </c>
      <c r="E1" s="169"/>
      <c r="F1" s="169"/>
      <c r="G1" s="169"/>
    </row>
    <row r="2" spans="1:7" ht="38.299999999999997" customHeight="1">
      <c r="A2" s="162" t="s">
        <v>3</v>
      </c>
      <c r="B2" s="162"/>
      <c r="C2" s="162"/>
      <c r="D2" s="162"/>
      <c r="E2" s="162"/>
      <c r="F2" s="162"/>
      <c r="G2" s="162"/>
    </row>
    <row r="3" spans="1:7" ht="25.55" customHeight="1">
      <c r="A3" s="2" t="s">
        <v>4</v>
      </c>
      <c r="B3" s="170" t="s">
        <v>516</v>
      </c>
      <c r="C3" s="164"/>
      <c r="D3" s="164"/>
      <c r="E3" s="171"/>
      <c r="F3" s="171"/>
    </row>
    <row r="4" spans="1:7" ht="12.8" customHeight="1">
      <c r="A4" s="3" t="s">
        <v>6</v>
      </c>
      <c r="B4" s="164" t="s">
        <v>7</v>
      </c>
      <c r="C4" s="164"/>
      <c r="D4" s="164"/>
      <c r="E4" s="4" t="s">
        <v>8</v>
      </c>
      <c r="F4" s="5" t="s">
        <v>9</v>
      </c>
    </row>
    <row r="5" spans="1:7" ht="12.8" customHeight="1">
      <c r="A5" s="3" t="s">
        <v>10</v>
      </c>
      <c r="B5" s="165" t="s">
        <v>11</v>
      </c>
      <c r="C5" s="165"/>
      <c r="D5" s="165"/>
      <c r="E5" s="4" t="s">
        <v>12</v>
      </c>
      <c r="F5" s="5" t="s">
        <v>13</v>
      </c>
    </row>
    <row r="6" spans="1:7" ht="12.8" customHeight="1">
      <c r="A6" s="166" t="s">
        <v>14</v>
      </c>
      <c r="B6" s="166"/>
      <c r="C6" s="166"/>
      <c r="D6" s="166"/>
      <c r="E6" s="166"/>
      <c r="F6" s="166"/>
      <c r="G6" s="166"/>
    </row>
    <row r="7" spans="1:7" ht="25.55" customHeight="1">
      <c r="A7" s="162" t="s">
        <v>15</v>
      </c>
      <c r="B7" s="162"/>
      <c r="C7" s="162"/>
      <c r="D7" s="162"/>
      <c r="E7" s="162"/>
      <c r="F7" s="162"/>
      <c r="G7" s="162"/>
    </row>
    <row r="8" spans="1:7" ht="12.8" customHeight="1">
      <c r="A8" s="167" t="s">
        <v>16</v>
      </c>
      <c r="B8" s="167"/>
      <c r="C8" s="167"/>
      <c r="D8" s="167"/>
      <c r="E8" s="167"/>
      <c r="F8" s="167"/>
      <c r="G8" s="167"/>
    </row>
    <row r="9" spans="1:7" ht="63.85" customHeight="1">
      <c r="A9" s="161" t="s">
        <v>540</v>
      </c>
      <c r="B9" s="162"/>
      <c r="C9" s="162"/>
      <c r="D9" s="162"/>
      <c r="E9" s="162"/>
      <c r="F9" s="162"/>
      <c r="G9" s="162"/>
    </row>
    <row r="10" spans="1:7" ht="12.8" customHeight="1">
      <c r="A10" s="162" t="s">
        <v>18</v>
      </c>
      <c r="B10" s="162"/>
      <c r="C10" s="162"/>
      <c r="D10" s="162"/>
      <c r="E10" s="162"/>
      <c r="F10" s="162"/>
      <c r="G10" s="162"/>
    </row>
    <row r="11" spans="1:7" ht="47" customHeight="1">
      <c r="A11" s="162" t="s">
        <v>19</v>
      </c>
      <c r="B11" s="162"/>
      <c r="C11" s="162"/>
      <c r="D11" s="162"/>
      <c r="E11" s="162"/>
      <c r="F11" s="162"/>
      <c r="G11" s="162"/>
    </row>
    <row r="12" spans="1:7" ht="46.5" customHeight="1">
      <c r="A12" s="163" t="s">
        <v>20</v>
      </c>
      <c r="B12" s="163"/>
      <c r="C12" s="163"/>
      <c r="D12" s="163"/>
      <c r="E12" s="163"/>
      <c r="F12" s="163"/>
      <c r="G12" s="163"/>
    </row>
    <row r="13" spans="1:7" ht="2.95" customHeight="1"/>
    <row r="14" spans="1:7" ht="2.95" customHeight="1"/>
    <row r="15" spans="1:7" ht="2.95" customHeight="1"/>
    <row r="16" spans="1:7" ht="94.25" customHeight="1"/>
  </sheetData>
  <mergeCells count="14">
    <mergeCell ref="A1:B1"/>
    <mergeCell ref="D1:G1"/>
    <mergeCell ref="A2:G2"/>
    <mergeCell ref="B3:D3"/>
    <mergeCell ref="E3:F3"/>
    <mergeCell ref="A9:G9"/>
    <mergeCell ref="A10:G10"/>
    <mergeCell ref="A11:G11"/>
    <mergeCell ref="A12:G12"/>
    <mergeCell ref="B4:D4"/>
    <mergeCell ref="B5:D5"/>
    <mergeCell ref="A6:G6"/>
    <mergeCell ref="A7:G7"/>
    <mergeCell ref="A8:G8"/>
  </mergeCells>
  <hyperlinks>
    <hyperlink ref="B4" r:id="rId1" display="mailto:Alvaro.Supo@glencore.com.pe" xr:uid="{00000000-0004-0000-0000-000000000000}"/>
    <hyperlink ref="A12" r:id="rId2" display="mailto:luis.vargas@jpingenieria.pe" xr:uid="{00000000-0004-0000-0000-000001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96CFB-A475-4B72-8D7C-B63E852746C9}">
  <sheetPr>
    <pageSetUpPr fitToPage="1"/>
  </sheetPr>
  <dimension ref="B11:H50"/>
  <sheetViews>
    <sheetView tabSelected="1" view="pageBreakPreview" zoomScale="130" zoomScaleNormal="100" zoomScaleSheetLayoutView="130" workbookViewId="0">
      <selection activeCell="D39" sqref="D39"/>
    </sheetView>
  </sheetViews>
  <sheetFormatPr baseColWidth="10" defaultColWidth="11.42578125" defaultRowHeight="12.45"/>
  <cols>
    <col min="1" max="1" width="3.140625" style="123" customWidth="1"/>
    <col min="2" max="2" width="15.42578125" style="123" customWidth="1"/>
    <col min="3" max="3" width="10.42578125" style="123" customWidth="1"/>
    <col min="4" max="4" width="35.42578125" style="123" customWidth="1"/>
    <col min="5" max="5" width="10.7109375" style="123" customWidth="1"/>
    <col min="6" max="6" width="18.28515625" style="123" customWidth="1"/>
    <col min="7" max="7" width="23.5703125" style="123" bestFit="1" customWidth="1"/>
    <col min="8" max="8" width="20" style="123" customWidth="1"/>
    <col min="9" max="9" width="2.7109375" style="123" customWidth="1"/>
    <col min="10" max="16384" width="11.42578125" style="123"/>
  </cols>
  <sheetData>
    <row r="11" spans="2:8" ht="20.95" thickBot="1">
      <c r="B11" s="121"/>
      <c r="C11" s="121"/>
      <c r="D11" s="122" t="s">
        <v>541</v>
      </c>
      <c r="E11" s="172" t="s">
        <v>575</v>
      </c>
      <c r="F11" s="172"/>
      <c r="G11" s="172"/>
      <c r="H11" s="121"/>
    </row>
    <row r="12" spans="2:8" ht="13.75" thickTop="1">
      <c r="B12" s="124" t="s">
        <v>542</v>
      </c>
      <c r="C12" s="125"/>
      <c r="D12" s="125"/>
      <c r="E12" s="125"/>
      <c r="F12" s="125"/>
      <c r="G12" s="125"/>
      <c r="H12" s="125"/>
    </row>
    <row r="13" spans="2:8" ht="13.1">
      <c r="B13" s="124" t="s">
        <v>574</v>
      </c>
      <c r="C13" s="124" t="s">
        <v>571</v>
      </c>
      <c r="D13" s="125"/>
      <c r="E13" s="125"/>
      <c r="F13" s="125"/>
      <c r="G13" s="124"/>
      <c r="H13" s="126"/>
    </row>
    <row r="14" spans="2:8" ht="13.1">
      <c r="B14" s="124" t="s">
        <v>573</v>
      </c>
      <c r="C14" s="124" t="s">
        <v>571</v>
      </c>
      <c r="D14" s="125"/>
      <c r="E14" s="125"/>
      <c r="F14" s="125"/>
      <c r="G14" s="124"/>
      <c r="H14" s="126"/>
    </row>
    <row r="15" spans="2:8" ht="13.1">
      <c r="B15" s="124" t="s">
        <v>572</v>
      </c>
      <c r="C15" s="124" t="s">
        <v>571</v>
      </c>
      <c r="D15" s="125"/>
      <c r="E15" s="125"/>
      <c r="F15" s="125"/>
      <c r="G15" s="125"/>
      <c r="H15" s="125"/>
    </row>
    <row r="16" spans="2:8" ht="13.75" thickBot="1">
      <c r="B16" s="127"/>
      <c r="C16" s="127"/>
      <c r="D16" s="127"/>
      <c r="E16" s="127"/>
      <c r="F16" s="127"/>
      <c r="G16" s="127"/>
      <c r="H16" s="127"/>
    </row>
    <row r="17" spans="2:8" ht="13.75" thickTop="1">
      <c r="B17" s="128"/>
      <c r="C17" s="128"/>
      <c r="D17" s="128"/>
      <c r="E17" s="128"/>
      <c r="F17" s="128"/>
      <c r="G17" s="128"/>
      <c r="H17" s="128"/>
    </row>
    <row r="18" spans="2:8" ht="13.1">
      <c r="B18" s="124" t="s">
        <v>543</v>
      </c>
      <c r="C18" s="124" t="s">
        <v>571</v>
      </c>
      <c r="D18" s="125"/>
      <c r="E18" s="125"/>
      <c r="H18" s="125"/>
    </row>
    <row r="19" spans="2:8" ht="13.1">
      <c r="B19" s="124" t="s">
        <v>544</v>
      </c>
      <c r="C19" s="124" t="s">
        <v>571</v>
      </c>
      <c r="D19" s="125"/>
      <c r="E19" s="125"/>
      <c r="F19" s="125"/>
      <c r="G19" s="125"/>
      <c r="H19" s="125"/>
    </row>
    <row r="20" spans="2:8" ht="13.1">
      <c r="B20" s="124" t="s">
        <v>545</v>
      </c>
      <c r="C20" s="124" t="s">
        <v>571</v>
      </c>
      <c r="D20" s="125"/>
      <c r="E20" s="125"/>
      <c r="F20" s="124" t="s">
        <v>546</v>
      </c>
      <c r="G20" s="126" t="str">
        <f>E11</f>
        <v>aquí dejar en blanco</v>
      </c>
      <c r="H20" s="125"/>
    </row>
    <row r="21" spans="2:8" ht="13.1">
      <c r="B21" s="124" t="s">
        <v>547</v>
      </c>
      <c r="C21" s="124" t="s">
        <v>571</v>
      </c>
      <c r="D21" s="125"/>
      <c r="E21" s="125"/>
      <c r="F21" s="124" t="s">
        <v>548</v>
      </c>
      <c r="G21" s="160" t="s">
        <v>576</v>
      </c>
      <c r="H21" s="125"/>
    </row>
    <row r="22" spans="2:8" ht="13.75" thickBot="1">
      <c r="B22" s="129"/>
      <c r="C22" s="130"/>
      <c r="D22" s="131"/>
      <c r="E22" s="131"/>
      <c r="F22" s="131"/>
      <c r="G22" s="131"/>
      <c r="H22" s="131"/>
    </row>
    <row r="23" spans="2:8" ht="15.75" thickTop="1">
      <c r="B23" s="124"/>
      <c r="C23" s="132"/>
    </row>
    <row r="24" spans="2:8" ht="15.05">
      <c r="B24" s="133" t="s">
        <v>549</v>
      </c>
      <c r="F24" s="124"/>
      <c r="G24" s="134"/>
    </row>
    <row r="25" spans="2:8" ht="15.05">
      <c r="B25" s="135"/>
      <c r="C25" s="134"/>
      <c r="F25" s="124"/>
      <c r="G25" s="173"/>
      <c r="H25" s="173"/>
    </row>
    <row r="26" spans="2:8" ht="13.1">
      <c r="B26" s="133" t="s">
        <v>550</v>
      </c>
      <c r="F26" s="124"/>
      <c r="G26" s="174"/>
      <c r="H26" s="174"/>
    </row>
    <row r="27" spans="2:8" ht="13.1">
      <c r="B27" s="137" t="s">
        <v>577</v>
      </c>
      <c r="C27" s="123" t="s">
        <v>578</v>
      </c>
      <c r="F27" s="124"/>
    </row>
    <row r="28" spans="2:8" ht="13.1">
      <c r="B28" s="137"/>
      <c r="F28" s="124"/>
      <c r="G28" s="136"/>
      <c r="H28" s="136"/>
    </row>
    <row r="29" spans="2:8" ht="13.75" thickBot="1">
      <c r="B29" s="137"/>
      <c r="E29" s="121"/>
      <c r="F29" s="129"/>
      <c r="G29" s="138"/>
      <c r="H29" s="138"/>
    </row>
    <row r="30" spans="2:8" ht="14.4" thickTop="1" thickBot="1">
      <c r="B30" s="125"/>
      <c r="E30" s="129" t="s">
        <v>580</v>
      </c>
      <c r="F30" s="129"/>
      <c r="G30" s="175" t="s">
        <v>579</v>
      </c>
      <c r="H30" s="175"/>
    </row>
    <row r="31" spans="2:8" ht="15.75" thickTop="1">
      <c r="C31" s="134"/>
      <c r="H31" s="139"/>
    </row>
    <row r="32" spans="2:8" ht="13.1">
      <c r="B32" s="124" t="s">
        <v>551</v>
      </c>
      <c r="C32" s="140"/>
      <c r="D32" s="141"/>
      <c r="H32" s="139"/>
    </row>
    <row r="33" spans="2:8" ht="13.1">
      <c r="B33" s="124" t="s">
        <v>552</v>
      </c>
      <c r="C33" s="124"/>
      <c r="D33" s="126" t="s">
        <v>581</v>
      </c>
      <c r="F33" s="142"/>
      <c r="G33" s="176"/>
      <c r="H33" s="176"/>
    </row>
    <row r="34" spans="2:8" ht="13.1">
      <c r="B34" s="124" t="s">
        <v>553</v>
      </c>
      <c r="C34" s="124"/>
      <c r="D34" s="126" t="s">
        <v>581</v>
      </c>
      <c r="F34" s="142"/>
      <c r="G34" s="143"/>
      <c r="H34" s="143"/>
    </row>
    <row r="35" spans="2:8" ht="15.05">
      <c r="B35" s="124" t="s">
        <v>554</v>
      </c>
      <c r="C35" s="125"/>
      <c r="D35" s="144" t="s">
        <v>581</v>
      </c>
      <c r="E35" s="145"/>
      <c r="F35" s="145"/>
      <c r="G35" s="146"/>
      <c r="H35" s="146"/>
    </row>
    <row r="36" spans="2:8" ht="15.05">
      <c r="B36" s="124" t="s">
        <v>555</v>
      </c>
      <c r="C36" s="125"/>
      <c r="D36" s="144" t="s">
        <v>581</v>
      </c>
      <c r="E36" s="145"/>
      <c r="F36" s="145"/>
      <c r="G36" s="146"/>
      <c r="H36" s="146"/>
    </row>
    <row r="37" spans="2:8" ht="13.1">
      <c r="B37" s="124" t="s">
        <v>556</v>
      </c>
      <c r="C37" s="147"/>
      <c r="D37" s="177" t="s">
        <v>557</v>
      </c>
      <c r="E37" s="177"/>
      <c r="F37" s="177"/>
      <c r="G37" s="177"/>
      <c r="H37" s="177"/>
    </row>
    <row r="38" spans="2:8" ht="13.1">
      <c r="B38" s="124" t="s">
        <v>558</v>
      </c>
      <c r="C38" s="147"/>
      <c r="D38" s="148" t="s">
        <v>559</v>
      </c>
      <c r="E38" s="149"/>
      <c r="F38" s="149"/>
      <c r="G38" s="150"/>
      <c r="H38" s="150"/>
    </row>
    <row r="39" spans="2:8" ht="13.1">
      <c r="B39" s="124" t="s">
        <v>560</v>
      </c>
      <c r="C39" s="149"/>
      <c r="D39" s="151" t="s">
        <v>561</v>
      </c>
      <c r="E39" s="149"/>
      <c r="F39" s="149"/>
      <c r="G39" s="150"/>
      <c r="H39" s="150"/>
    </row>
    <row r="40" spans="2:8" ht="13.1">
      <c r="B40" s="152" t="s">
        <v>562</v>
      </c>
      <c r="C40" s="149"/>
      <c r="D40" s="151"/>
      <c r="E40" s="149"/>
      <c r="F40" s="149"/>
      <c r="G40" s="150"/>
      <c r="H40" s="150"/>
    </row>
    <row r="41" spans="2:8" ht="13.1">
      <c r="B41" s="152" t="s">
        <v>563</v>
      </c>
      <c r="C41" s="149"/>
      <c r="D41" s="151"/>
      <c r="E41" s="149"/>
      <c r="F41" s="149"/>
      <c r="G41" s="150"/>
      <c r="H41" s="150"/>
    </row>
    <row r="42" spans="2:8" ht="6.55" customHeight="1" thickBot="1">
      <c r="B42" s="153"/>
      <c r="C42" s="153"/>
      <c r="D42" s="153"/>
      <c r="E42" s="153"/>
      <c r="F42" s="153"/>
      <c r="G42" s="154"/>
      <c r="H42" s="154"/>
    </row>
    <row r="43" spans="2:8" ht="13.1" thickTop="1">
      <c r="B43" s="149"/>
      <c r="C43" s="149"/>
      <c r="D43" s="155"/>
      <c r="E43" s="149"/>
      <c r="F43" s="149"/>
      <c r="G43" s="150"/>
      <c r="H43" s="150"/>
    </row>
    <row r="46" spans="2:8" ht="13.1">
      <c r="D46" s="156"/>
    </row>
    <row r="47" spans="2:8" ht="13.1">
      <c r="D47" s="157" t="s">
        <v>564</v>
      </c>
    </row>
    <row r="48" spans="2:8" ht="13.1">
      <c r="D48" s="157" t="s">
        <v>565</v>
      </c>
    </row>
    <row r="49" spans="4:4" ht="13.1">
      <c r="D49" s="158" t="s">
        <v>566</v>
      </c>
    </row>
    <row r="50" spans="4:4" ht="13.1">
      <c r="D50" s="159" t="s">
        <v>567</v>
      </c>
    </row>
  </sheetData>
  <mergeCells count="6">
    <mergeCell ref="D37:H37"/>
    <mergeCell ref="E11:G11"/>
    <mergeCell ref="G25:H25"/>
    <mergeCell ref="G26:H26"/>
    <mergeCell ref="G30:H30"/>
    <mergeCell ref="G33:H33"/>
  </mergeCells>
  <dataValidations disablePrompts="1" count="1">
    <dataValidation type="list" allowBlank="1" showInputMessage="1" showErrorMessage="1" sqref="G24" xr:uid="{ABC01BF7-F58E-4B88-A83D-7DED57D71C5D}">
      <formula1>CODIGO</formula1>
    </dataValidation>
  </dataValidations>
  <hyperlinks>
    <hyperlink ref="D50" r:id="rId1" xr:uid="{665E0E9C-8CF6-4D78-A443-AE0304463C50}"/>
    <hyperlink ref="D49" r:id="rId2" xr:uid="{C0217051-33D1-4750-B9A1-D663FDBDC527}"/>
  </hyperlinks>
  <pageMargins left="0.23622047244094491" right="0.23622047244094491" top="0.74803149606299213" bottom="0.74803149606299213" header="0.31496062992125984" footer="0.31496062992125984"/>
  <pageSetup paperSize="9" scale="79" orientation="portrait" r:id="rId3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49"/>
  <sheetViews>
    <sheetView zoomScale="70" zoomScaleNormal="70" workbookViewId="0">
      <selection activeCell="I66" sqref="I66"/>
    </sheetView>
  </sheetViews>
  <sheetFormatPr baseColWidth="10" defaultColWidth="8.7109375" defaultRowHeight="13.1"/>
  <cols>
    <col min="1" max="1" width="8.42578125" customWidth="1"/>
    <col min="2" max="2" width="71.42578125" bestFit="1" customWidth="1"/>
    <col min="3" max="4" width="8.42578125" style="56" bestFit="1" customWidth="1"/>
    <col min="5" max="5" width="9.7109375" bestFit="1" customWidth="1"/>
    <col min="6" max="6" width="11.7109375" bestFit="1" customWidth="1"/>
    <col min="7" max="7" width="15.42578125" customWidth="1"/>
    <col min="8" max="8" width="12.28515625" bestFit="1" customWidth="1"/>
    <col min="9" max="9" width="28.5703125" bestFit="1" customWidth="1"/>
    <col min="10" max="10" width="10.42578125" bestFit="1" customWidth="1"/>
  </cols>
  <sheetData>
    <row r="1" spans="1:11" ht="26.05" customHeight="1"/>
    <row r="2" spans="1:11" ht="9.5" customHeight="1">
      <c r="A2" s="181"/>
      <c r="B2" s="181"/>
      <c r="C2" s="181"/>
      <c r="D2" s="181"/>
      <c r="E2" s="60" t="s">
        <v>423</v>
      </c>
      <c r="F2" s="58">
        <f>12+3+2+1+3+2+1+4</f>
        <v>28</v>
      </c>
      <c r="G2" s="41"/>
    </row>
    <row r="3" spans="1:11" ht="9.5" customHeight="1">
      <c r="A3" s="7" t="s">
        <v>21</v>
      </c>
      <c r="B3" s="7" t="s">
        <v>22</v>
      </c>
      <c r="C3" s="43" t="s">
        <v>413</v>
      </c>
      <c r="D3" s="59" t="s">
        <v>414</v>
      </c>
      <c r="E3" s="43" t="s">
        <v>23</v>
      </c>
      <c r="F3" s="43" t="s">
        <v>24</v>
      </c>
      <c r="G3" s="43" t="s">
        <v>25</v>
      </c>
    </row>
    <row r="4" spans="1:11" ht="9.5" customHeight="1">
      <c r="A4" s="182" t="s">
        <v>26</v>
      </c>
      <c r="B4" s="182"/>
      <c r="C4" s="182"/>
      <c r="D4" s="182"/>
      <c r="E4" s="182"/>
      <c r="F4" s="182"/>
      <c r="G4" s="182"/>
    </row>
    <row r="5" spans="1:11">
      <c r="A5" s="75" t="s">
        <v>27</v>
      </c>
      <c r="B5" s="78" t="s">
        <v>28</v>
      </c>
      <c r="C5" s="76"/>
      <c r="D5" s="76"/>
      <c r="E5" s="77"/>
      <c r="F5" s="77"/>
      <c r="G5" s="92">
        <f>SUM(F6:F24)</f>
        <v>97380.75539999998</v>
      </c>
      <c r="H5" s="113"/>
    </row>
    <row r="6" spans="1:11" ht="9.5" customHeight="1">
      <c r="A6" s="44" t="s">
        <v>446</v>
      </c>
      <c r="B6" s="45" t="s">
        <v>512</v>
      </c>
      <c r="C6" s="46" t="s">
        <v>442</v>
      </c>
      <c r="D6" s="62">
        <v>6</v>
      </c>
      <c r="E6" s="63">
        <f>660*usd*1.2</f>
        <v>2964.4560000000001</v>
      </c>
      <c r="F6" s="63">
        <f t="shared" ref="F6:F24" si="0">E6*D6</f>
        <v>17786.736000000001</v>
      </c>
      <c r="G6" s="63">
        <f>F6</f>
        <v>17786.736000000001</v>
      </c>
      <c r="H6" s="46">
        <v>16.7</v>
      </c>
      <c r="I6" s="42">
        <v>1.2</v>
      </c>
    </row>
    <row r="7" spans="1:11" ht="9" customHeight="1">
      <c r="A7" s="83" t="s">
        <v>447</v>
      </c>
      <c r="B7" s="80" t="s">
        <v>514</v>
      </c>
      <c r="C7" s="42" t="s">
        <v>442</v>
      </c>
      <c r="D7" s="61">
        <v>1</v>
      </c>
      <c r="E7" s="82">
        <f>265*usd*1.2</f>
        <v>1190.2739999999999</v>
      </c>
      <c r="F7" s="82">
        <f t="shared" si="0"/>
        <v>1190.2739999999999</v>
      </c>
      <c r="G7" s="82">
        <f>F7+G6</f>
        <v>18977.010000000002</v>
      </c>
      <c r="H7" s="46">
        <v>18</v>
      </c>
      <c r="I7" s="42"/>
    </row>
    <row r="8" spans="1:11" ht="9" customHeight="1">
      <c r="A8" s="83" t="s">
        <v>486</v>
      </c>
      <c r="B8" s="80" t="s">
        <v>513</v>
      </c>
      <c r="C8" s="42" t="s">
        <v>442</v>
      </c>
      <c r="D8" s="61">
        <v>4</v>
      </c>
      <c r="E8" s="82">
        <f>490*usd*1.2</f>
        <v>2200.884</v>
      </c>
      <c r="F8" s="82">
        <f t="shared" si="0"/>
        <v>8803.5360000000001</v>
      </c>
      <c r="G8" s="82">
        <f t="shared" ref="G8:G22" si="1">F8+G7</f>
        <v>27780.546000000002</v>
      </c>
      <c r="H8" s="46">
        <v>16</v>
      </c>
      <c r="I8" s="42"/>
    </row>
    <row r="9" spans="1:11" ht="9" customHeight="1">
      <c r="A9" s="83" t="s">
        <v>468</v>
      </c>
      <c r="B9" s="80" t="s">
        <v>509</v>
      </c>
      <c r="C9" s="42" t="s">
        <v>442</v>
      </c>
      <c r="D9" s="61">
        <v>11</v>
      </c>
      <c r="E9" s="82">
        <f>39*usd*1.2</f>
        <v>175.17240000000001</v>
      </c>
      <c r="F9" s="82">
        <f t="shared" si="0"/>
        <v>1926.8964000000001</v>
      </c>
      <c r="G9" s="82">
        <f t="shared" si="1"/>
        <v>29707.442400000004</v>
      </c>
      <c r="H9" s="46"/>
      <c r="I9" s="42"/>
    </row>
    <row r="10" spans="1:11" ht="9" customHeight="1">
      <c r="A10" s="83" t="s">
        <v>469</v>
      </c>
      <c r="B10" s="80" t="s">
        <v>515</v>
      </c>
      <c r="C10" s="42" t="s">
        <v>442</v>
      </c>
      <c r="D10" s="61">
        <v>1</v>
      </c>
      <c r="E10" s="82">
        <f>82*usd*1.2</f>
        <v>368.31119999999999</v>
      </c>
      <c r="F10" s="82">
        <f t="shared" si="0"/>
        <v>368.31119999999999</v>
      </c>
      <c r="G10" s="82">
        <f t="shared" si="1"/>
        <v>30075.753600000004</v>
      </c>
      <c r="H10" s="46"/>
      <c r="I10" s="42"/>
    </row>
    <row r="11" spans="1:11" ht="9" customHeight="1">
      <c r="A11" s="83" t="s">
        <v>470</v>
      </c>
      <c r="B11" s="80" t="s">
        <v>507</v>
      </c>
      <c r="C11" s="42" t="s">
        <v>442</v>
      </c>
      <c r="D11" s="61">
        <v>1</v>
      </c>
      <c r="E11" s="82">
        <f>6300*usd*1.2</f>
        <v>28297.079999999998</v>
      </c>
      <c r="F11" s="82">
        <f t="shared" si="0"/>
        <v>28297.079999999998</v>
      </c>
      <c r="G11" s="82">
        <f t="shared" si="1"/>
        <v>58372.833599999998</v>
      </c>
      <c r="H11" s="46">
        <v>16</v>
      </c>
      <c r="I11" s="42"/>
    </row>
    <row r="12" spans="1:11" ht="9" customHeight="1">
      <c r="A12" s="83" t="s">
        <v>471</v>
      </c>
      <c r="B12" s="80" t="s">
        <v>508</v>
      </c>
      <c r="C12" s="42" t="s">
        <v>442</v>
      </c>
      <c r="D12" s="61">
        <v>1</v>
      </c>
      <c r="E12" s="82">
        <f>3971*usd*1.2</f>
        <v>17836.143599999999</v>
      </c>
      <c r="F12" s="82">
        <f t="shared" si="0"/>
        <v>17836.143599999999</v>
      </c>
      <c r="G12" s="82">
        <f t="shared" si="1"/>
        <v>76208.977199999994</v>
      </c>
      <c r="H12" s="46">
        <v>14.5</v>
      </c>
      <c r="I12" s="42"/>
    </row>
    <row r="13" spans="1:11" ht="9" customHeight="1">
      <c r="A13" s="83" t="s">
        <v>472</v>
      </c>
      <c r="B13" s="80" t="s">
        <v>510</v>
      </c>
      <c r="C13" s="42" t="s">
        <v>442</v>
      </c>
      <c r="D13" s="61">
        <v>1</v>
      </c>
      <c r="E13" s="82">
        <f>187*usd*1.2</f>
        <v>839.92920000000004</v>
      </c>
      <c r="F13" s="82">
        <f t="shared" si="0"/>
        <v>839.92920000000004</v>
      </c>
      <c r="G13" s="82">
        <f t="shared" si="1"/>
        <v>77048.906399999993</v>
      </c>
      <c r="H13" s="46"/>
      <c r="I13" s="42"/>
    </row>
    <row r="14" spans="1:11" ht="9" customHeight="1">
      <c r="A14" s="83" t="s">
        <v>473</v>
      </c>
      <c r="B14" s="80" t="s">
        <v>511</v>
      </c>
      <c r="C14" s="42" t="s">
        <v>442</v>
      </c>
      <c r="D14" s="61">
        <v>7</v>
      </c>
      <c r="E14" s="82">
        <f>95*usd*1.2</f>
        <v>426.70199999999994</v>
      </c>
      <c r="F14" s="82">
        <f t="shared" si="0"/>
        <v>2986.9139999999998</v>
      </c>
      <c r="G14" s="82">
        <f t="shared" si="1"/>
        <v>80035.820399999997</v>
      </c>
      <c r="H14" s="46"/>
      <c r="I14" s="42"/>
      <c r="J14" s="42">
        <f>((36*6)+12+(36*4))/12</f>
        <v>31</v>
      </c>
      <c r="K14" s="42">
        <f>J14*2000</f>
        <v>62000</v>
      </c>
    </row>
    <row r="15" spans="1:11" ht="9" customHeight="1">
      <c r="A15" s="83" t="s">
        <v>474</v>
      </c>
      <c r="B15" s="80" t="s">
        <v>443</v>
      </c>
      <c r="C15" s="42" t="s">
        <v>442</v>
      </c>
      <c r="D15" s="115">
        <v>2</v>
      </c>
      <c r="E15" s="116">
        <f>300*usd*1.2</f>
        <v>1347.4799999999998</v>
      </c>
      <c r="F15" s="116">
        <f t="shared" si="0"/>
        <v>2694.9599999999996</v>
      </c>
      <c r="G15" s="116">
        <f t="shared" si="1"/>
        <v>82730.780400000003</v>
      </c>
      <c r="H15" s="46"/>
      <c r="I15" s="42"/>
    </row>
    <row r="16" spans="1:11" ht="9" customHeight="1">
      <c r="A16" s="83" t="s">
        <v>475</v>
      </c>
      <c r="B16" s="80" t="s">
        <v>536</v>
      </c>
      <c r="C16" s="42" t="s">
        <v>442</v>
      </c>
      <c r="D16" s="115">
        <v>1</v>
      </c>
      <c r="E16" s="116">
        <f>100*usd*1.5</f>
        <v>561.45000000000005</v>
      </c>
      <c r="F16" s="116">
        <f t="shared" si="0"/>
        <v>561.45000000000005</v>
      </c>
      <c r="G16" s="116">
        <f t="shared" si="1"/>
        <v>83292.2304</v>
      </c>
      <c r="H16" s="46"/>
      <c r="I16" s="42"/>
    </row>
    <row r="17" spans="1:10" ht="9" customHeight="1">
      <c r="A17" s="83" t="s">
        <v>476</v>
      </c>
      <c r="B17" s="80" t="s">
        <v>537</v>
      </c>
      <c r="C17" s="42" t="s">
        <v>442</v>
      </c>
      <c r="D17" s="115">
        <v>4</v>
      </c>
      <c r="E17" s="116">
        <f>1759.68/2*1.5</f>
        <v>1319.76</v>
      </c>
      <c r="F17" s="116">
        <f t="shared" si="0"/>
        <v>5279.04</v>
      </c>
      <c r="G17" s="116">
        <f t="shared" si="1"/>
        <v>88571.270399999994</v>
      </c>
      <c r="H17" s="46"/>
      <c r="I17" s="42"/>
      <c r="J17" s="54"/>
    </row>
    <row r="18" spans="1:10" ht="9" customHeight="1">
      <c r="A18" s="83" t="s">
        <v>477</v>
      </c>
      <c r="B18" s="80" t="s">
        <v>445</v>
      </c>
      <c r="C18" s="42" t="s">
        <v>442</v>
      </c>
      <c r="D18" s="115">
        <v>1</v>
      </c>
      <c r="E18" s="116">
        <f>250*usd*1.5</f>
        <v>1403.625</v>
      </c>
      <c r="F18" s="116">
        <f t="shared" si="0"/>
        <v>1403.625</v>
      </c>
      <c r="G18" s="116">
        <f t="shared" si="1"/>
        <v>89974.895399999994</v>
      </c>
      <c r="H18" s="46"/>
    </row>
    <row r="19" spans="1:10" ht="9" customHeight="1">
      <c r="A19" s="83" t="s">
        <v>452</v>
      </c>
      <c r="B19" s="80" t="s">
        <v>444</v>
      </c>
      <c r="C19" s="42" t="s">
        <v>442</v>
      </c>
      <c r="D19" s="115">
        <v>8</v>
      </c>
      <c r="E19" s="116">
        <f>480*1.5</f>
        <v>720</v>
      </c>
      <c r="F19" s="116">
        <f t="shared" si="0"/>
        <v>5760</v>
      </c>
      <c r="G19" s="116">
        <f t="shared" si="1"/>
        <v>95734.895399999994</v>
      </c>
      <c r="H19" s="46"/>
    </row>
    <row r="20" spans="1:10" ht="9" customHeight="1">
      <c r="A20" s="83" t="s">
        <v>453</v>
      </c>
      <c r="B20" s="80" t="s">
        <v>448</v>
      </c>
      <c r="C20" s="83" t="s">
        <v>442</v>
      </c>
      <c r="D20" s="117">
        <v>1</v>
      </c>
      <c r="E20" s="116">
        <f>58.12*1.5</f>
        <v>87.179999999999993</v>
      </c>
      <c r="F20" s="116">
        <f t="shared" si="0"/>
        <v>87.179999999999993</v>
      </c>
      <c r="G20" s="116">
        <f t="shared" si="1"/>
        <v>95822.075399999987</v>
      </c>
      <c r="H20" s="46"/>
    </row>
    <row r="21" spans="1:10" ht="9" customHeight="1">
      <c r="A21" s="83" t="s">
        <v>454</v>
      </c>
      <c r="B21" s="80" t="s">
        <v>449</v>
      </c>
      <c r="C21" s="83" t="s">
        <v>442</v>
      </c>
      <c r="D21" s="117">
        <v>1</v>
      </c>
      <c r="E21" s="116">
        <f>58.12*1.5</f>
        <v>87.179999999999993</v>
      </c>
      <c r="F21" s="116">
        <f t="shared" si="0"/>
        <v>87.179999999999993</v>
      </c>
      <c r="G21" s="116">
        <f t="shared" si="1"/>
        <v>95909.25539999998</v>
      </c>
      <c r="H21" s="46"/>
    </row>
    <row r="22" spans="1:10" ht="9" customHeight="1">
      <c r="A22" s="83" t="s">
        <v>455</v>
      </c>
      <c r="B22" s="80" t="s">
        <v>451</v>
      </c>
      <c r="C22" s="83" t="s">
        <v>442</v>
      </c>
      <c r="D22" s="118">
        <v>1</v>
      </c>
      <c r="E22" s="116">
        <f>84*1.5</f>
        <v>126</v>
      </c>
      <c r="F22" s="116">
        <f t="shared" si="0"/>
        <v>126</v>
      </c>
      <c r="G22" s="116">
        <f t="shared" si="1"/>
        <v>96035.25539999998</v>
      </c>
      <c r="H22" s="46"/>
    </row>
    <row r="23" spans="1:10" ht="9" customHeight="1">
      <c r="A23" s="83"/>
      <c r="B23" s="80" t="s">
        <v>570</v>
      </c>
      <c r="C23" s="83"/>
      <c r="D23" s="118"/>
      <c r="E23" s="116"/>
      <c r="F23" s="116"/>
      <c r="G23" s="116"/>
      <c r="H23" s="46"/>
    </row>
    <row r="24" spans="1:10" ht="9" customHeight="1">
      <c r="A24" s="83" t="s">
        <v>456</v>
      </c>
      <c r="B24" s="48" t="s">
        <v>450</v>
      </c>
      <c r="C24" s="47" t="s">
        <v>442</v>
      </c>
      <c r="D24" s="119">
        <v>1</v>
      </c>
      <c r="E24" s="120">
        <f>897*1.5</f>
        <v>1345.5</v>
      </c>
      <c r="F24" s="116">
        <f t="shared" si="0"/>
        <v>1345.5</v>
      </c>
      <c r="G24" s="116">
        <f>F24+G22</f>
        <v>97380.75539999998</v>
      </c>
      <c r="H24" s="46"/>
    </row>
    <row r="25" spans="1:10" ht="9.5" customHeight="1">
      <c r="A25" s="88" t="s">
        <v>30</v>
      </c>
      <c r="B25" s="89" t="s">
        <v>31</v>
      </c>
      <c r="C25" s="44" t="s">
        <v>442</v>
      </c>
      <c r="D25" s="90"/>
      <c r="E25" s="91"/>
      <c r="F25" s="91"/>
      <c r="G25" s="92">
        <f>SUM(G42,G26,G63,G98,G104,G137,G197,G53)</f>
        <v>50137.902346509392</v>
      </c>
      <c r="H25" s="46"/>
    </row>
    <row r="26" spans="1:10" ht="9.5" customHeight="1">
      <c r="A26" s="69">
        <v>36557</v>
      </c>
      <c r="B26" s="85" t="s">
        <v>32</v>
      </c>
      <c r="C26" s="72"/>
      <c r="D26" s="73"/>
      <c r="E26" s="74"/>
      <c r="F26" s="74"/>
      <c r="G26" s="87">
        <f>SUM(F27:F41)</f>
        <v>3056.04</v>
      </c>
    </row>
    <row r="27" spans="1:10" ht="9.5" customHeight="1">
      <c r="A27" s="68" t="s">
        <v>424</v>
      </c>
      <c r="B27" s="109" t="s">
        <v>522</v>
      </c>
      <c r="C27" s="46" t="s">
        <v>415</v>
      </c>
      <c r="D27" s="62">
        <v>2</v>
      </c>
      <c r="E27" s="63">
        <v>35</v>
      </c>
      <c r="F27" s="63">
        <f>E27*D27</f>
        <v>70</v>
      </c>
      <c r="G27" s="63">
        <f>F27</f>
        <v>70</v>
      </c>
    </row>
    <row r="28" spans="1:10" ht="9" customHeight="1">
      <c r="A28" s="93" t="s">
        <v>425</v>
      </c>
      <c r="B28" s="80" t="s">
        <v>33</v>
      </c>
      <c r="C28" s="42" t="s">
        <v>29</v>
      </c>
      <c r="D28" s="61">
        <v>3</v>
      </c>
      <c r="E28" s="82">
        <v>25.89</v>
      </c>
      <c r="F28" s="82">
        <f t="shared" ref="F28:F41" si="2">E28*D28</f>
        <v>77.67</v>
      </c>
      <c r="G28" s="82">
        <f>F28+G27</f>
        <v>147.67000000000002</v>
      </c>
    </row>
    <row r="29" spans="1:10" ht="9" customHeight="1">
      <c r="A29" s="93" t="s">
        <v>426</v>
      </c>
      <c r="B29" s="80" t="s">
        <v>34</v>
      </c>
      <c r="C29" s="42" t="s">
        <v>35</v>
      </c>
      <c r="D29" s="61">
        <v>10</v>
      </c>
      <c r="E29" s="82">
        <v>44.5</v>
      </c>
      <c r="F29" s="82">
        <f t="shared" si="2"/>
        <v>445</v>
      </c>
      <c r="G29" s="82">
        <f>F29+G28</f>
        <v>592.67000000000007</v>
      </c>
    </row>
    <row r="30" spans="1:10" ht="9" customHeight="1">
      <c r="A30" s="93" t="s">
        <v>427</v>
      </c>
      <c r="B30" s="80" t="s">
        <v>36</v>
      </c>
      <c r="C30" s="42" t="s">
        <v>35</v>
      </c>
      <c r="D30" s="61">
        <v>30</v>
      </c>
      <c r="E30" s="82">
        <v>17.5</v>
      </c>
      <c r="F30" s="82">
        <f t="shared" si="2"/>
        <v>525</v>
      </c>
      <c r="G30" s="82">
        <f t="shared" ref="G30:G41" si="3">F30+G29</f>
        <v>1117.67</v>
      </c>
    </row>
    <row r="31" spans="1:10" ht="9" customHeight="1">
      <c r="A31" s="93" t="s">
        <v>428</v>
      </c>
      <c r="B31" s="80" t="s">
        <v>37</v>
      </c>
      <c r="C31" s="42" t="s">
        <v>35</v>
      </c>
      <c r="D31" s="61">
        <v>10</v>
      </c>
      <c r="E31" s="82">
        <v>15</v>
      </c>
      <c r="F31" s="82">
        <f t="shared" si="2"/>
        <v>150</v>
      </c>
      <c r="G31" s="82">
        <f t="shared" si="3"/>
        <v>1267.67</v>
      </c>
    </row>
    <row r="32" spans="1:10" ht="9" customHeight="1">
      <c r="A32" s="93" t="s">
        <v>429</v>
      </c>
      <c r="B32" s="80" t="s">
        <v>38</v>
      </c>
      <c r="C32" s="42" t="s">
        <v>29</v>
      </c>
      <c r="D32" s="61">
        <v>30</v>
      </c>
      <c r="E32" s="82">
        <v>15</v>
      </c>
      <c r="F32" s="82">
        <f t="shared" si="2"/>
        <v>450</v>
      </c>
      <c r="G32" s="82">
        <f t="shared" si="3"/>
        <v>1717.67</v>
      </c>
    </row>
    <row r="33" spans="1:9" ht="9" customHeight="1">
      <c r="A33" s="93" t="s">
        <v>430</v>
      </c>
      <c r="B33" s="80" t="s">
        <v>39</v>
      </c>
      <c r="C33" s="81" t="s">
        <v>416</v>
      </c>
      <c r="D33" s="61">
        <v>1</v>
      </c>
      <c r="E33" s="82">
        <v>550</v>
      </c>
      <c r="F33" s="82">
        <f t="shared" si="2"/>
        <v>550</v>
      </c>
      <c r="G33" s="82">
        <f t="shared" si="3"/>
        <v>2267.67</v>
      </c>
    </row>
    <row r="34" spans="1:9" ht="9" customHeight="1">
      <c r="A34" s="93" t="s">
        <v>431</v>
      </c>
      <c r="B34" s="80" t="s">
        <v>40</v>
      </c>
      <c r="C34" s="42" t="s">
        <v>29</v>
      </c>
      <c r="D34" s="61">
        <v>3</v>
      </c>
      <c r="E34" s="82">
        <v>51</v>
      </c>
      <c r="F34" s="82">
        <f t="shared" si="2"/>
        <v>153</v>
      </c>
      <c r="G34" s="82">
        <f t="shared" si="3"/>
        <v>2420.67</v>
      </c>
    </row>
    <row r="35" spans="1:9" ht="9" customHeight="1">
      <c r="A35" s="93" t="s">
        <v>432</v>
      </c>
      <c r="B35" s="80" t="s">
        <v>41</v>
      </c>
      <c r="C35" s="42" t="s">
        <v>29</v>
      </c>
      <c r="D35" s="61">
        <v>1</v>
      </c>
      <c r="E35" s="82">
        <v>46</v>
      </c>
      <c r="F35" s="82">
        <f t="shared" si="2"/>
        <v>46</v>
      </c>
      <c r="G35" s="82">
        <f t="shared" si="3"/>
        <v>2466.67</v>
      </c>
    </row>
    <row r="36" spans="1:9" ht="9" customHeight="1">
      <c r="A36" s="93" t="s">
        <v>433</v>
      </c>
      <c r="B36" s="80" t="s">
        <v>42</v>
      </c>
      <c r="C36" s="42" t="s">
        <v>29</v>
      </c>
      <c r="D36" s="61">
        <v>2</v>
      </c>
      <c r="E36" s="82">
        <v>61.67</v>
      </c>
      <c r="F36" s="82">
        <f t="shared" si="2"/>
        <v>123.34</v>
      </c>
      <c r="G36" s="82">
        <f t="shared" si="3"/>
        <v>2590.0100000000002</v>
      </c>
    </row>
    <row r="37" spans="1:9" ht="9" customHeight="1">
      <c r="A37" s="93" t="s">
        <v>434</v>
      </c>
      <c r="B37" s="80" t="s">
        <v>43</v>
      </c>
      <c r="C37" s="42" t="s">
        <v>29</v>
      </c>
      <c r="D37" s="61">
        <v>1</v>
      </c>
      <c r="E37" s="82">
        <v>200</v>
      </c>
      <c r="F37" s="82">
        <f t="shared" si="2"/>
        <v>200</v>
      </c>
      <c r="G37" s="82">
        <f t="shared" si="3"/>
        <v>2790.01</v>
      </c>
    </row>
    <row r="38" spans="1:9" ht="9" customHeight="1">
      <c r="A38" s="93" t="s">
        <v>435</v>
      </c>
      <c r="B38" s="80" t="s">
        <v>44</v>
      </c>
      <c r="C38" s="42" t="s">
        <v>29</v>
      </c>
      <c r="D38" s="61">
        <v>1</v>
      </c>
      <c r="E38" s="82">
        <v>28.68</v>
      </c>
      <c r="F38" s="82">
        <f t="shared" si="2"/>
        <v>28.68</v>
      </c>
      <c r="G38" s="82">
        <f t="shared" si="3"/>
        <v>2818.69</v>
      </c>
    </row>
    <row r="39" spans="1:9" ht="9" customHeight="1">
      <c r="A39" s="93" t="s">
        <v>436</v>
      </c>
      <c r="B39" s="80" t="s">
        <v>45</v>
      </c>
      <c r="C39" s="42" t="s">
        <v>29</v>
      </c>
      <c r="D39" s="61">
        <v>2</v>
      </c>
      <c r="E39" s="82">
        <v>35</v>
      </c>
      <c r="F39" s="82">
        <f t="shared" si="2"/>
        <v>70</v>
      </c>
      <c r="G39" s="82">
        <f t="shared" si="3"/>
        <v>2888.69</v>
      </c>
    </row>
    <row r="40" spans="1:9" ht="9" customHeight="1">
      <c r="A40" s="93" t="s">
        <v>437</v>
      </c>
      <c r="B40" s="80" t="s">
        <v>46</v>
      </c>
      <c r="C40" s="42" t="s">
        <v>29</v>
      </c>
      <c r="D40" s="61">
        <v>1</v>
      </c>
      <c r="E40" s="82">
        <v>80</v>
      </c>
      <c r="F40" s="82">
        <f t="shared" si="2"/>
        <v>80</v>
      </c>
      <c r="G40" s="82">
        <f t="shared" si="3"/>
        <v>2968.69</v>
      </c>
    </row>
    <row r="41" spans="1:9" ht="9" customHeight="1">
      <c r="A41" s="93" t="s">
        <v>438</v>
      </c>
      <c r="B41" s="48" t="s">
        <v>47</v>
      </c>
      <c r="C41" s="49" t="s">
        <v>29</v>
      </c>
      <c r="D41" s="64">
        <v>1</v>
      </c>
      <c r="E41" s="65">
        <v>87.35</v>
      </c>
      <c r="F41" s="65">
        <f t="shared" si="2"/>
        <v>87.35</v>
      </c>
      <c r="G41" s="65">
        <f t="shared" si="3"/>
        <v>3056.04</v>
      </c>
    </row>
    <row r="42" spans="1:9" ht="9.5" customHeight="1">
      <c r="A42" s="69">
        <v>36558</v>
      </c>
      <c r="B42" s="85" t="s">
        <v>48</v>
      </c>
      <c r="C42" s="72"/>
      <c r="D42" s="73"/>
      <c r="E42" s="74"/>
      <c r="F42" s="74"/>
      <c r="G42" s="87">
        <f>SUM(F43:F52)</f>
        <v>3050.6000000000004</v>
      </c>
    </row>
    <row r="43" spans="1:9" ht="9.5" customHeight="1">
      <c r="A43" s="50">
        <v>36924</v>
      </c>
      <c r="B43" s="45" t="s">
        <v>49</v>
      </c>
      <c r="C43" s="46" t="s">
        <v>29</v>
      </c>
      <c r="D43" s="62">
        <v>2</v>
      </c>
      <c r="E43" s="63">
        <v>350</v>
      </c>
      <c r="F43" s="63">
        <f>E43*D43</f>
        <v>700</v>
      </c>
      <c r="G43" s="63">
        <f>F43</f>
        <v>700</v>
      </c>
    </row>
    <row r="44" spans="1:9" ht="9" customHeight="1">
      <c r="A44" s="79">
        <v>37289</v>
      </c>
      <c r="B44" s="80" t="s">
        <v>50</v>
      </c>
      <c r="C44" s="42" t="s">
        <v>29</v>
      </c>
      <c r="D44" s="61">
        <v>2</v>
      </c>
      <c r="E44" s="82">
        <v>34</v>
      </c>
      <c r="F44" s="82">
        <f t="shared" ref="F44:F52" si="4">E44*D44</f>
        <v>68</v>
      </c>
      <c r="G44" s="82">
        <f t="shared" ref="G44:G52" si="5">F44</f>
        <v>68</v>
      </c>
      <c r="I44" s="54"/>
    </row>
    <row r="45" spans="1:9" ht="9" customHeight="1">
      <c r="A45" s="79">
        <v>37654</v>
      </c>
      <c r="B45" s="80" t="s">
        <v>51</v>
      </c>
      <c r="C45" s="42" t="s">
        <v>29</v>
      </c>
      <c r="D45" s="61">
        <f>_xlfn.CEILING.MATH(96*1.2)</f>
        <v>116</v>
      </c>
      <c r="E45" s="82">
        <v>2.59</v>
      </c>
      <c r="F45" s="82">
        <f t="shared" si="4"/>
        <v>300.44</v>
      </c>
      <c r="G45" s="82">
        <f t="shared" si="5"/>
        <v>300.44</v>
      </c>
    </row>
    <row r="46" spans="1:9" ht="9" customHeight="1">
      <c r="A46" s="79">
        <v>38019</v>
      </c>
      <c r="B46" s="80" t="s">
        <v>52</v>
      </c>
      <c r="C46" s="42" t="s">
        <v>29</v>
      </c>
      <c r="D46" s="61">
        <f>_xlfn.CEILING.MATH(96*1.2)</f>
        <v>116</v>
      </c>
      <c r="E46" s="82">
        <v>2.2200000000000002</v>
      </c>
      <c r="F46" s="82">
        <f t="shared" si="4"/>
        <v>257.52000000000004</v>
      </c>
      <c r="G46" s="82">
        <f t="shared" si="5"/>
        <v>257.52000000000004</v>
      </c>
    </row>
    <row r="47" spans="1:9" ht="9" customHeight="1">
      <c r="A47" s="79">
        <v>38385</v>
      </c>
      <c r="B47" s="80" t="s">
        <v>53</v>
      </c>
      <c r="C47" s="42" t="s">
        <v>29</v>
      </c>
      <c r="D47" s="61">
        <f>_xlfn.CEILING.MATH(32*1.2)</f>
        <v>39</v>
      </c>
      <c r="E47" s="82">
        <v>2.0499999999999998</v>
      </c>
      <c r="F47" s="82">
        <f t="shared" si="4"/>
        <v>79.949999999999989</v>
      </c>
      <c r="G47" s="82">
        <f t="shared" si="5"/>
        <v>79.949999999999989</v>
      </c>
    </row>
    <row r="48" spans="1:9" ht="9" customHeight="1">
      <c r="A48" s="79">
        <v>38750</v>
      </c>
      <c r="B48" s="80" t="s">
        <v>54</v>
      </c>
      <c r="C48" s="42" t="s">
        <v>29</v>
      </c>
      <c r="D48" s="61">
        <f>_xlfn.CEILING.MATH(9.8*1.2)</f>
        <v>12</v>
      </c>
      <c r="E48" s="82">
        <v>33.229999999999997</v>
      </c>
      <c r="F48" s="82">
        <f t="shared" si="4"/>
        <v>398.76</v>
      </c>
      <c r="G48" s="82">
        <f t="shared" si="5"/>
        <v>398.76</v>
      </c>
    </row>
    <row r="49" spans="1:15" ht="9" customHeight="1">
      <c r="A49" s="79">
        <v>39115</v>
      </c>
      <c r="B49" s="80" t="s">
        <v>55</v>
      </c>
      <c r="C49" s="42" t="s">
        <v>29</v>
      </c>
      <c r="D49" s="61">
        <f>_xlfn.CEILING.MATH(1.9*1.2)</f>
        <v>3</v>
      </c>
      <c r="E49" s="82">
        <v>27.01</v>
      </c>
      <c r="F49" s="82">
        <f t="shared" si="4"/>
        <v>81.03</v>
      </c>
      <c r="G49" s="82">
        <f t="shared" si="5"/>
        <v>81.03</v>
      </c>
    </row>
    <row r="50" spans="1:15" ht="9" customHeight="1">
      <c r="A50" s="79">
        <v>39480</v>
      </c>
      <c r="B50" s="80" t="s">
        <v>56</v>
      </c>
      <c r="C50" s="42" t="s">
        <v>29</v>
      </c>
      <c r="D50" s="61">
        <v>13</v>
      </c>
      <c r="E50" s="82">
        <v>2.8</v>
      </c>
      <c r="F50" s="82">
        <f t="shared" si="4"/>
        <v>36.4</v>
      </c>
      <c r="G50" s="82">
        <f t="shared" si="5"/>
        <v>36.4</v>
      </c>
    </row>
    <row r="51" spans="1:15" ht="9" customHeight="1">
      <c r="A51" s="79">
        <v>39846</v>
      </c>
      <c r="B51" s="80" t="s">
        <v>57</v>
      </c>
      <c r="C51" s="42" t="s">
        <v>29</v>
      </c>
      <c r="D51" s="61">
        <v>15</v>
      </c>
      <c r="E51" s="82">
        <v>1.9</v>
      </c>
      <c r="F51" s="82">
        <f t="shared" si="4"/>
        <v>28.5</v>
      </c>
      <c r="G51" s="82">
        <f t="shared" si="5"/>
        <v>28.5</v>
      </c>
    </row>
    <row r="52" spans="1:15" ht="9" customHeight="1">
      <c r="A52" s="79">
        <v>40211</v>
      </c>
      <c r="B52" s="48" t="s">
        <v>58</v>
      </c>
      <c r="C52" s="49" t="s">
        <v>29</v>
      </c>
      <c r="D52" s="64">
        <v>11</v>
      </c>
      <c r="E52" s="65">
        <v>100</v>
      </c>
      <c r="F52" s="65">
        <f t="shared" si="4"/>
        <v>1100</v>
      </c>
      <c r="G52" s="65">
        <f t="shared" si="5"/>
        <v>1100</v>
      </c>
    </row>
    <row r="53" spans="1:15" ht="9.5" customHeight="1">
      <c r="A53" s="112">
        <v>36559</v>
      </c>
      <c r="B53" s="85" t="s">
        <v>478</v>
      </c>
      <c r="C53" s="72"/>
      <c r="D53" s="73"/>
      <c r="E53" s="74"/>
      <c r="F53" s="74"/>
      <c r="G53" s="87">
        <f>SUM(F54:F62)</f>
        <v>10554.215469999997</v>
      </c>
    </row>
    <row r="54" spans="1:15" ht="9.5" customHeight="1">
      <c r="A54" s="50">
        <v>36925</v>
      </c>
      <c r="B54" s="45" t="s">
        <v>479</v>
      </c>
      <c r="C54" s="71" t="s">
        <v>569</v>
      </c>
      <c r="D54" s="62">
        <f>_xlfn.CEILING.MATH(SUM(I54:I54))</f>
        <v>394</v>
      </c>
      <c r="E54" s="63">
        <v>13</v>
      </c>
      <c r="F54" s="63">
        <f>E54*D54</f>
        <v>5122</v>
      </c>
      <c r="G54" s="63">
        <f>F54</f>
        <v>5122</v>
      </c>
      <c r="I54" s="61">
        <f>393.96</f>
        <v>393.96</v>
      </c>
    </row>
    <row r="55" spans="1:15" ht="9" customHeight="1">
      <c r="A55" s="79">
        <v>37290</v>
      </c>
      <c r="B55" s="80" t="s">
        <v>480</v>
      </c>
      <c r="C55" s="81" t="s">
        <v>442</v>
      </c>
      <c r="D55" s="61">
        <f>_xlfn.CEILING.MATH(I55*1.1)</f>
        <v>3</v>
      </c>
      <c r="E55" s="82">
        <f>60.23*usd</f>
        <v>225.44088999999997</v>
      </c>
      <c r="F55" s="82">
        <f t="shared" ref="F55:F62" si="6">E55*D55</f>
        <v>676.3226699999999</v>
      </c>
      <c r="G55" s="82">
        <f>G54+F55</f>
        <v>5798.3226699999996</v>
      </c>
      <c r="I55" s="61">
        <v>2.2000000000000002</v>
      </c>
    </row>
    <row r="56" spans="1:15" ht="9" customHeight="1">
      <c r="A56" s="79">
        <v>37655</v>
      </c>
      <c r="B56" s="80" t="s">
        <v>481</v>
      </c>
      <c r="C56" s="81" t="s">
        <v>442</v>
      </c>
      <c r="D56" s="61">
        <v>2</v>
      </c>
      <c r="E56" s="82">
        <f>12.97*usd</f>
        <v>48.546709999999997</v>
      </c>
      <c r="F56" s="82">
        <f t="shared" si="6"/>
        <v>97.093419999999995</v>
      </c>
      <c r="G56" s="82">
        <f t="shared" ref="G56:G62" si="7">G55+F56</f>
        <v>5895.4160899999997</v>
      </c>
      <c r="I56" s="61"/>
    </row>
    <row r="57" spans="1:15" ht="9" customHeight="1">
      <c r="A57" s="79">
        <v>38020</v>
      </c>
      <c r="B57" s="80" t="s">
        <v>482</v>
      </c>
      <c r="C57" s="81" t="s">
        <v>442</v>
      </c>
      <c r="D57" s="61">
        <v>2</v>
      </c>
      <c r="E57" s="82">
        <f>12.7*usd</f>
        <v>47.536099999999998</v>
      </c>
      <c r="F57" s="82">
        <f t="shared" si="6"/>
        <v>95.072199999999995</v>
      </c>
      <c r="G57" s="82">
        <f t="shared" si="7"/>
        <v>5990.4882899999993</v>
      </c>
      <c r="I57" s="61"/>
    </row>
    <row r="58" spans="1:15" ht="9" customHeight="1">
      <c r="A58" s="79">
        <v>38386</v>
      </c>
      <c r="B58" s="80" t="s">
        <v>483</v>
      </c>
      <c r="C58" s="81" t="s">
        <v>442</v>
      </c>
      <c r="D58" s="61">
        <v>400</v>
      </c>
      <c r="E58" s="82">
        <f>0.04*usd</f>
        <v>0.14971999999999999</v>
      </c>
      <c r="F58" s="82">
        <f t="shared" si="6"/>
        <v>59.887999999999998</v>
      </c>
      <c r="G58" s="82">
        <f t="shared" si="7"/>
        <v>6050.3762899999992</v>
      </c>
      <c r="I58" s="61"/>
    </row>
    <row r="59" spans="1:15" ht="9" customHeight="1">
      <c r="A59" s="79">
        <v>38751</v>
      </c>
      <c r="B59" s="80" t="s">
        <v>484</v>
      </c>
      <c r="C59" s="81" t="s">
        <v>568</v>
      </c>
      <c r="D59" s="61">
        <f>3*17</f>
        <v>51</v>
      </c>
      <c r="E59" s="82">
        <f>4.86*usd</f>
        <v>18.19098</v>
      </c>
      <c r="F59" s="82">
        <f t="shared" si="6"/>
        <v>927.73997999999995</v>
      </c>
      <c r="G59" s="82">
        <f t="shared" si="7"/>
        <v>6978.1162699999995</v>
      </c>
      <c r="I59" s="61"/>
    </row>
    <row r="60" spans="1:15" ht="9" customHeight="1">
      <c r="A60" s="79">
        <v>39116</v>
      </c>
      <c r="B60" s="80" t="s">
        <v>524</v>
      </c>
      <c r="C60" s="81" t="s">
        <v>568</v>
      </c>
      <c r="D60" s="61">
        <f>_xlfn.CEILING.MATH(I60/7.62)</f>
        <v>6</v>
      </c>
      <c r="E60" s="82">
        <f>281.25*1.2</f>
        <v>337.5</v>
      </c>
      <c r="F60" s="82">
        <f t="shared" si="6"/>
        <v>2025</v>
      </c>
      <c r="G60" s="82">
        <f t="shared" si="7"/>
        <v>9003.1162699999986</v>
      </c>
      <c r="I60" s="61">
        <v>40</v>
      </c>
    </row>
    <row r="61" spans="1:15" ht="9" customHeight="1">
      <c r="A61" s="79">
        <v>39481</v>
      </c>
      <c r="B61" s="80" t="s">
        <v>538</v>
      </c>
      <c r="C61" s="81" t="s">
        <v>485</v>
      </c>
      <c r="D61" s="61">
        <f>I61</f>
        <v>1100</v>
      </c>
      <c r="E61" s="82">
        <f>0.2*usd</f>
        <v>0.74860000000000004</v>
      </c>
      <c r="F61" s="82">
        <f t="shared" si="6"/>
        <v>823.46</v>
      </c>
      <c r="G61" s="82">
        <f t="shared" si="7"/>
        <v>9826.5762699999977</v>
      </c>
      <c r="I61" s="61">
        <f>10*10*11</f>
        <v>1100</v>
      </c>
    </row>
    <row r="62" spans="1:15" ht="9" customHeight="1">
      <c r="A62" s="79">
        <v>39847</v>
      </c>
      <c r="B62" s="48" t="s">
        <v>539</v>
      </c>
      <c r="C62" s="84" t="s">
        <v>485</v>
      </c>
      <c r="D62" s="64">
        <f>I62</f>
        <v>972</v>
      </c>
      <c r="E62" s="65">
        <f>0.2*usd</f>
        <v>0.74860000000000004</v>
      </c>
      <c r="F62" s="65">
        <f t="shared" si="6"/>
        <v>727.63920000000007</v>
      </c>
      <c r="G62" s="82">
        <f t="shared" si="7"/>
        <v>10554.215469999997</v>
      </c>
      <c r="I62" s="61">
        <f>18*18*3</f>
        <v>972</v>
      </c>
    </row>
    <row r="63" spans="1:15" ht="9.5" customHeight="1">
      <c r="A63" s="94">
        <v>36560</v>
      </c>
      <c r="B63" s="85" t="s">
        <v>59</v>
      </c>
      <c r="C63" s="72"/>
      <c r="D63" s="73"/>
      <c r="E63" s="74"/>
      <c r="F63" s="74"/>
      <c r="G63" s="87">
        <f>SUM(F64:F97)</f>
        <v>11473.220266666664</v>
      </c>
      <c r="J63" s="61"/>
      <c r="K63" s="61"/>
      <c r="L63" s="61"/>
      <c r="M63" s="61"/>
      <c r="N63" s="61"/>
      <c r="O63" s="61"/>
    </row>
    <row r="64" spans="1:15" ht="9.5" hidden="1" customHeight="1">
      <c r="A64" s="50">
        <v>36925</v>
      </c>
      <c r="B64" s="45" t="s">
        <v>60</v>
      </c>
      <c r="C64" s="71" t="s">
        <v>439</v>
      </c>
      <c r="D64" s="62"/>
      <c r="E64" s="63">
        <v>39.44</v>
      </c>
      <c r="F64" s="63">
        <f>E64*D64</f>
        <v>0</v>
      </c>
      <c r="G64" s="63">
        <f>F64</f>
        <v>0</v>
      </c>
    </row>
    <row r="65" spans="1:13" ht="9" hidden="1" customHeight="1">
      <c r="A65" s="79">
        <v>37290</v>
      </c>
      <c r="B65" s="80" t="s">
        <v>62</v>
      </c>
      <c r="C65" s="81" t="s">
        <v>439</v>
      </c>
      <c r="D65" s="61"/>
      <c r="E65" s="82">
        <v>6.8</v>
      </c>
      <c r="F65" s="82">
        <f t="shared" ref="F65:F86" si="8">E65*D65</f>
        <v>0</v>
      </c>
      <c r="G65" s="82">
        <f>F65+G64</f>
        <v>0</v>
      </c>
    </row>
    <row r="66" spans="1:13" ht="9" customHeight="1">
      <c r="A66" s="50">
        <v>36926</v>
      </c>
      <c r="B66" s="45" t="s">
        <v>440</v>
      </c>
      <c r="C66" s="71" t="s">
        <v>442</v>
      </c>
      <c r="D66" s="62">
        <f>_xlfn.CEILING.MATH((16.6+5.87+3.4+4.6+21+16.59+7.64+26.12)/6*1.1)</f>
        <v>19</v>
      </c>
      <c r="E66" s="63">
        <v>192</v>
      </c>
      <c r="F66" s="63">
        <f t="shared" si="8"/>
        <v>3648</v>
      </c>
      <c r="G66" s="63">
        <f t="shared" ref="G66:G97" si="9">F66+G65</f>
        <v>3648</v>
      </c>
      <c r="I66" s="61">
        <f>16.6+5.87+3.4+4.6+21+16.59+7.64+26.12</f>
        <v>101.82000000000001</v>
      </c>
      <c r="M66" s="61"/>
    </row>
    <row r="67" spans="1:13" ht="9" customHeight="1">
      <c r="A67" s="79">
        <v>37291</v>
      </c>
      <c r="B67" s="80" t="s">
        <v>441</v>
      </c>
      <c r="C67" s="81" t="s">
        <v>442</v>
      </c>
      <c r="D67" s="61">
        <f>_xlfn.CEILING.MATH((16.6+5.87+3.4+4.6+21+16.59+7.64+26.12)/6*1.1)</f>
        <v>19</v>
      </c>
      <c r="E67" s="82">
        <v>110</v>
      </c>
      <c r="F67" s="82">
        <f t="shared" si="8"/>
        <v>2090</v>
      </c>
      <c r="G67" s="82">
        <f t="shared" si="9"/>
        <v>5738</v>
      </c>
      <c r="I67" s="61">
        <f>16.6+5.87+3.4+4.6+21+16.59+7.64+26.12</f>
        <v>101.82000000000001</v>
      </c>
    </row>
    <row r="68" spans="1:13" ht="9" hidden="1" customHeight="1">
      <c r="A68" s="79">
        <v>37656</v>
      </c>
      <c r="B68" s="80" t="s">
        <v>494</v>
      </c>
      <c r="C68" s="81" t="s">
        <v>439</v>
      </c>
      <c r="D68" s="61"/>
      <c r="E68" s="82">
        <v>10.91</v>
      </c>
      <c r="F68" s="82">
        <f t="shared" si="8"/>
        <v>0</v>
      </c>
      <c r="G68" s="82">
        <f t="shared" si="9"/>
        <v>5738</v>
      </c>
    </row>
    <row r="69" spans="1:13" ht="9" hidden="1" customHeight="1">
      <c r="A69" s="79">
        <v>38021</v>
      </c>
      <c r="B69" s="80" t="s">
        <v>495</v>
      </c>
      <c r="C69" s="42" t="s">
        <v>29</v>
      </c>
      <c r="D69" s="61"/>
      <c r="E69" s="82">
        <v>6.8</v>
      </c>
      <c r="F69" s="82">
        <f t="shared" si="8"/>
        <v>0</v>
      </c>
      <c r="G69" s="82">
        <f t="shared" si="9"/>
        <v>5738</v>
      </c>
    </row>
    <row r="70" spans="1:13" ht="9" hidden="1" customHeight="1">
      <c r="A70" s="79">
        <v>38387</v>
      </c>
      <c r="B70" s="80" t="s">
        <v>496</v>
      </c>
      <c r="C70" s="42" t="s">
        <v>29</v>
      </c>
      <c r="D70" s="61"/>
      <c r="E70" s="82">
        <v>1.8</v>
      </c>
      <c r="F70" s="82">
        <f t="shared" si="8"/>
        <v>0</v>
      </c>
      <c r="G70" s="82">
        <f t="shared" si="9"/>
        <v>5738</v>
      </c>
    </row>
    <row r="71" spans="1:13" ht="9" customHeight="1">
      <c r="A71" s="79">
        <v>38752</v>
      </c>
      <c r="B71" s="80" t="s">
        <v>457</v>
      </c>
      <c r="C71" s="42" t="s">
        <v>29</v>
      </c>
      <c r="D71" s="61">
        <f>_xlfn.CEILING.MATH((5+2+2+5+3+4+6)*1.1)</f>
        <v>30</v>
      </c>
      <c r="E71" s="82">
        <f>4.01*1.2</f>
        <v>4.8119999999999994</v>
      </c>
      <c r="F71" s="82">
        <f t="shared" si="8"/>
        <v>144.35999999999999</v>
      </c>
      <c r="G71" s="82">
        <f t="shared" si="9"/>
        <v>5882.36</v>
      </c>
    </row>
    <row r="72" spans="1:13" ht="9" customHeight="1">
      <c r="A72" s="79">
        <v>39117</v>
      </c>
      <c r="B72" s="80" t="s">
        <v>458</v>
      </c>
      <c r="C72" s="42" t="s">
        <v>29</v>
      </c>
      <c r="D72" s="61">
        <f>_xlfn.CEILING.MATH((5+2+2+5+3+4+6)*1.1)</f>
        <v>30</v>
      </c>
      <c r="E72" s="82">
        <v>2.5</v>
      </c>
      <c r="F72" s="82">
        <f t="shared" si="8"/>
        <v>75</v>
      </c>
      <c r="G72" s="82">
        <f t="shared" si="9"/>
        <v>5957.36</v>
      </c>
    </row>
    <row r="73" spans="1:13" ht="9" hidden="1" customHeight="1">
      <c r="A73" s="79">
        <v>39482</v>
      </c>
      <c r="B73" s="80" t="s">
        <v>497</v>
      </c>
      <c r="C73" s="42" t="s">
        <v>29</v>
      </c>
      <c r="D73" s="61"/>
      <c r="E73" s="82">
        <v>2.0099999999999998</v>
      </c>
      <c r="F73" s="82">
        <f t="shared" si="8"/>
        <v>0</v>
      </c>
      <c r="G73" s="82">
        <f t="shared" si="9"/>
        <v>5957.36</v>
      </c>
    </row>
    <row r="74" spans="1:13" ht="9" hidden="1" customHeight="1">
      <c r="A74" s="79">
        <v>39848</v>
      </c>
      <c r="B74" s="80" t="s">
        <v>498</v>
      </c>
      <c r="C74" s="42" t="s">
        <v>29</v>
      </c>
      <c r="D74" s="61"/>
      <c r="E74" s="82">
        <v>5.89</v>
      </c>
      <c r="F74" s="82">
        <f t="shared" si="8"/>
        <v>0</v>
      </c>
      <c r="G74" s="82">
        <f t="shared" si="9"/>
        <v>5957.36</v>
      </c>
    </row>
    <row r="75" spans="1:13" ht="9" hidden="1" customHeight="1">
      <c r="A75" s="79">
        <v>40213</v>
      </c>
      <c r="B75" s="80" t="s">
        <v>499</v>
      </c>
      <c r="C75" s="42" t="s">
        <v>29</v>
      </c>
      <c r="D75" s="61"/>
      <c r="E75" s="82">
        <v>1.65</v>
      </c>
      <c r="F75" s="82">
        <f t="shared" si="8"/>
        <v>0</v>
      </c>
      <c r="G75" s="82">
        <f t="shared" si="9"/>
        <v>5957.36</v>
      </c>
    </row>
    <row r="76" spans="1:13" ht="9" customHeight="1">
      <c r="A76" s="79">
        <v>40578</v>
      </c>
      <c r="B76" s="80" t="s">
        <v>459</v>
      </c>
      <c r="C76" s="42" t="s">
        <v>29</v>
      </c>
      <c r="D76" s="61">
        <f>_xlfn.CEILING.MATH(D66*1.1)</f>
        <v>21</v>
      </c>
      <c r="E76" s="82">
        <v>2.5</v>
      </c>
      <c r="F76" s="82">
        <f t="shared" si="8"/>
        <v>52.5</v>
      </c>
      <c r="G76" s="82">
        <f t="shared" si="9"/>
        <v>6009.86</v>
      </c>
    </row>
    <row r="77" spans="1:13" ht="9" customHeight="1">
      <c r="A77" s="79">
        <v>40943</v>
      </c>
      <c r="B77" s="80" t="s">
        <v>460</v>
      </c>
      <c r="C77" s="42" t="s">
        <v>29</v>
      </c>
      <c r="D77" s="61">
        <f>_xlfn.CEILING.MATH(D67*1.1)</f>
        <v>21</v>
      </c>
      <c r="E77" s="82">
        <f>1.68*1.2</f>
        <v>2.016</v>
      </c>
      <c r="F77" s="82">
        <f t="shared" si="8"/>
        <v>42.335999999999999</v>
      </c>
      <c r="G77" s="82">
        <f t="shared" si="9"/>
        <v>6052.1959999999999</v>
      </c>
    </row>
    <row r="78" spans="1:13" ht="9" hidden="1" customHeight="1">
      <c r="A78" s="79">
        <v>41309</v>
      </c>
      <c r="B78" s="80" t="s">
        <v>500</v>
      </c>
      <c r="C78" s="42" t="s">
        <v>29</v>
      </c>
      <c r="D78" s="61"/>
      <c r="E78" s="82">
        <v>1.33</v>
      </c>
      <c r="F78" s="82">
        <f t="shared" si="8"/>
        <v>0</v>
      </c>
      <c r="G78" s="82">
        <f t="shared" si="9"/>
        <v>6052.1959999999999</v>
      </c>
    </row>
    <row r="79" spans="1:13" ht="9" hidden="1" customHeight="1">
      <c r="A79" s="79">
        <v>41674</v>
      </c>
      <c r="B79" s="80" t="s">
        <v>501</v>
      </c>
      <c r="C79" s="42" t="s">
        <v>29</v>
      </c>
      <c r="D79" s="61"/>
      <c r="E79" s="82">
        <v>15</v>
      </c>
      <c r="F79" s="82">
        <f t="shared" si="8"/>
        <v>0</v>
      </c>
      <c r="G79" s="82">
        <f t="shared" si="9"/>
        <v>6052.1959999999999</v>
      </c>
    </row>
    <row r="80" spans="1:13" ht="9" hidden="1" customHeight="1">
      <c r="A80" s="79">
        <v>42039</v>
      </c>
      <c r="B80" s="80" t="s">
        <v>502</v>
      </c>
      <c r="C80" s="42" t="s">
        <v>29</v>
      </c>
      <c r="D80" s="61"/>
      <c r="E80" s="82">
        <v>1.56</v>
      </c>
      <c r="F80" s="82">
        <f t="shared" si="8"/>
        <v>0</v>
      </c>
      <c r="G80" s="82">
        <f t="shared" si="9"/>
        <v>6052.1959999999999</v>
      </c>
    </row>
    <row r="81" spans="1:9" ht="9" customHeight="1">
      <c r="A81" s="79">
        <v>42404</v>
      </c>
      <c r="B81" s="80" t="s">
        <v>461</v>
      </c>
      <c r="C81" s="42" t="s">
        <v>29</v>
      </c>
      <c r="D81" s="61">
        <v>63</v>
      </c>
      <c r="E81" s="82">
        <f>10*1.2</f>
        <v>12</v>
      </c>
      <c r="F81" s="82">
        <f t="shared" si="8"/>
        <v>756</v>
      </c>
      <c r="G81" s="82">
        <f t="shared" si="9"/>
        <v>6808.1959999999999</v>
      </c>
      <c r="I81" s="61">
        <f>_xlfn.CEILING.MATH(I66/1.8*1.1)</f>
        <v>63</v>
      </c>
    </row>
    <row r="82" spans="1:9" ht="9" customHeight="1">
      <c r="A82" s="79">
        <v>42770</v>
      </c>
      <c r="B82" s="80" t="s">
        <v>462</v>
      </c>
      <c r="C82" s="42" t="s">
        <v>29</v>
      </c>
      <c r="D82" s="61">
        <v>63</v>
      </c>
      <c r="E82" s="82">
        <f>8*1.2</f>
        <v>9.6</v>
      </c>
      <c r="F82" s="82">
        <f t="shared" si="8"/>
        <v>604.79999999999995</v>
      </c>
      <c r="G82" s="82">
        <f t="shared" si="9"/>
        <v>7412.9960000000001</v>
      </c>
      <c r="I82" s="61">
        <f>_xlfn.CEILING.MATH(I67/1.8*1.1)</f>
        <v>63</v>
      </c>
    </row>
    <row r="83" spans="1:9" ht="9" hidden="1" customHeight="1">
      <c r="A83" s="79">
        <v>43135</v>
      </c>
      <c r="B83" s="80" t="s">
        <v>503</v>
      </c>
      <c r="C83" s="42" t="s">
        <v>29</v>
      </c>
      <c r="D83" s="61"/>
      <c r="E83" s="82">
        <v>6</v>
      </c>
      <c r="F83" s="82">
        <f t="shared" si="8"/>
        <v>0</v>
      </c>
      <c r="G83" s="82">
        <f t="shared" si="9"/>
        <v>7412.9960000000001</v>
      </c>
    </row>
    <row r="84" spans="1:9" ht="9" customHeight="1">
      <c r="A84" s="79">
        <v>43500</v>
      </c>
      <c r="B84" s="80" t="s">
        <v>463</v>
      </c>
      <c r="C84" s="42" t="s">
        <v>29</v>
      </c>
      <c r="D84" s="61">
        <v>2</v>
      </c>
      <c r="E84" s="82">
        <f>35*1.2</f>
        <v>42</v>
      </c>
      <c r="F84" s="82">
        <f t="shared" si="8"/>
        <v>84</v>
      </c>
      <c r="G84" s="82">
        <f t="shared" si="9"/>
        <v>7496.9960000000001</v>
      </c>
      <c r="I84" s="61">
        <f>360/0.5</f>
        <v>720</v>
      </c>
    </row>
    <row r="85" spans="1:9" ht="9" hidden="1" customHeight="1">
      <c r="A85" s="79">
        <v>43865</v>
      </c>
      <c r="B85" s="80" t="s">
        <v>504</v>
      </c>
      <c r="C85" s="42" t="s">
        <v>29</v>
      </c>
      <c r="D85" s="61"/>
      <c r="E85" s="82">
        <v>15</v>
      </c>
      <c r="F85" s="82">
        <f t="shared" si="8"/>
        <v>0</v>
      </c>
      <c r="G85" s="82">
        <f t="shared" si="9"/>
        <v>7496.9960000000001</v>
      </c>
      <c r="I85" s="61"/>
    </row>
    <row r="86" spans="1:9" ht="9" customHeight="1">
      <c r="A86" s="79">
        <v>44231</v>
      </c>
      <c r="B86" s="80" t="s">
        <v>464</v>
      </c>
      <c r="C86" s="42" t="s">
        <v>29</v>
      </c>
      <c r="D86" s="61">
        <f>_xlfn.CEILING.MATH((6*1.1))</f>
        <v>7</v>
      </c>
      <c r="E86" s="82">
        <f>15*1.2</f>
        <v>18</v>
      </c>
      <c r="F86" s="82">
        <f t="shared" si="8"/>
        <v>126</v>
      </c>
      <c r="G86" s="82">
        <f t="shared" si="9"/>
        <v>7622.9960000000001</v>
      </c>
    </row>
    <row r="87" spans="1:9" ht="9" customHeight="1">
      <c r="A87" s="79">
        <v>44596</v>
      </c>
      <c r="B87" s="80" t="s">
        <v>465</v>
      </c>
      <c r="C87" s="42" t="s">
        <v>29</v>
      </c>
      <c r="D87" s="61">
        <f>_xlfn.CEILING.MATH((6*1.1))</f>
        <v>7</v>
      </c>
      <c r="E87" s="82">
        <f>15*1.2</f>
        <v>18</v>
      </c>
      <c r="F87" s="82">
        <f>E87*D87</f>
        <v>126</v>
      </c>
      <c r="G87" s="82">
        <f t="shared" si="9"/>
        <v>7748.9960000000001</v>
      </c>
    </row>
    <row r="88" spans="1:9" ht="9" hidden="1" customHeight="1">
      <c r="A88" s="79">
        <v>44961</v>
      </c>
      <c r="B88" s="80" t="s">
        <v>466</v>
      </c>
      <c r="C88" s="42" t="s">
        <v>29</v>
      </c>
      <c r="D88" s="61"/>
      <c r="E88" s="82">
        <v>15</v>
      </c>
      <c r="F88" s="82">
        <f t="shared" ref="F88:F97" si="10">E88*D88</f>
        <v>0</v>
      </c>
      <c r="G88" s="82">
        <f t="shared" si="9"/>
        <v>7748.9960000000001</v>
      </c>
    </row>
    <row r="89" spans="1:9" ht="9" customHeight="1">
      <c r="A89" s="79">
        <v>45326</v>
      </c>
      <c r="B89" s="80" t="s">
        <v>74</v>
      </c>
      <c r="C89" s="42" t="s">
        <v>72</v>
      </c>
      <c r="D89" s="61">
        <f>_xlfn.CEILING.MATH(I66/1.5)</f>
        <v>68</v>
      </c>
      <c r="E89" s="82">
        <f>2.1*1.2</f>
        <v>2.52</v>
      </c>
      <c r="F89" s="82">
        <f t="shared" si="10"/>
        <v>171.36</v>
      </c>
      <c r="G89" s="82">
        <f t="shared" si="9"/>
        <v>7920.3559999999998</v>
      </c>
    </row>
    <row r="90" spans="1:9" ht="9" customHeight="1">
      <c r="A90" s="79">
        <v>45692</v>
      </c>
      <c r="B90" s="80" t="s">
        <v>73</v>
      </c>
      <c r="C90" s="42" t="s">
        <v>72</v>
      </c>
      <c r="D90" s="61">
        <f>_xlfn.CEILING.MATH(I67/1.5)</f>
        <v>68</v>
      </c>
      <c r="E90" s="82">
        <f>1.18*1.2</f>
        <v>1.4159999999999999</v>
      </c>
      <c r="F90" s="82">
        <f t="shared" si="10"/>
        <v>96.287999999999997</v>
      </c>
      <c r="G90" s="82">
        <f t="shared" si="9"/>
        <v>8016.6439999999993</v>
      </c>
    </row>
    <row r="91" spans="1:9" ht="9" customHeight="1">
      <c r="A91" s="79">
        <v>46057</v>
      </c>
      <c r="B91" s="80" t="s">
        <v>526</v>
      </c>
      <c r="C91" s="42" t="s">
        <v>29</v>
      </c>
      <c r="D91" s="61">
        <f>I91</f>
        <v>17</v>
      </c>
      <c r="E91" s="82">
        <f>27.1*1.2</f>
        <v>32.520000000000003</v>
      </c>
      <c r="F91" s="82">
        <f t="shared" si="10"/>
        <v>552.84</v>
      </c>
      <c r="G91" s="82">
        <f t="shared" si="9"/>
        <v>8569.4839999999986</v>
      </c>
      <c r="I91" s="61">
        <f>_xlfn.CEILING.MATH(((I66/1.5)*0.6)/2.4)</f>
        <v>17</v>
      </c>
    </row>
    <row r="92" spans="1:9" ht="9" customHeight="1">
      <c r="A92" s="79">
        <v>46422</v>
      </c>
      <c r="B92" s="104" t="s">
        <v>525</v>
      </c>
      <c r="C92" s="42" t="s">
        <v>29</v>
      </c>
      <c r="D92" s="61">
        <f>I92</f>
        <v>136</v>
      </c>
      <c r="E92" s="82">
        <f>1.9*1.2</f>
        <v>2.2799999999999998</v>
      </c>
      <c r="F92" s="82">
        <f t="shared" si="10"/>
        <v>310.08</v>
      </c>
      <c r="G92" s="82">
        <f t="shared" si="9"/>
        <v>8879.5639999999985</v>
      </c>
      <c r="I92" s="61">
        <v>136</v>
      </c>
    </row>
    <row r="93" spans="1:9" ht="9" customHeight="1">
      <c r="A93" s="79">
        <v>46787</v>
      </c>
      <c r="B93" s="80" t="s">
        <v>51</v>
      </c>
      <c r="C93" s="42" t="s">
        <v>29</v>
      </c>
      <c r="D93" s="61">
        <f t="shared" ref="D93:D94" si="11">I93</f>
        <v>136</v>
      </c>
      <c r="E93" s="82">
        <f>2.22*1.2</f>
        <v>2.6640000000000001</v>
      </c>
      <c r="F93" s="82">
        <f t="shared" si="10"/>
        <v>362.30400000000003</v>
      </c>
      <c r="G93" s="82">
        <f t="shared" si="9"/>
        <v>9241.8679999999986</v>
      </c>
      <c r="I93" s="61">
        <v>136</v>
      </c>
    </row>
    <row r="94" spans="1:9" ht="9" customHeight="1">
      <c r="A94" s="79">
        <v>47153</v>
      </c>
      <c r="B94" s="80" t="s">
        <v>52</v>
      </c>
      <c r="C94" s="42" t="s">
        <v>29</v>
      </c>
      <c r="D94" s="61">
        <f t="shared" si="11"/>
        <v>136</v>
      </c>
      <c r="E94" s="82">
        <f>2.22*1.2</f>
        <v>2.6640000000000001</v>
      </c>
      <c r="F94" s="82">
        <f t="shared" si="10"/>
        <v>362.30400000000003</v>
      </c>
      <c r="G94" s="82">
        <f t="shared" si="9"/>
        <v>9604.1719999999987</v>
      </c>
      <c r="I94" s="61">
        <v>136</v>
      </c>
    </row>
    <row r="95" spans="1:9" ht="9" customHeight="1">
      <c r="A95" s="79">
        <v>47518</v>
      </c>
      <c r="B95" s="80" t="s">
        <v>53</v>
      </c>
      <c r="C95" s="42" t="s">
        <v>29</v>
      </c>
      <c r="D95" s="61">
        <f>_xlfn.CEILING.MATH(I95)</f>
        <v>136</v>
      </c>
      <c r="E95" s="82">
        <f>2.05*1.2</f>
        <v>2.4599999999999995</v>
      </c>
      <c r="F95" s="82">
        <f t="shared" si="10"/>
        <v>334.55999999999995</v>
      </c>
      <c r="G95" s="82">
        <f t="shared" si="9"/>
        <v>9938.7319999999982</v>
      </c>
      <c r="I95" s="61">
        <f>(I66/1.5)*2</f>
        <v>135.76000000000002</v>
      </c>
    </row>
    <row r="96" spans="1:9" ht="9" customHeight="1">
      <c r="A96" s="79">
        <v>47883</v>
      </c>
      <c r="B96" s="80" t="s">
        <v>54</v>
      </c>
      <c r="C96" s="42" t="s">
        <v>29</v>
      </c>
      <c r="D96" s="61">
        <f>I96</f>
        <v>37.711111111111116</v>
      </c>
      <c r="E96" s="82">
        <f>33.23*1.2</f>
        <v>39.875999999999998</v>
      </c>
      <c r="F96" s="82">
        <f t="shared" si="10"/>
        <v>1503.7682666666667</v>
      </c>
      <c r="G96" s="82">
        <f t="shared" si="9"/>
        <v>11442.500266666664</v>
      </c>
      <c r="I96" s="61">
        <f>+I66/1.5*2*0.5/1.8</f>
        <v>37.711111111111116</v>
      </c>
    </row>
    <row r="97" spans="1:7" ht="9" customHeight="1">
      <c r="A97" s="51">
        <v>48248</v>
      </c>
      <c r="B97" s="48" t="s">
        <v>467</v>
      </c>
      <c r="C97" s="49" t="s">
        <v>29</v>
      </c>
      <c r="D97" s="64">
        <f>_xlfn.CEILING.MATH(3*1.1)</f>
        <v>4</v>
      </c>
      <c r="E97" s="65">
        <f>6.4*1.2</f>
        <v>7.68</v>
      </c>
      <c r="F97" s="65">
        <f t="shared" si="10"/>
        <v>30.72</v>
      </c>
      <c r="G97" s="65">
        <f t="shared" si="9"/>
        <v>11473.220266666664</v>
      </c>
    </row>
    <row r="98" spans="1:7" ht="9.5" customHeight="1">
      <c r="A98" s="114">
        <v>36561</v>
      </c>
      <c r="B98" s="95" t="s">
        <v>63</v>
      </c>
      <c r="C98" s="96"/>
      <c r="D98" s="97"/>
      <c r="E98" s="98"/>
      <c r="F98" s="98"/>
      <c r="G98" s="103">
        <f>SUM(F99:F103)</f>
        <v>1135.67</v>
      </c>
    </row>
    <row r="99" spans="1:7" ht="9.5" customHeight="1">
      <c r="A99" s="50">
        <v>36927</v>
      </c>
      <c r="B99" s="45" t="s">
        <v>64</v>
      </c>
      <c r="C99" s="46" t="s">
        <v>29</v>
      </c>
      <c r="D99" s="62">
        <f>_xlfn.CEILING.MATH((16.6+5.87+3.4+4.6+21+16.59+7.64+26.12)/5*1.1)</f>
        <v>23</v>
      </c>
      <c r="E99" s="63">
        <v>33.29</v>
      </c>
      <c r="F99" s="63">
        <f>E99*D99</f>
        <v>765.67</v>
      </c>
      <c r="G99" s="63">
        <f>F99</f>
        <v>765.67</v>
      </c>
    </row>
    <row r="100" spans="1:7" ht="9" customHeight="1">
      <c r="A100" s="79">
        <v>37292</v>
      </c>
      <c r="B100" s="80" t="s">
        <v>65</v>
      </c>
      <c r="C100" s="42" t="s">
        <v>29</v>
      </c>
      <c r="D100" s="61">
        <f>_xlfn.CEILING.MATH(D99*1.1)</f>
        <v>26</v>
      </c>
      <c r="E100" s="82">
        <v>5</v>
      </c>
      <c r="F100" s="82">
        <f t="shared" ref="F100:F103" si="12">E100*D100</f>
        <v>130</v>
      </c>
      <c r="G100" s="82">
        <f>F100+G99</f>
        <v>895.67</v>
      </c>
    </row>
    <row r="101" spans="1:7" ht="9" customHeight="1">
      <c r="A101" s="79">
        <v>37657</v>
      </c>
      <c r="B101" s="80" t="s">
        <v>66</v>
      </c>
      <c r="C101" s="42" t="s">
        <v>29</v>
      </c>
      <c r="D101" s="61">
        <f>_xlfn.CEILING.MATH((5+2+2+5+3+4+6)*1.1)</f>
        <v>30</v>
      </c>
      <c r="E101" s="82">
        <v>5</v>
      </c>
      <c r="F101" s="82">
        <f t="shared" si="12"/>
        <v>150</v>
      </c>
      <c r="G101" s="82">
        <f t="shared" ref="G101:G103" si="13">F101+G100</f>
        <v>1045.67</v>
      </c>
    </row>
    <row r="102" spans="1:7" ht="9" customHeight="1">
      <c r="A102" s="79">
        <v>38022</v>
      </c>
      <c r="B102" s="80" t="s">
        <v>67</v>
      </c>
      <c r="C102" s="42" t="s">
        <v>29</v>
      </c>
      <c r="D102" s="61">
        <f>_xlfn.CEILING.MATH(D13*1.1)</f>
        <v>2</v>
      </c>
      <c r="E102" s="82">
        <v>5</v>
      </c>
      <c r="F102" s="82">
        <f t="shared" si="12"/>
        <v>10</v>
      </c>
      <c r="G102" s="82">
        <f t="shared" si="13"/>
        <v>1055.67</v>
      </c>
    </row>
    <row r="103" spans="1:7" ht="9" customHeight="1">
      <c r="A103" s="51">
        <v>38388</v>
      </c>
      <c r="B103" s="48" t="s">
        <v>68</v>
      </c>
      <c r="C103" s="49" t="s">
        <v>69</v>
      </c>
      <c r="D103" s="64">
        <v>2</v>
      </c>
      <c r="E103" s="65">
        <v>40</v>
      </c>
      <c r="F103" s="65">
        <f t="shared" si="12"/>
        <v>80</v>
      </c>
      <c r="G103" s="65">
        <f t="shared" si="13"/>
        <v>1135.67</v>
      </c>
    </row>
    <row r="104" spans="1:7" ht="9.5" customHeight="1">
      <c r="A104" s="94">
        <v>36561</v>
      </c>
      <c r="B104" s="85" t="s">
        <v>70</v>
      </c>
      <c r="C104" s="72"/>
      <c r="D104" s="73"/>
      <c r="E104" s="74"/>
      <c r="F104" s="74"/>
      <c r="G104" s="87">
        <f>SUM(F105:F136)</f>
        <v>18734.160000000007</v>
      </c>
    </row>
    <row r="105" spans="1:7" ht="9.5" customHeight="1">
      <c r="A105" s="50">
        <v>36927</v>
      </c>
      <c r="B105" s="45" t="s">
        <v>71</v>
      </c>
      <c r="C105" s="46" t="s">
        <v>72</v>
      </c>
      <c r="D105" s="62">
        <v>132</v>
      </c>
      <c r="E105" s="63">
        <v>2.23</v>
      </c>
      <c r="F105" s="63">
        <f>D105*E105</f>
        <v>294.36</v>
      </c>
      <c r="G105" s="63">
        <f>F105</f>
        <v>294.36</v>
      </c>
    </row>
    <row r="106" spans="1:7" ht="9" customHeight="1">
      <c r="A106" s="79">
        <v>37292</v>
      </c>
      <c r="B106" s="80" t="s">
        <v>73</v>
      </c>
      <c r="C106" s="42" t="s">
        <v>72</v>
      </c>
      <c r="D106" s="61">
        <v>132</v>
      </c>
      <c r="E106" s="82">
        <v>1.18</v>
      </c>
      <c r="F106" s="82">
        <f t="shared" ref="F106:F136" si="14">D106*E106</f>
        <v>155.76</v>
      </c>
      <c r="G106" s="82">
        <f>F106+G105</f>
        <v>450.12</v>
      </c>
    </row>
    <row r="107" spans="1:7" ht="9" customHeight="1">
      <c r="A107" s="79">
        <v>37657</v>
      </c>
      <c r="B107" s="80" t="s">
        <v>74</v>
      </c>
      <c r="C107" s="42" t="s">
        <v>72</v>
      </c>
      <c r="D107" s="61">
        <v>10</v>
      </c>
      <c r="E107" s="82">
        <v>2.1</v>
      </c>
      <c r="F107" s="82">
        <f t="shared" si="14"/>
        <v>21</v>
      </c>
      <c r="G107" s="82">
        <f t="shared" ref="G107:G136" si="15">F107+G106</f>
        <v>471.12</v>
      </c>
    </row>
    <row r="108" spans="1:7" ht="9" customHeight="1">
      <c r="A108" s="79">
        <v>38022</v>
      </c>
      <c r="B108" s="80" t="s">
        <v>75</v>
      </c>
      <c r="C108" s="42" t="s">
        <v>29</v>
      </c>
      <c r="D108" s="61">
        <v>14</v>
      </c>
      <c r="E108" s="82">
        <v>51.57</v>
      </c>
      <c r="F108" s="82">
        <f t="shared" si="14"/>
        <v>721.98</v>
      </c>
      <c r="G108" s="82">
        <f t="shared" si="15"/>
        <v>1193.0999999999999</v>
      </c>
    </row>
    <row r="109" spans="1:7" ht="9" customHeight="1">
      <c r="A109" s="79">
        <v>38388</v>
      </c>
      <c r="B109" s="80" t="s">
        <v>76</v>
      </c>
      <c r="C109" s="42" t="s">
        <v>29</v>
      </c>
      <c r="D109" s="61">
        <v>2</v>
      </c>
      <c r="E109" s="82">
        <v>2.4500000000000002</v>
      </c>
      <c r="F109" s="82">
        <f t="shared" si="14"/>
        <v>4.9000000000000004</v>
      </c>
      <c r="G109" s="82">
        <f t="shared" si="15"/>
        <v>1198</v>
      </c>
    </row>
    <row r="110" spans="1:7" ht="9" customHeight="1">
      <c r="A110" s="79">
        <v>38753</v>
      </c>
      <c r="B110" s="80" t="s">
        <v>77</v>
      </c>
      <c r="C110" s="42" t="s">
        <v>29</v>
      </c>
      <c r="D110" s="61">
        <v>10</v>
      </c>
      <c r="E110" s="82">
        <v>1.76</v>
      </c>
      <c r="F110" s="82">
        <f t="shared" si="14"/>
        <v>17.600000000000001</v>
      </c>
      <c r="G110" s="82">
        <f t="shared" si="15"/>
        <v>1215.5999999999999</v>
      </c>
    </row>
    <row r="111" spans="1:7" ht="9" customHeight="1">
      <c r="A111" s="79">
        <v>39118</v>
      </c>
      <c r="B111" s="104" t="s">
        <v>505</v>
      </c>
      <c r="C111" s="42" t="s">
        <v>29</v>
      </c>
      <c r="D111" s="61">
        <v>220</v>
      </c>
      <c r="E111" s="82">
        <v>55</v>
      </c>
      <c r="F111" s="82">
        <f t="shared" si="14"/>
        <v>12100</v>
      </c>
      <c r="G111" s="82">
        <f t="shared" si="15"/>
        <v>13315.6</v>
      </c>
    </row>
    <row r="112" spans="1:7" ht="9" customHeight="1">
      <c r="A112" s="79">
        <v>39483</v>
      </c>
      <c r="B112" s="80" t="s">
        <v>78</v>
      </c>
      <c r="C112" s="42" t="s">
        <v>29</v>
      </c>
      <c r="D112" s="61">
        <v>16</v>
      </c>
      <c r="E112" s="82">
        <v>7.29</v>
      </c>
      <c r="F112" s="82">
        <f t="shared" si="14"/>
        <v>116.64</v>
      </c>
      <c r="G112" s="82">
        <f t="shared" si="15"/>
        <v>13432.24</v>
      </c>
    </row>
    <row r="113" spans="1:7" ht="9" customHeight="1">
      <c r="A113" s="79">
        <v>39849</v>
      </c>
      <c r="B113" s="80" t="s">
        <v>79</v>
      </c>
      <c r="C113" s="42" t="s">
        <v>29</v>
      </c>
      <c r="D113" s="61">
        <v>147</v>
      </c>
      <c r="E113" s="82">
        <v>1.66</v>
      </c>
      <c r="F113" s="82">
        <f t="shared" si="14"/>
        <v>244.01999999999998</v>
      </c>
      <c r="G113" s="82">
        <f t="shared" si="15"/>
        <v>13676.26</v>
      </c>
    </row>
    <row r="114" spans="1:7" ht="9" customHeight="1">
      <c r="A114" s="79">
        <v>40214</v>
      </c>
      <c r="B114" s="80" t="s">
        <v>80</v>
      </c>
      <c r="C114" s="42" t="s">
        <v>29</v>
      </c>
      <c r="D114" s="61">
        <v>4</v>
      </c>
      <c r="E114" s="82">
        <v>10</v>
      </c>
      <c r="F114" s="82">
        <f t="shared" si="14"/>
        <v>40</v>
      </c>
      <c r="G114" s="82">
        <f t="shared" si="15"/>
        <v>13716.26</v>
      </c>
    </row>
    <row r="115" spans="1:7" ht="9" customHeight="1">
      <c r="A115" s="79">
        <v>40579</v>
      </c>
      <c r="B115" s="80" t="s">
        <v>81</v>
      </c>
      <c r="C115" s="42" t="s">
        <v>29</v>
      </c>
      <c r="D115" s="61">
        <v>8</v>
      </c>
      <c r="E115" s="82">
        <v>9</v>
      </c>
      <c r="F115" s="82">
        <f t="shared" si="14"/>
        <v>72</v>
      </c>
      <c r="G115" s="82">
        <f t="shared" si="15"/>
        <v>13788.26</v>
      </c>
    </row>
    <row r="116" spans="1:7" ht="9" customHeight="1">
      <c r="A116" s="79">
        <v>40944</v>
      </c>
      <c r="B116" s="80" t="s">
        <v>527</v>
      </c>
      <c r="C116" s="42" t="s">
        <v>61</v>
      </c>
      <c r="D116" s="61">
        <v>40</v>
      </c>
      <c r="E116" s="82">
        <v>15</v>
      </c>
      <c r="F116" s="82">
        <f t="shared" si="14"/>
        <v>600</v>
      </c>
      <c r="G116" s="82">
        <f t="shared" si="15"/>
        <v>14388.26</v>
      </c>
    </row>
    <row r="117" spans="1:7" ht="9" customHeight="1">
      <c r="A117" s="79">
        <v>41310</v>
      </c>
      <c r="B117" s="80" t="s">
        <v>528</v>
      </c>
      <c r="C117" s="42" t="s">
        <v>29</v>
      </c>
      <c r="D117" s="61">
        <v>25</v>
      </c>
      <c r="E117" s="82">
        <v>3.7</v>
      </c>
      <c r="F117" s="82">
        <f t="shared" si="14"/>
        <v>92.5</v>
      </c>
      <c r="G117" s="82">
        <f t="shared" si="15"/>
        <v>14480.76</v>
      </c>
    </row>
    <row r="118" spans="1:7" ht="9" customHeight="1">
      <c r="A118" s="79">
        <v>41675</v>
      </c>
      <c r="B118" s="80" t="s">
        <v>506</v>
      </c>
      <c r="C118" s="81" t="s">
        <v>568</v>
      </c>
      <c r="D118" s="61">
        <f>30*5</f>
        <v>150</v>
      </c>
      <c r="E118" s="82">
        <v>5</v>
      </c>
      <c r="F118" s="82">
        <f t="shared" si="14"/>
        <v>750</v>
      </c>
      <c r="G118" s="82">
        <f t="shared" si="15"/>
        <v>15230.76</v>
      </c>
    </row>
    <row r="119" spans="1:7" ht="9" customHeight="1">
      <c r="A119" s="79">
        <v>43501</v>
      </c>
      <c r="B119" s="80" t="s">
        <v>487</v>
      </c>
      <c r="C119" s="81" t="s">
        <v>568</v>
      </c>
      <c r="D119" s="61">
        <f>_xlfn.CEILING.MATH(106.82*1.2)</f>
        <v>129</v>
      </c>
      <c r="E119" s="82">
        <v>2.5</v>
      </c>
      <c r="F119" s="82">
        <f t="shared" si="14"/>
        <v>322.5</v>
      </c>
      <c r="G119" s="82">
        <f t="shared" si="15"/>
        <v>15553.26</v>
      </c>
    </row>
    <row r="120" spans="1:7" ht="9" customHeight="1">
      <c r="A120" s="79">
        <v>43866</v>
      </c>
      <c r="B120" s="80" t="s">
        <v>488</v>
      </c>
      <c r="C120" s="81" t="s">
        <v>568</v>
      </c>
      <c r="D120" s="61">
        <f t="shared" ref="D120:D122" si="16">_xlfn.CEILING.MATH(106.82*1.2)</f>
        <v>129</v>
      </c>
      <c r="E120" s="82">
        <v>2.5</v>
      </c>
      <c r="F120" s="82">
        <f t="shared" si="14"/>
        <v>322.5</v>
      </c>
      <c r="G120" s="82">
        <f t="shared" si="15"/>
        <v>15875.76</v>
      </c>
    </row>
    <row r="121" spans="1:7" ht="9" customHeight="1">
      <c r="A121" s="79">
        <v>44232</v>
      </c>
      <c r="B121" s="80" t="s">
        <v>489</v>
      </c>
      <c r="C121" s="81" t="s">
        <v>568</v>
      </c>
      <c r="D121" s="61">
        <f t="shared" si="16"/>
        <v>129</v>
      </c>
      <c r="E121" s="82">
        <v>2.5</v>
      </c>
      <c r="F121" s="82">
        <f t="shared" si="14"/>
        <v>322.5</v>
      </c>
      <c r="G121" s="82">
        <f t="shared" si="15"/>
        <v>16198.26</v>
      </c>
    </row>
    <row r="122" spans="1:7" ht="9" customHeight="1">
      <c r="A122" s="79">
        <v>44597</v>
      </c>
      <c r="B122" s="80" t="s">
        <v>490</v>
      </c>
      <c r="C122" s="81" t="s">
        <v>568</v>
      </c>
      <c r="D122" s="61">
        <f t="shared" si="16"/>
        <v>129</v>
      </c>
      <c r="E122" s="82">
        <v>2.5</v>
      </c>
      <c r="F122" s="82">
        <f t="shared" si="14"/>
        <v>322.5</v>
      </c>
      <c r="G122" s="82">
        <f t="shared" si="15"/>
        <v>16520.760000000002</v>
      </c>
    </row>
    <row r="123" spans="1:7" ht="9" customHeight="1">
      <c r="A123" s="79">
        <v>44962</v>
      </c>
      <c r="B123" s="80" t="s">
        <v>529</v>
      </c>
      <c r="C123" s="81" t="s">
        <v>568</v>
      </c>
      <c r="D123" s="61">
        <v>320</v>
      </c>
      <c r="E123" s="82">
        <v>1.56</v>
      </c>
      <c r="F123" s="82">
        <f t="shared" si="14"/>
        <v>499.20000000000005</v>
      </c>
      <c r="G123" s="82">
        <f t="shared" si="15"/>
        <v>17019.960000000003</v>
      </c>
    </row>
    <row r="124" spans="1:7" ht="9" customHeight="1">
      <c r="A124" s="79">
        <v>45327</v>
      </c>
      <c r="B124" s="80" t="s">
        <v>530</v>
      </c>
      <c r="C124" s="81" t="s">
        <v>568</v>
      </c>
      <c r="D124" s="61">
        <v>320</v>
      </c>
      <c r="E124" s="82">
        <v>1.56</v>
      </c>
      <c r="F124" s="82">
        <f t="shared" si="14"/>
        <v>499.20000000000005</v>
      </c>
      <c r="G124" s="82">
        <f t="shared" si="15"/>
        <v>17519.160000000003</v>
      </c>
    </row>
    <row r="125" spans="1:7" ht="9" customHeight="1">
      <c r="A125" s="79">
        <v>45693</v>
      </c>
      <c r="B125" s="80" t="s">
        <v>531</v>
      </c>
      <c r="C125" s="81" t="s">
        <v>568</v>
      </c>
      <c r="D125" s="61">
        <v>320</v>
      </c>
      <c r="E125" s="82">
        <v>1.56</v>
      </c>
      <c r="F125" s="82">
        <f t="shared" si="14"/>
        <v>499.20000000000005</v>
      </c>
      <c r="G125" s="82">
        <f t="shared" si="15"/>
        <v>18018.360000000004</v>
      </c>
    </row>
    <row r="126" spans="1:7" ht="9" customHeight="1">
      <c r="A126" s="79">
        <v>46058</v>
      </c>
      <c r="B126" s="80" t="s">
        <v>532</v>
      </c>
      <c r="C126" s="42" t="s">
        <v>29</v>
      </c>
      <c r="D126" s="61">
        <v>30</v>
      </c>
      <c r="E126" s="82">
        <v>0.11</v>
      </c>
      <c r="F126" s="82">
        <f t="shared" si="14"/>
        <v>3.3</v>
      </c>
      <c r="G126" s="82">
        <f t="shared" si="15"/>
        <v>18021.660000000003</v>
      </c>
    </row>
    <row r="127" spans="1:7" ht="9" customHeight="1">
      <c r="A127" s="79">
        <v>46423</v>
      </c>
      <c r="B127" s="80" t="s">
        <v>491</v>
      </c>
      <c r="C127" s="42" t="s">
        <v>29</v>
      </c>
      <c r="D127" s="61">
        <v>30</v>
      </c>
      <c r="E127" s="82">
        <v>0.18</v>
      </c>
      <c r="F127" s="82">
        <f t="shared" si="14"/>
        <v>5.3999999999999995</v>
      </c>
      <c r="G127" s="82">
        <f t="shared" si="15"/>
        <v>18027.060000000005</v>
      </c>
    </row>
    <row r="128" spans="1:7" ht="9" customHeight="1">
      <c r="A128" s="79">
        <v>46788</v>
      </c>
      <c r="B128" s="80" t="s">
        <v>533</v>
      </c>
      <c r="C128" s="42" t="s">
        <v>29</v>
      </c>
      <c r="D128" s="61">
        <v>30</v>
      </c>
      <c r="E128" s="82">
        <v>0.18</v>
      </c>
      <c r="F128" s="82">
        <f t="shared" si="14"/>
        <v>5.3999999999999995</v>
      </c>
      <c r="G128" s="82">
        <f t="shared" si="15"/>
        <v>18032.460000000006</v>
      </c>
    </row>
    <row r="129" spans="1:7" ht="9" customHeight="1">
      <c r="A129" s="79">
        <v>47154</v>
      </c>
      <c r="B129" s="80" t="s">
        <v>534</v>
      </c>
      <c r="C129" s="42" t="s">
        <v>29</v>
      </c>
      <c r="D129" s="61">
        <v>100</v>
      </c>
      <c r="E129" s="82">
        <v>0.52</v>
      </c>
      <c r="F129" s="82">
        <f t="shared" si="14"/>
        <v>52</v>
      </c>
      <c r="G129" s="82">
        <f t="shared" si="15"/>
        <v>18084.460000000006</v>
      </c>
    </row>
    <row r="130" spans="1:7" ht="9" customHeight="1">
      <c r="A130" s="79">
        <v>47519</v>
      </c>
      <c r="B130" s="80" t="s">
        <v>492</v>
      </c>
      <c r="C130" s="42" t="s">
        <v>29</v>
      </c>
      <c r="D130" s="61">
        <v>100</v>
      </c>
      <c r="E130" s="82">
        <v>0.18</v>
      </c>
      <c r="F130" s="82">
        <f t="shared" si="14"/>
        <v>18</v>
      </c>
      <c r="G130" s="82">
        <f t="shared" si="15"/>
        <v>18102.460000000006</v>
      </c>
    </row>
    <row r="131" spans="1:7" ht="9" customHeight="1">
      <c r="A131" s="79">
        <v>47884</v>
      </c>
      <c r="B131" s="80" t="s">
        <v>535</v>
      </c>
      <c r="C131" s="42" t="s">
        <v>29</v>
      </c>
      <c r="D131" s="61">
        <v>100</v>
      </c>
      <c r="E131" s="82">
        <v>0.28000000000000003</v>
      </c>
      <c r="F131" s="82">
        <f t="shared" si="14"/>
        <v>28.000000000000004</v>
      </c>
      <c r="G131" s="82">
        <f t="shared" si="15"/>
        <v>18130.460000000006</v>
      </c>
    </row>
    <row r="132" spans="1:7" ht="9" customHeight="1">
      <c r="A132" s="79">
        <v>48249</v>
      </c>
      <c r="B132" s="80" t="s">
        <v>493</v>
      </c>
      <c r="C132" s="42" t="s">
        <v>29</v>
      </c>
      <c r="D132" s="61">
        <v>100</v>
      </c>
      <c r="E132" s="82">
        <v>0.65</v>
      </c>
      <c r="F132" s="82">
        <f t="shared" si="14"/>
        <v>65</v>
      </c>
      <c r="G132" s="82">
        <f t="shared" si="15"/>
        <v>18195.460000000006</v>
      </c>
    </row>
    <row r="133" spans="1:7" ht="9" customHeight="1">
      <c r="A133" s="79">
        <v>48615</v>
      </c>
      <c r="B133" s="80" t="s">
        <v>82</v>
      </c>
      <c r="C133" s="42" t="s">
        <v>29</v>
      </c>
      <c r="D133" s="61">
        <v>100</v>
      </c>
      <c r="E133" s="82">
        <v>3.9</v>
      </c>
      <c r="F133" s="82">
        <f t="shared" si="14"/>
        <v>390</v>
      </c>
      <c r="G133" s="82">
        <f t="shared" si="15"/>
        <v>18585.460000000006</v>
      </c>
    </row>
    <row r="134" spans="1:7" ht="9" customHeight="1">
      <c r="A134" s="79">
        <v>48980</v>
      </c>
      <c r="B134" s="80" t="s">
        <v>83</v>
      </c>
      <c r="C134" s="42" t="s">
        <v>84</v>
      </c>
      <c r="D134" s="61">
        <v>3</v>
      </c>
      <c r="E134" s="82">
        <v>10.9</v>
      </c>
      <c r="F134" s="82">
        <f t="shared" si="14"/>
        <v>32.700000000000003</v>
      </c>
      <c r="G134" s="82">
        <f t="shared" si="15"/>
        <v>18618.160000000007</v>
      </c>
    </row>
    <row r="135" spans="1:7" ht="9" customHeight="1">
      <c r="A135" s="79">
        <v>49345</v>
      </c>
      <c r="B135" s="80" t="s">
        <v>85</v>
      </c>
      <c r="C135" s="42" t="s">
        <v>84</v>
      </c>
      <c r="D135" s="61">
        <v>4</v>
      </c>
      <c r="E135" s="82">
        <v>15</v>
      </c>
      <c r="F135" s="82">
        <f t="shared" si="14"/>
        <v>60</v>
      </c>
      <c r="G135" s="82">
        <f t="shared" si="15"/>
        <v>18678.160000000007</v>
      </c>
    </row>
    <row r="136" spans="1:7" ht="9" customHeight="1">
      <c r="A136" s="79">
        <v>49710</v>
      </c>
      <c r="B136" s="48" t="s">
        <v>86</v>
      </c>
      <c r="C136" s="49" t="s">
        <v>29</v>
      </c>
      <c r="D136" s="64">
        <v>8</v>
      </c>
      <c r="E136" s="65">
        <v>7</v>
      </c>
      <c r="F136" s="65">
        <f t="shared" si="14"/>
        <v>56</v>
      </c>
      <c r="G136" s="82">
        <f t="shared" si="15"/>
        <v>18734.160000000007</v>
      </c>
    </row>
    <row r="137" spans="1:7" ht="9.5" customHeight="1">
      <c r="A137" s="107" t="s">
        <v>87</v>
      </c>
      <c r="B137" s="111" t="s">
        <v>88</v>
      </c>
      <c r="C137" s="108"/>
      <c r="D137" s="90"/>
      <c r="E137" s="91"/>
      <c r="F137" s="91"/>
      <c r="G137" s="92">
        <f>SUM(F138:F196)</f>
        <v>1231.0671851851857</v>
      </c>
    </row>
    <row r="138" spans="1:7" ht="9.5" customHeight="1">
      <c r="A138" s="44" t="s">
        <v>89</v>
      </c>
      <c r="B138" s="45" t="s">
        <v>90</v>
      </c>
      <c r="C138" s="46" t="s">
        <v>29</v>
      </c>
      <c r="D138" s="62">
        <v>2</v>
      </c>
      <c r="E138" s="63">
        <v>4567.2700000000004</v>
      </c>
      <c r="F138" s="63">
        <f>+(((E138/36)/30)*D138)*$F$2</f>
        <v>236.82140740740743</v>
      </c>
      <c r="G138" s="63">
        <f>F138</f>
        <v>236.82140740740743</v>
      </c>
    </row>
    <row r="139" spans="1:7" ht="9" customHeight="1">
      <c r="A139" s="83" t="s">
        <v>91</v>
      </c>
      <c r="B139" s="80" t="s">
        <v>92</v>
      </c>
      <c r="C139" s="42" t="s">
        <v>29</v>
      </c>
      <c r="D139" s="61">
        <v>2</v>
      </c>
      <c r="E139" s="82">
        <v>23.97</v>
      </c>
      <c r="F139" s="82">
        <f t="shared" ref="F139:F196" si="17">+(((E139/36)/30)*D139)*$F$2</f>
        <v>1.2428888888888889</v>
      </c>
      <c r="G139" s="82">
        <f>F139+G138</f>
        <v>238.06429629629633</v>
      </c>
    </row>
    <row r="140" spans="1:7" ht="9" customHeight="1">
      <c r="A140" s="83" t="s">
        <v>93</v>
      </c>
      <c r="B140" s="80" t="s">
        <v>94</v>
      </c>
      <c r="C140" s="42" t="s">
        <v>29</v>
      </c>
      <c r="D140" s="61">
        <v>2</v>
      </c>
      <c r="E140" s="82">
        <v>1036.53</v>
      </c>
      <c r="F140" s="82">
        <f t="shared" si="17"/>
        <v>53.746000000000002</v>
      </c>
      <c r="G140" s="82">
        <f t="shared" ref="G140:G196" si="18">F140+G139</f>
        <v>291.81029629629631</v>
      </c>
    </row>
    <row r="141" spans="1:7" ht="9" customHeight="1">
      <c r="A141" s="83" t="s">
        <v>95</v>
      </c>
      <c r="B141" s="80" t="s">
        <v>96</v>
      </c>
      <c r="C141" s="42" t="s">
        <v>29</v>
      </c>
      <c r="D141" s="61">
        <v>1</v>
      </c>
      <c r="E141" s="82">
        <v>20.399999999999999</v>
      </c>
      <c r="F141" s="82">
        <f t="shared" si="17"/>
        <v>0.52888888888888885</v>
      </c>
      <c r="G141" s="82">
        <f t="shared" si="18"/>
        <v>292.33918518518522</v>
      </c>
    </row>
    <row r="142" spans="1:7" ht="9" customHeight="1">
      <c r="A142" s="83" t="s">
        <v>97</v>
      </c>
      <c r="B142" s="80" t="s">
        <v>98</v>
      </c>
      <c r="C142" s="42" t="s">
        <v>29</v>
      </c>
      <c r="D142" s="61">
        <v>1</v>
      </c>
      <c r="E142" s="82">
        <v>22.6</v>
      </c>
      <c r="F142" s="82">
        <f t="shared" si="17"/>
        <v>0.58592592592592585</v>
      </c>
      <c r="G142" s="82">
        <f t="shared" si="18"/>
        <v>292.92511111111116</v>
      </c>
    </row>
    <row r="143" spans="1:7" ht="9" customHeight="1">
      <c r="A143" s="83" t="s">
        <v>99</v>
      </c>
      <c r="B143" s="80" t="s">
        <v>100</v>
      </c>
      <c r="C143" s="42" t="s">
        <v>29</v>
      </c>
      <c r="D143" s="61">
        <v>2</v>
      </c>
      <c r="E143" s="82">
        <v>55.85</v>
      </c>
      <c r="F143" s="82">
        <f t="shared" si="17"/>
        <v>2.8959259259259262</v>
      </c>
      <c r="G143" s="82">
        <f t="shared" si="18"/>
        <v>295.82103703703712</v>
      </c>
    </row>
    <row r="144" spans="1:7" ht="9" customHeight="1">
      <c r="A144" s="83" t="s">
        <v>101</v>
      </c>
      <c r="B144" s="80" t="s">
        <v>102</v>
      </c>
      <c r="C144" s="42" t="s">
        <v>29</v>
      </c>
      <c r="D144" s="61">
        <v>2</v>
      </c>
      <c r="E144" s="82">
        <v>61.78</v>
      </c>
      <c r="F144" s="82">
        <f t="shared" si="17"/>
        <v>3.2034074074074077</v>
      </c>
      <c r="G144" s="82">
        <f t="shared" si="18"/>
        <v>299.0244444444445</v>
      </c>
    </row>
    <row r="145" spans="1:7" ht="9" customHeight="1">
      <c r="A145" s="83" t="s">
        <v>103</v>
      </c>
      <c r="B145" s="80" t="s">
        <v>104</v>
      </c>
      <c r="C145" s="42" t="s">
        <v>29</v>
      </c>
      <c r="D145" s="61">
        <v>1</v>
      </c>
      <c r="E145" s="82">
        <v>21.95</v>
      </c>
      <c r="F145" s="82">
        <f t="shared" si="17"/>
        <v>0.56907407407407395</v>
      </c>
      <c r="G145" s="82">
        <f t="shared" si="18"/>
        <v>299.59351851851858</v>
      </c>
    </row>
    <row r="146" spans="1:7" ht="9" customHeight="1">
      <c r="A146" s="83" t="s">
        <v>105</v>
      </c>
      <c r="B146" s="80" t="s">
        <v>106</v>
      </c>
      <c r="C146" s="42" t="s">
        <v>29</v>
      </c>
      <c r="D146" s="61">
        <v>1</v>
      </c>
      <c r="E146" s="82">
        <v>21.95</v>
      </c>
      <c r="F146" s="82">
        <f t="shared" si="17"/>
        <v>0.56907407407407395</v>
      </c>
      <c r="G146" s="82">
        <f t="shared" si="18"/>
        <v>300.16259259259266</v>
      </c>
    </row>
    <row r="147" spans="1:7" ht="9" customHeight="1">
      <c r="A147" s="83" t="s">
        <v>107</v>
      </c>
      <c r="B147" s="80" t="s">
        <v>108</v>
      </c>
      <c r="C147" s="42" t="s">
        <v>29</v>
      </c>
      <c r="D147" s="61">
        <v>1</v>
      </c>
      <c r="E147" s="82">
        <v>1500</v>
      </c>
      <c r="F147" s="82">
        <f t="shared" si="17"/>
        <v>38.888888888888886</v>
      </c>
      <c r="G147" s="82">
        <f t="shared" si="18"/>
        <v>339.05148148148157</v>
      </c>
    </row>
    <row r="148" spans="1:7" ht="9" customHeight="1">
      <c r="A148" s="83" t="s">
        <v>109</v>
      </c>
      <c r="B148" s="80" t="s">
        <v>110</v>
      </c>
      <c r="C148" s="42" t="s">
        <v>29</v>
      </c>
      <c r="D148" s="61">
        <v>2</v>
      </c>
      <c r="E148" s="82">
        <v>105.93</v>
      </c>
      <c r="F148" s="82">
        <f t="shared" si="17"/>
        <v>5.4926666666666675</v>
      </c>
      <c r="G148" s="82">
        <f t="shared" si="18"/>
        <v>344.54414814814822</v>
      </c>
    </row>
    <row r="149" spans="1:7" ht="9" customHeight="1">
      <c r="A149" s="83" t="s">
        <v>111</v>
      </c>
      <c r="B149" s="80" t="s">
        <v>112</v>
      </c>
      <c r="C149" s="42" t="s">
        <v>29</v>
      </c>
      <c r="D149" s="61">
        <v>2</v>
      </c>
      <c r="E149" s="82">
        <v>50.85</v>
      </c>
      <c r="F149" s="82">
        <f t="shared" si="17"/>
        <v>2.6366666666666667</v>
      </c>
      <c r="G149" s="82">
        <f t="shared" si="18"/>
        <v>347.18081481481488</v>
      </c>
    </row>
    <row r="150" spans="1:7" ht="9" customHeight="1">
      <c r="A150" s="83" t="s">
        <v>113</v>
      </c>
      <c r="B150" s="80" t="s">
        <v>114</v>
      </c>
      <c r="C150" s="42" t="s">
        <v>29</v>
      </c>
      <c r="D150" s="61">
        <v>1</v>
      </c>
      <c r="E150" s="82">
        <v>326.27</v>
      </c>
      <c r="F150" s="82">
        <f t="shared" si="17"/>
        <v>8.4588518518518523</v>
      </c>
      <c r="G150" s="82">
        <f t="shared" si="18"/>
        <v>355.63966666666676</v>
      </c>
    </row>
    <row r="151" spans="1:7" ht="9" customHeight="1">
      <c r="A151" s="83" t="s">
        <v>115</v>
      </c>
      <c r="B151" s="80" t="s">
        <v>116</v>
      </c>
      <c r="C151" s="42" t="s">
        <v>29</v>
      </c>
      <c r="D151" s="61">
        <v>1</v>
      </c>
      <c r="E151" s="82">
        <v>118.56</v>
      </c>
      <c r="F151" s="82">
        <f t="shared" si="17"/>
        <v>3.0737777777777779</v>
      </c>
      <c r="G151" s="82">
        <f t="shared" si="18"/>
        <v>358.71344444444452</v>
      </c>
    </row>
    <row r="152" spans="1:7" ht="9" customHeight="1">
      <c r="A152" s="83" t="s">
        <v>117</v>
      </c>
      <c r="B152" s="80" t="s">
        <v>118</v>
      </c>
      <c r="C152" s="42" t="s">
        <v>29</v>
      </c>
      <c r="D152" s="61">
        <v>1</v>
      </c>
      <c r="E152" s="82">
        <v>75</v>
      </c>
      <c r="F152" s="82">
        <f t="shared" si="17"/>
        <v>1.9444444444444446</v>
      </c>
      <c r="G152" s="82">
        <f t="shared" si="18"/>
        <v>360.65788888888898</v>
      </c>
    </row>
    <row r="153" spans="1:7" ht="9" customHeight="1">
      <c r="A153" s="83" t="s">
        <v>119</v>
      </c>
      <c r="B153" s="80" t="s">
        <v>120</v>
      </c>
      <c r="C153" s="42" t="s">
        <v>29</v>
      </c>
      <c r="D153" s="61">
        <v>1</v>
      </c>
      <c r="E153" s="82">
        <v>19.899999999999999</v>
      </c>
      <c r="F153" s="82">
        <f t="shared" si="17"/>
        <v>0.51592592592592579</v>
      </c>
      <c r="G153" s="82">
        <f t="shared" si="18"/>
        <v>361.17381481481488</v>
      </c>
    </row>
    <row r="154" spans="1:7" ht="9" customHeight="1">
      <c r="A154" s="83" t="s">
        <v>121</v>
      </c>
      <c r="B154" s="80" t="s">
        <v>122</v>
      </c>
      <c r="C154" s="42" t="s">
        <v>29</v>
      </c>
      <c r="D154" s="61">
        <v>1</v>
      </c>
      <c r="E154" s="82">
        <v>224.49</v>
      </c>
      <c r="F154" s="82">
        <f t="shared" si="17"/>
        <v>5.8201111111111121</v>
      </c>
      <c r="G154" s="82">
        <f t="shared" si="18"/>
        <v>366.99392592592596</v>
      </c>
    </row>
    <row r="155" spans="1:7" ht="9" customHeight="1">
      <c r="A155" s="83" t="s">
        <v>123</v>
      </c>
      <c r="B155" s="80" t="s">
        <v>124</v>
      </c>
      <c r="C155" s="42" t="s">
        <v>29</v>
      </c>
      <c r="D155" s="61">
        <v>1</v>
      </c>
      <c r="E155" s="82">
        <v>21.1</v>
      </c>
      <c r="F155" s="82">
        <f t="shared" si="17"/>
        <v>0.54703703703703699</v>
      </c>
      <c r="G155" s="82">
        <f t="shared" si="18"/>
        <v>367.54096296296302</v>
      </c>
    </row>
    <row r="156" spans="1:7" ht="9" customHeight="1">
      <c r="A156" s="83" t="s">
        <v>125</v>
      </c>
      <c r="B156" s="80" t="s">
        <v>126</v>
      </c>
      <c r="C156" s="42" t="s">
        <v>29</v>
      </c>
      <c r="D156" s="61">
        <v>1</v>
      </c>
      <c r="E156" s="82">
        <v>32.97</v>
      </c>
      <c r="F156" s="82">
        <f t="shared" si="17"/>
        <v>0.85477777777777775</v>
      </c>
      <c r="G156" s="82">
        <f t="shared" si="18"/>
        <v>368.39574074074079</v>
      </c>
    </row>
    <row r="157" spans="1:7" ht="9" customHeight="1">
      <c r="A157" s="83" t="s">
        <v>127</v>
      </c>
      <c r="B157" s="80" t="s">
        <v>128</v>
      </c>
      <c r="C157" s="42" t="s">
        <v>29</v>
      </c>
      <c r="D157" s="61">
        <v>1</v>
      </c>
      <c r="E157" s="82">
        <v>42.29</v>
      </c>
      <c r="F157" s="82">
        <f t="shared" si="17"/>
        <v>1.0964074074074073</v>
      </c>
      <c r="G157" s="82">
        <f t="shared" si="18"/>
        <v>369.4921481481482</v>
      </c>
    </row>
    <row r="158" spans="1:7" ht="9" customHeight="1">
      <c r="A158" s="83" t="s">
        <v>129</v>
      </c>
      <c r="B158" s="80" t="s">
        <v>130</v>
      </c>
      <c r="C158" s="42" t="s">
        <v>29</v>
      </c>
      <c r="D158" s="61">
        <v>1</v>
      </c>
      <c r="E158" s="82">
        <v>50</v>
      </c>
      <c r="F158" s="82">
        <f t="shared" si="17"/>
        <v>1.2962962962962963</v>
      </c>
      <c r="G158" s="82">
        <f t="shared" si="18"/>
        <v>370.78844444444451</v>
      </c>
    </row>
    <row r="159" spans="1:7" ht="9" customHeight="1">
      <c r="A159" s="83" t="s">
        <v>131</v>
      </c>
      <c r="B159" s="80" t="s">
        <v>132</v>
      </c>
      <c r="C159" s="42" t="s">
        <v>29</v>
      </c>
      <c r="D159" s="61">
        <v>1</v>
      </c>
      <c r="E159" s="82">
        <v>1271.0999999999999</v>
      </c>
      <c r="F159" s="82">
        <f t="shared" si="17"/>
        <v>32.954444444444441</v>
      </c>
      <c r="G159" s="82">
        <f t="shared" si="18"/>
        <v>403.74288888888896</v>
      </c>
    </row>
    <row r="160" spans="1:7" ht="9" customHeight="1">
      <c r="A160" s="83" t="s">
        <v>133</v>
      </c>
      <c r="B160" s="80" t="s">
        <v>134</v>
      </c>
      <c r="C160" s="42" t="s">
        <v>29</v>
      </c>
      <c r="D160" s="61">
        <v>1</v>
      </c>
      <c r="E160" s="82">
        <v>750</v>
      </c>
      <c r="F160" s="82">
        <f t="shared" si="17"/>
        <v>19.444444444444443</v>
      </c>
      <c r="G160" s="82">
        <f t="shared" si="18"/>
        <v>423.18733333333341</v>
      </c>
    </row>
    <row r="161" spans="1:7" ht="9" customHeight="1">
      <c r="A161" s="83" t="s">
        <v>135</v>
      </c>
      <c r="B161" s="80" t="s">
        <v>136</v>
      </c>
      <c r="C161" s="42" t="s">
        <v>29</v>
      </c>
      <c r="D161" s="61">
        <v>1</v>
      </c>
      <c r="E161" s="82">
        <v>200</v>
      </c>
      <c r="F161" s="82">
        <f t="shared" si="17"/>
        <v>5.1851851851851851</v>
      </c>
      <c r="G161" s="82">
        <f t="shared" si="18"/>
        <v>428.37251851851858</v>
      </c>
    </row>
    <row r="162" spans="1:7" ht="9" customHeight="1">
      <c r="A162" s="83" t="s">
        <v>137</v>
      </c>
      <c r="B162" s="80" t="s">
        <v>138</v>
      </c>
      <c r="C162" s="42" t="s">
        <v>29</v>
      </c>
      <c r="D162" s="61">
        <v>1</v>
      </c>
      <c r="E162" s="82">
        <v>1500</v>
      </c>
      <c r="F162" s="82">
        <f t="shared" si="17"/>
        <v>38.888888888888886</v>
      </c>
      <c r="G162" s="82">
        <f t="shared" si="18"/>
        <v>467.26140740740743</v>
      </c>
    </row>
    <row r="163" spans="1:7" ht="9" customHeight="1">
      <c r="A163" s="83" t="s">
        <v>139</v>
      </c>
      <c r="B163" s="80" t="s">
        <v>140</v>
      </c>
      <c r="C163" s="42" t="s">
        <v>29</v>
      </c>
      <c r="D163" s="61">
        <v>3</v>
      </c>
      <c r="E163" s="82">
        <v>250</v>
      </c>
      <c r="F163" s="82">
        <f t="shared" si="17"/>
        <v>19.444444444444443</v>
      </c>
      <c r="G163" s="82">
        <f t="shared" si="18"/>
        <v>486.70585185185189</v>
      </c>
    </row>
    <row r="164" spans="1:7" ht="9" customHeight="1">
      <c r="A164" s="83" t="s">
        <v>141</v>
      </c>
      <c r="B164" s="80" t="s">
        <v>142</v>
      </c>
      <c r="C164" s="42" t="s">
        <v>29</v>
      </c>
      <c r="D164" s="61">
        <v>1</v>
      </c>
      <c r="E164" s="82">
        <v>500</v>
      </c>
      <c r="F164" s="82">
        <f t="shared" si="17"/>
        <v>12.962962962962964</v>
      </c>
      <c r="G164" s="82">
        <f t="shared" si="18"/>
        <v>499.66881481481488</v>
      </c>
    </row>
    <row r="165" spans="1:7" ht="9" customHeight="1">
      <c r="A165" s="83" t="s">
        <v>143</v>
      </c>
      <c r="B165" s="80" t="s">
        <v>144</v>
      </c>
      <c r="C165" s="42" t="s">
        <v>29</v>
      </c>
      <c r="D165" s="61">
        <v>2</v>
      </c>
      <c r="E165" s="82">
        <v>50</v>
      </c>
      <c r="F165" s="82">
        <f t="shared" si="17"/>
        <v>2.5925925925925926</v>
      </c>
      <c r="G165" s="82">
        <f t="shared" si="18"/>
        <v>502.26140740740749</v>
      </c>
    </row>
    <row r="166" spans="1:7" ht="9" customHeight="1">
      <c r="A166" s="83" t="s">
        <v>145</v>
      </c>
      <c r="B166" s="80" t="s">
        <v>146</v>
      </c>
      <c r="C166" s="42" t="s">
        <v>29</v>
      </c>
      <c r="D166" s="61">
        <v>2</v>
      </c>
      <c r="E166" s="82">
        <v>60</v>
      </c>
      <c r="F166" s="82">
        <f t="shared" si="17"/>
        <v>3.1111111111111112</v>
      </c>
      <c r="G166" s="82">
        <f t="shared" si="18"/>
        <v>505.37251851851858</v>
      </c>
    </row>
    <row r="167" spans="1:7" ht="9" customHeight="1">
      <c r="A167" s="83" t="s">
        <v>147</v>
      </c>
      <c r="B167" s="80" t="s">
        <v>148</v>
      </c>
      <c r="C167" s="42" t="s">
        <v>29</v>
      </c>
      <c r="D167" s="61">
        <v>1</v>
      </c>
      <c r="E167" s="82">
        <v>250</v>
      </c>
      <c r="F167" s="82">
        <f t="shared" si="17"/>
        <v>6.4814814814814818</v>
      </c>
      <c r="G167" s="82">
        <f t="shared" si="18"/>
        <v>511.85400000000004</v>
      </c>
    </row>
    <row r="168" spans="1:7" ht="9" customHeight="1">
      <c r="A168" s="83" t="s">
        <v>149</v>
      </c>
      <c r="B168" s="80" t="s">
        <v>150</v>
      </c>
      <c r="C168" s="42" t="s">
        <v>29</v>
      </c>
      <c r="D168" s="61">
        <v>1</v>
      </c>
      <c r="E168" s="82">
        <v>300</v>
      </c>
      <c r="F168" s="82">
        <f t="shared" si="17"/>
        <v>7.7777777777777786</v>
      </c>
      <c r="G168" s="82">
        <f t="shared" si="18"/>
        <v>519.63177777777787</v>
      </c>
    </row>
    <row r="169" spans="1:7" ht="9" customHeight="1">
      <c r="A169" s="83" t="s">
        <v>151</v>
      </c>
      <c r="B169" s="80" t="s">
        <v>152</v>
      </c>
      <c r="C169" s="42" t="s">
        <v>29</v>
      </c>
      <c r="D169" s="61">
        <v>1</v>
      </c>
      <c r="E169" s="82">
        <v>70</v>
      </c>
      <c r="F169" s="82">
        <f t="shared" si="17"/>
        <v>1.8148148148148147</v>
      </c>
      <c r="G169" s="82">
        <f t="shared" si="18"/>
        <v>521.44659259259265</v>
      </c>
    </row>
    <row r="170" spans="1:7" ht="9" customHeight="1">
      <c r="A170" s="83" t="s">
        <v>153</v>
      </c>
      <c r="B170" s="80" t="s">
        <v>154</v>
      </c>
      <c r="C170" s="42" t="s">
        <v>29</v>
      </c>
      <c r="D170" s="61">
        <v>1</v>
      </c>
      <c r="E170" s="82">
        <v>2500</v>
      </c>
      <c r="F170" s="82">
        <f t="shared" si="17"/>
        <v>64.81481481481481</v>
      </c>
      <c r="G170" s="82">
        <f t="shared" si="18"/>
        <v>586.26140740740743</v>
      </c>
    </row>
    <row r="171" spans="1:7" ht="9" customHeight="1">
      <c r="A171" s="83" t="s">
        <v>155</v>
      </c>
      <c r="B171" s="99" t="s">
        <v>156</v>
      </c>
      <c r="C171" s="42" t="s">
        <v>29</v>
      </c>
      <c r="D171" s="61">
        <v>1</v>
      </c>
      <c r="E171" s="82">
        <v>1700</v>
      </c>
      <c r="F171" s="82">
        <f t="shared" si="17"/>
        <v>44.074074074074069</v>
      </c>
      <c r="G171" s="82">
        <f t="shared" si="18"/>
        <v>630.33548148148145</v>
      </c>
    </row>
    <row r="172" spans="1:7" ht="9" customHeight="1">
      <c r="A172" s="83" t="s">
        <v>157</v>
      </c>
      <c r="B172" s="99" t="s">
        <v>158</v>
      </c>
      <c r="C172" s="42" t="s">
        <v>29</v>
      </c>
      <c r="D172" s="61">
        <v>1</v>
      </c>
      <c r="E172" s="82">
        <v>200</v>
      </c>
      <c r="F172" s="82">
        <f t="shared" si="17"/>
        <v>5.1851851851851851</v>
      </c>
      <c r="G172" s="82">
        <f t="shared" si="18"/>
        <v>635.52066666666667</v>
      </c>
    </row>
    <row r="173" spans="1:7" ht="9" customHeight="1">
      <c r="A173" s="83" t="s">
        <v>159</v>
      </c>
      <c r="B173" s="99" t="s">
        <v>160</v>
      </c>
      <c r="C173" s="42" t="s">
        <v>29</v>
      </c>
      <c r="D173" s="61">
        <v>1</v>
      </c>
      <c r="E173" s="82">
        <v>250</v>
      </c>
      <c r="F173" s="82">
        <f t="shared" si="17"/>
        <v>6.4814814814814818</v>
      </c>
      <c r="G173" s="82">
        <f t="shared" si="18"/>
        <v>642.00214814814819</v>
      </c>
    </row>
    <row r="174" spans="1:7" ht="9" customHeight="1">
      <c r="A174" s="83" t="s">
        <v>161</v>
      </c>
      <c r="B174" s="99" t="s">
        <v>162</v>
      </c>
      <c r="C174" s="42" t="s">
        <v>29</v>
      </c>
      <c r="D174" s="61">
        <v>3</v>
      </c>
      <c r="E174" s="82">
        <v>200</v>
      </c>
      <c r="F174" s="82">
        <f t="shared" si="17"/>
        <v>15.555555555555557</v>
      </c>
      <c r="G174" s="82">
        <f t="shared" si="18"/>
        <v>657.55770370370374</v>
      </c>
    </row>
    <row r="175" spans="1:7" ht="9" customHeight="1">
      <c r="A175" s="83" t="s">
        <v>163</v>
      </c>
      <c r="B175" s="99" t="s">
        <v>164</v>
      </c>
      <c r="C175" s="42" t="s">
        <v>29</v>
      </c>
      <c r="D175" s="61">
        <v>1</v>
      </c>
      <c r="E175" s="82">
        <v>15101.69</v>
      </c>
      <c r="F175" s="82">
        <f t="shared" si="17"/>
        <v>391.52529629629629</v>
      </c>
      <c r="G175" s="82">
        <f t="shared" si="18"/>
        <v>1049.0830000000001</v>
      </c>
    </row>
    <row r="176" spans="1:7" ht="9" customHeight="1">
      <c r="A176" s="83" t="s">
        <v>165</v>
      </c>
      <c r="B176" s="99" t="s">
        <v>166</v>
      </c>
      <c r="C176" s="42" t="s">
        <v>29</v>
      </c>
      <c r="D176" s="61">
        <v>1</v>
      </c>
      <c r="E176" s="82">
        <v>309</v>
      </c>
      <c r="F176" s="82">
        <f t="shared" si="17"/>
        <v>8.0111111111111128</v>
      </c>
      <c r="G176" s="82">
        <f t="shared" si="18"/>
        <v>1057.0941111111113</v>
      </c>
    </row>
    <row r="177" spans="1:7" ht="9" customHeight="1">
      <c r="A177" s="83" t="s">
        <v>167</v>
      </c>
      <c r="B177" s="99" t="s">
        <v>168</v>
      </c>
      <c r="C177" s="42" t="s">
        <v>29</v>
      </c>
      <c r="D177" s="61">
        <v>1</v>
      </c>
      <c r="E177" s="82">
        <v>18.940000000000001</v>
      </c>
      <c r="F177" s="82">
        <f t="shared" si="17"/>
        <v>0.49103703703703705</v>
      </c>
      <c r="G177" s="82">
        <f t="shared" si="18"/>
        <v>1057.5851481481484</v>
      </c>
    </row>
    <row r="178" spans="1:7" ht="9" customHeight="1">
      <c r="A178" s="83" t="s">
        <v>169</v>
      </c>
      <c r="B178" s="99" t="s">
        <v>170</v>
      </c>
      <c r="C178" s="42" t="s">
        <v>29</v>
      </c>
      <c r="D178" s="61">
        <v>1</v>
      </c>
      <c r="E178" s="82">
        <v>189.9</v>
      </c>
      <c r="F178" s="82">
        <f t="shared" si="17"/>
        <v>4.9233333333333338</v>
      </c>
      <c r="G178" s="82">
        <f t="shared" si="18"/>
        <v>1062.5084814814818</v>
      </c>
    </row>
    <row r="179" spans="1:7" ht="9" customHeight="1">
      <c r="A179" s="83" t="s">
        <v>171</v>
      </c>
      <c r="B179" s="99" t="s">
        <v>172</v>
      </c>
      <c r="C179" s="42" t="s">
        <v>29</v>
      </c>
      <c r="D179" s="61">
        <v>1</v>
      </c>
      <c r="E179" s="82">
        <v>30.5</v>
      </c>
      <c r="F179" s="82">
        <f t="shared" si="17"/>
        <v>0.79074074074074074</v>
      </c>
      <c r="G179" s="82">
        <f t="shared" si="18"/>
        <v>1063.2992222222226</v>
      </c>
    </row>
    <row r="180" spans="1:7" ht="9" customHeight="1">
      <c r="A180" s="83" t="s">
        <v>173</v>
      </c>
      <c r="B180" s="99" t="s">
        <v>174</v>
      </c>
      <c r="C180" s="42" t="s">
        <v>29</v>
      </c>
      <c r="D180" s="61">
        <v>2</v>
      </c>
      <c r="E180" s="82">
        <v>25.42</v>
      </c>
      <c r="F180" s="82">
        <f t="shared" si="17"/>
        <v>1.3180740740740742</v>
      </c>
      <c r="G180" s="82">
        <f t="shared" si="18"/>
        <v>1064.6172962962967</v>
      </c>
    </row>
    <row r="181" spans="1:7" ht="9" customHeight="1">
      <c r="A181" s="83" t="s">
        <v>175</v>
      </c>
      <c r="B181" s="99" t="s">
        <v>176</v>
      </c>
      <c r="C181" s="42" t="s">
        <v>29</v>
      </c>
      <c r="D181" s="61">
        <v>1</v>
      </c>
      <c r="E181" s="82">
        <v>130</v>
      </c>
      <c r="F181" s="82">
        <f t="shared" si="17"/>
        <v>3.3703703703703707</v>
      </c>
      <c r="G181" s="82">
        <f t="shared" si="18"/>
        <v>1067.9876666666671</v>
      </c>
    </row>
    <row r="182" spans="1:7" ht="9" customHeight="1">
      <c r="A182" s="83" t="s">
        <v>177</v>
      </c>
      <c r="B182" s="99" t="s">
        <v>178</v>
      </c>
      <c r="C182" s="42" t="s">
        <v>29</v>
      </c>
      <c r="D182" s="61">
        <v>1</v>
      </c>
      <c r="E182" s="82">
        <v>177.12</v>
      </c>
      <c r="F182" s="82">
        <f t="shared" si="17"/>
        <v>4.5920000000000005</v>
      </c>
      <c r="G182" s="82">
        <f t="shared" si="18"/>
        <v>1072.5796666666672</v>
      </c>
    </row>
    <row r="183" spans="1:7" ht="9" customHeight="1">
      <c r="A183" s="83" t="s">
        <v>179</v>
      </c>
      <c r="B183" s="99" t="s">
        <v>180</v>
      </c>
      <c r="C183" s="42" t="s">
        <v>29</v>
      </c>
      <c r="D183" s="61">
        <v>1</v>
      </c>
      <c r="E183" s="82">
        <v>1407</v>
      </c>
      <c r="F183" s="82">
        <f t="shared" si="17"/>
        <v>36.477777777777781</v>
      </c>
      <c r="G183" s="82">
        <f t="shared" si="18"/>
        <v>1109.0574444444451</v>
      </c>
    </row>
    <row r="184" spans="1:7" ht="9" customHeight="1">
      <c r="A184" s="83" t="s">
        <v>181</v>
      </c>
      <c r="B184" s="99" t="s">
        <v>182</v>
      </c>
      <c r="C184" s="42" t="s">
        <v>29</v>
      </c>
      <c r="D184" s="61">
        <v>1</v>
      </c>
      <c r="E184" s="82">
        <v>32.5</v>
      </c>
      <c r="F184" s="82">
        <f t="shared" si="17"/>
        <v>0.84259259259259267</v>
      </c>
      <c r="G184" s="82">
        <f t="shared" si="18"/>
        <v>1109.9000370370377</v>
      </c>
    </row>
    <row r="185" spans="1:7" ht="9" customHeight="1">
      <c r="A185" s="83" t="s">
        <v>183</v>
      </c>
      <c r="B185" s="99" t="s">
        <v>184</v>
      </c>
      <c r="C185" s="42" t="s">
        <v>29</v>
      </c>
      <c r="D185" s="61">
        <v>1</v>
      </c>
      <c r="E185" s="82">
        <v>46</v>
      </c>
      <c r="F185" s="82">
        <f t="shared" si="17"/>
        <v>1.1925925925925926</v>
      </c>
      <c r="G185" s="82">
        <f t="shared" si="18"/>
        <v>1111.0926296296302</v>
      </c>
    </row>
    <row r="186" spans="1:7" ht="9" customHeight="1">
      <c r="A186" s="83" t="s">
        <v>185</v>
      </c>
      <c r="B186" s="99" t="s">
        <v>186</v>
      </c>
      <c r="C186" s="42" t="s">
        <v>29</v>
      </c>
      <c r="D186" s="61">
        <v>1</v>
      </c>
      <c r="E186" s="82">
        <v>48.5</v>
      </c>
      <c r="F186" s="82">
        <f t="shared" si="17"/>
        <v>1.2574074074074075</v>
      </c>
      <c r="G186" s="82">
        <f t="shared" si="18"/>
        <v>1112.3500370370375</v>
      </c>
    </row>
    <row r="187" spans="1:7" ht="9" customHeight="1">
      <c r="A187" s="83" t="s">
        <v>187</v>
      </c>
      <c r="B187" s="99" t="s">
        <v>188</v>
      </c>
      <c r="C187" s="42" t="s">
        <v>29</v>
      </c>
      <c r="D187" s="61">
        <v>2</v>
      </c>
      <c r="E187" s="82">
        <v>50</v>
      </c>
      <c r="F187" s="82">
        <f t="shared" si="17"/>
        <v>2.5925925925925926</v>
      </c>
      <c r="G187" s="82">
        <f t="shared" si="18"/>
        <v>1114.9426296296301</v>
      </c>
    </row>
    <row r="188" spans="1:7" ht="9" customHeight="1">
      <c r="A188" s="83" t="s">
        <v>189</v>
      </c>
      <c r="B188" s="99" t="s">
        <v>190</v>
      </c>
      <c r="C188" s="42" t="s">
        <v>29</v>
      </c>
      <c r="D188" s="61">
        <v>1</v>
      </c>
      <c r="E188" s="82">
        <v>28.2</v>
      </c>
      <c r="F188" s="82">
        <f t="shared" si="17"/>
        <v>0.73111111111111104</v>
      </c>
      <c r="G188" s="82">
        <f t="shared" si="18"/>
        <v>1115.6737407407413</v>
      </c>
    </row>
    <row r="189" spans="1:7" ht="9" customHeight="1">
      <c r="A189" s="83" t="s">
        <v>191</v>
      </c>
      <c r="B189" s="99" t="s">
        <v>192</v>
      </c>
      <c r="C189" s="42" t="s">
        <v>29</v>
      </c>
      <c r="D189" s="61">
        <v>1</v>
      </c>
      <c r="E189" s="82">
        <v>43.2</v>
      </c>
      <c r="F189" s="82">
        <f t="shared" si="17"/>
        <v>1.1200000000000001</v>
      </c>
      <c r="G189" s="82">
        <f t="shared" si="18"/>
        <v>1116.7937407407412</v>
      </c>
    </row>
    <row r="190" spans="1:7" ht="9" customHeight="1">
      <c r="A190" s="83" t="s">
        <v>193</v>
      </c>
      <c r="B190" s="99" t="s">
        <v>194</v>
      </c>
      <c r="C190" s="42" t="s">
        <v>29</v>
      </c>
      <c r="D190" s="61">
        <v>1</v>
      </c>
      <c r="E190" s="82">
        <v>25.3</v>
      </c>
      <c r="F190" s="82">
        <f t="shared" si="17"/>
        <v>0.65592592592592591</v>
      </c>
      <c r="G190" s="82">
        <f t="shared" si="18"/>
        <v>1117.4496666666671</v>
      </c>
    </row>
    <row r="191" spans="1:7" ht="9" customHeight="1">
      <c r="A191" s="83" t="s">
        <v>195</v>
      </c>
      <c r="B191" s="99" t="s">
        <v>196</v>
      </c>
      <c r="C191" s="42" t="s">
        <v>29</v>
      </c>
      <c r="D191" s="61">
        <v>1</v>
      </c>
      <c r="E191" s="82">
        <v>18.2</v>
      </c>
      <c r="F191" s="82">
        <f t="shared" si="17"/>
        <v>0.4718518518518518</v>
      </c>
      <c r="G191" s="82">
        <f t="shared" si="18"/>
        <v>1117.921518518519</v>
      </c>
    </row>
    <row r="192" spans="1:7" ht="9" customHeight="1">
      <c r="A192" s="83" t="s">
        <v>197</v>
      </c>
      <c r="B192" s="99" t="s">
        <v>198</v>
      </c>
      <c r="C192" s="42" t="s">
        <v>29</v>
      </c>
      <c r="D192" s="61">
        <v>1</v>
      </c>
      <c r="E192" s="82">
        <v>711.2</v>
      </c>
      <c r="F192" s="82">
        <f t="shared" si="17"/>
        <v>18.438518518518517</v>
      </c>
      <c r="G192" s="82">
        <f t="shared" si="18"/>
        <v>1136.3600370370375</v>
      </c>
    </row>
    <row r="193" spans="1:8" ht="9" customHeight="1">
      <c r="A193" s="83" t="s">
        <v>199</v>
      </c>
      <c r="B193" s="99" t="s">
        <v>200</v>
      </c>
      <c r="C193" s="42" t="s">
        <v>29</v>
      </c>
      <c r="D193" s="61">
        <v>1</v>
      </c>
      <c r="E193" s="82">
        <v>2813.99</v>
      </c>
      <c r="F193" s="82">
        <f t="shared" si="17"/>
        <v>72.955296296296297</v>
      </c>
      <c r="G193" s="82">
        <f t="shared" si="18"/>
        <v>1209.3153333333339</v>
      </c>
    </row>
    <row r="194" spans="1:8" ht="9" customHeight="1">
      <c r="A194" s="83" t="s">
        <v>201</v>
      </c>
      <c r="B194" s="99" t="s">
        <v>202</v>
      </c>
      <c r="C194" s="42" t="s">
        <v>29</v>
      </c>
      <c r="D194" s="61">
        <v>1</v>
      </c>
      <c r="E194" s="82">
        <v>760</v>
      </c>
      <c r="F194" s="82">
        <f t="shared" si="17"/>
        <v>19.703703703703702</v>
      </c>
      <c r="G194" s="82">
        <f t="shared" si="18"/>
        <v>1229.0190370370376</v>
      </c>
    </row>
    <row r="195" spans="1:8" ht="9" customHeight="1">
      <c r="A195" s="83" t="s">
        <v>203</v>
      </c>
      <c r="B195" s="99" t="s">
        <v>204</v>
      </c>
      <c r="C195" s="42" t="s">
        <v>29</v>
      </c>
      <c r="D195" s="61">
        <v>1</v>
      </c>
      <c r="E195" s="82">
        <v>14</v>
      </c>
      <c r="F195" s="82">
        <f t="shared" si="17"/>
        <v>0.36296296296296293</v>
      </c>
      <c r="G195" s="82">
        <f t="shared" si="18"/>
        <v>1229.3820000000005</v>
      </c>
    </row>
    <row r="196" spans="1:8" ht="9" customHeight="1">
      <c r="A196" s="47" t="s">
        <v>205</v>
      </c>
      <c r="B196" s="52" t="s">
        <v>206</v>
      </c>
      <c r="C196" s="49" t="s">
        <v>29</v>
      </c>
      <c r="D196" s="64">
        <v>1</v>
      </c>
      <c r="E196" s="65">
        <v>65</v>
      </c>
      <c r="F196" s="65">
        <f t="shared" si="17"/>
        <v>1.6851851851851853</v>
      </c>
      <c r="G196" s="65">
        <f t="shared" si="18"/>
        <v>1231.0671851851857</v>
      </c>
    </row>
    <row r="197" spans="1:8" ht="9.5" customHeight="1">
      <c r="A197" s="88" t="s">
        <v>207</v>
      </c>
      <c r="B197" s="110" t="s">
        <v>208</v>
      </c>
      <c r="C197" s="100"/>
      <c r="D197" s="66"/>
      <c r="E197" s="67"/>
      <c r="F197" s="82"/>
      <c r="G197" s="86">
        <f>SUM(F198:F234)</f>
        <v>902.92942465753401</v>
      </c>
      <c r="H197" s="16"/>
    </row>
    <row r="198" spans="1:8" ht="9.5" customHeight="1">
      <c r="A198" s="44" t="s">
        <v>209</v>
      </c>
      <c r="B198" s="53" t="s">
        <v>210</v>
      </c>
      <c r="C198" s="46" t="s">
        <v>29</v>
      </c>
      <c r="D198" s="62">
        <f>SUM($D$236:$D$238)</f>
        <v>5</v>
      </c>
      <c r="E198" s="63">
        <v>44</v>
      </c>
      <c r="F198" s="63">
        <f>D198*E198/365*$F$2</f>
        <v>16.876712328767123</v>
      </c>
      <c r="G198" s="63">
        <f>F198</f>
        <v>16.876712328767123</v>
      </c>
    </row>
    <row r="199" spans="1:8" ht="9" customHeight="1">
      <c r="A199" s="83" t="s">
        <v>211</v>
      </c>
      <c r="B199" s="99" t="s">
        <v>212</v>
      </c>
      <c r="C199" s="42" t="s">
        <v>29</v>
      </c>
      <c r="D199" s="61">
        <f t="shared" ref="D199:D208" si="19">SUM($D$236:$D$238)</f>
        <v>5</v>
      </c>
      <c r="E199" s="82">
        <v>3</v>
      </c>
      <c r="F199" s="82">
        <f t="shared" ref="F199:F234" si="20">D199*E199/365*$F$2</f>
        <v>1.1506849315068493</v>
      </c>
      <c r="G199" s="82">
        <f>G198+F199</f>
        <v>18.027397260273972</v>
      </c>
    </row>
    <row r="200" spans="1:8" ht="9" customHeight="1">
      <c r="A200" s="83" t="s">
        <v>213</v>
      </c>
      <c r="B200" s="99" t="s">
        <v>214</v>
      </c>
      <c r="C200" s="42" t="s">
        <v>29</v>
      </c>
      <c r="D200" s="61">
        <f t="shared" si="19"/>
        <v>5</v>
      </c>
      <c r="E200" s="82">
        <v>25</v>
      </c>
      <c r="F200" s="82">
        <f t="shared" si="20"/>
        <v>9.5890410958904102</v>
      </c>
      <c r="G200" s="82">
        <f t="shared" ref="G200:G234" si="21">G199+F200</f>
        <v>27.61643835616438</v>
      </c>
    </row>
    <row r="201" spans="1:8" ht="9" customHeight="1">
      <c r="A201" s="83" t="s">
        <v>215</v>
      </c>
      <c r="B201" s="99" t="s">
        <v>216</v>
      </c>
      <c r="C201" s="42" t="s">
        <v>29</v>
      </c>
      <c r="D201" s="61">
        <f t="shared" si="19"/>
        <v>5</v>
      </c>
      <c r="E201" s="82">
        <v>25</v>
      </c>
      <c r="F201" s="82">
        <f t="shared" si="20"/>
        <v>9.5890410958904102</v>
      </c>
      <c r="G201" s="82">
        <f t="shared" si="21"/>
        <v>37.205479452054789</v>
      </c>
    </row>
    <row r="202" spans="1:8" ht="9" customHeight="1">
      <c r="A202" s="83" t="s">
        <v>217</v>
      </c>
      <c r="B202" s="99" t="s">
        <v>218</v>
      </c>
      <c r="C202" s="42" t="s">
        <v>29</v>
      </c>
      <c r="D202" s="61">
        <f t="shared" si="19"/>
        <v>5</v>
      </c>
      <c r="E202" s="82">
        <v>27</v>
      </c>
      <c r="F202" s="82">
        <f t="shared" si="20"/>
        <v>10.356164383561643</v>
      </c>
      <c r="G202" s="82">
        <f t="shared" si="21"/>
        <v>47.561643835616429</v>
      </c>
    </row>
    <row r="203" spans="1:8" ht="9" customHeight="1">
      <c r="A203" s="83" t="s">
        <v>219</v>
      </c>
      <c r="B203" s="99" t="s">
        <v>220</v>
      </c>
      <c r="C203" s="42" t="s">
        <v>29</v>
      </c>
      <c r="D203" s="61">
        <f t="shared" si="19"/>
        <v>5</v>
      </c>
      <c r="E203" s="82">
        <v>27</v>
      </c>
      <c r="F203" s="82">
        <f t="shared" si="20"/>
        <v>10.356164383561643</v>
      </c>
      <c r="G203" s="82">
        <f t="shared" si="21"/>
        <v>57.91780821917807</v>
      </c>
    </row>
    <row r="204" spans="1:8" ht="9" customHeight="1">
      <c r="A204" s="83" t="s">
        <v>221</v>
      </c>
      <c r="B204" s="99" t="s">
        <v>222</v>
      </c>
      <c r="C204" s="42" t="s">
        <v>29</v>
      </c>
      <c r="D204" s="61">
        <f t="shared" si="19"/>
        <v>5</v>
      </c>
      <c r="E204" s="82">
        <v>2</v>
      </c>
      <c r="F204" s="82">
        <f t="shared" si="20"/>
        <v>0.76712328767123283</v>
      </c>
      <c r="G204" s="82">
        <f t="shared" si="21"/>
        <v>58.684931506849303</v>
      </c>
    </row>
    <row r="205" spans="1:8" ht="9" customHeight="1">
      <c r="A205" s="83" t="s">
        <v>223</v>
      </c>
      <c r="B205" s="99" t="s">
        <v>224</v>
      </c>
      <c r="C205" s="42" t="s">
        <v>29</v>
      </c>
      <c r="D205" s="61">
        <f t="shared" si="19"/>
        <v>5</v>
      </c>
      <c r="E205" s="82">
        <v>83.05</v>
      </c>
      <c r="F205" s="82">
        <f t="shared" si="20"/>
        <v>31.854794520547941</v>
      </c>
      <c r="G205" s="82">
        <f t="shared" si="21"/>
        <v>90.539726027397251</v>
      </c>
    </row>
    <row r="206" spans="1:8" ht="9" customHeight="1">
      <c r="A206" s="83" t="s">
        <v>225</v>
      </c>
      <c r="B206" s="99" t="s">
        <v>226</v>
      </c>
      <c r="C206" s="42" t="s">
        <v>29</v>
      </c>
      <c r="D206" s="61">
        <f t="shared" si="19"/>
        <v>5</v>
      </c>
      <c r="E206" s="82">
        <v>150</v>
      </c>
      <c r="F206" s="82">
        <f t="shared" si="20"/>
        <v>57.534246575342472</v>
      </c>
      <c r="G206" s="82">
        <f t="shared" si="21"/>
        <v>148.07397260273973</v>
      </c>
    </row>
    <row r="207" spans="1:8" ht="9" customHeight="1">
      <c r="A207" s="83" t="s">
        <v>227</v>
      </c>
      <c r="B207" s="99" t="s">
        <v>228</v>
      </c>
      <c r="C207" s="42" t="s">
        <v>29</v>
      </c>
      <c r="D207" s="61">
        <f t="shared" si="19"/>
        <v>5</v>
      </c>
      <c r="E207" s="82">
        <v>312.70999999999998</v>
      </c>
      <c r="F207" s="82">
        <f t="shared" si="20"/>
        <v>119.94356164383562</v>
      </c>
      <c r="G207" s="82">
        <f t="shared" si="21"/>
        <v>268.01753424657534</v>
      </c>
    </row>
    <row r="208" spans="1:8" ht="9" customHeight="1">
      <c r="A208" s="83" t="s">
        <v>229</v>
      </c>
      <c r="B208" s="99" t="s">
        <v>230</v>
      </c>
      <c r="C208" s="42" t="s">
        <v>29</v>
      </c>
      <c r="D208" s="61">
        <f t="shared" si="19"/>
        <v>5</v>
      </c>
      <c r="E208" s="82">
        <v>23.52</v>
      </c>
      <c r="F208" s="82">
        <f t="shared" si="20"/>
        <v>9.0213698630136978</v>
      </c>
      <c r="G208" s="82">
        <f t="shared" si="21"/>
        <v>277.03890410958905</v>
      </c>
    </row>
    <row r="209" spans="1:7" ht="9" customHeight="1">
      <c r="A209" s="83" t="s">
        <v>231</v>
      </c>
      <c r="B209" s="99" t="s">
        <v>232</v>
      </c>
      <c r="C209" s="42" t="s">
        <v>29</v>
      </c>
      <c r="D209" s="61">
        <f>$D$236</f>
        <v>2</v>
      </c>
      <c r="E209" s="82">
        <v>192.31</v>
      </c>
      <c r="F209" s="82">
        <f t="shared" si="20"/>
        <v>29.505095890410956</v>
      </c>
      <c r="G209" s="82">
        <f t="shared" si="21"/>
        <v>306.54399999999998</v>
      </c>
    </row>
    <row r="210" spans="1:7" ht="9" customHeight="1">
      <c r="A210" s="83" t="s">
        <v>233</v>
      </c>
      <c r="B210" s="99" t="s">
        <v>234</v>
      </c>
      <c r="C210" s="42" t="s">
        <v>29</v>
      </c>
      <c r="D210" s="61">
        <f t="shared" ref="D210:D219" si="22">$D$236</f>
        <v>2</v>
      </c>
      <c r="E210" s="82">
        <v>275.57</v>
      </c>
      <c r="F210" s="82">
        <f t="shared" si="20"/>
        <v>42.279232876712328</v>
      </c>
      <c r="G210" s="82">
        <f t="shared" si="21"/>
        <v>348.82323287671232</v>
      </c>
    </row>
    <row r="211" spans="1:7" ht="9" customHeight="1">
      <c r="A211" s="83" t="s">
        <v>235</v>
      </c>
      <c r="B211" s="99" t="s">
        <v>236</v>
      </c>
      <c r="C211" s="42" t="s">
        <v>29</v>
      </c>
      <c r="D211" s="61">
        <f t="shared" si="22"/>
        <v>2</v>
      </c>
      <c r="E211" s="82">
        <v>328</v>
      </c>
      <c r="F211" s="82">
        <f t="shared" si="20"/>
        <v>50.323287671232876</v>
      </c>
      <c r="G211" s="82">
        <f t="shared" si="21"/>
        <v>399.14652054794522</v>
      </c>
    </row>
    <row r="212" spans="1:7" ht="9" customHeight="1">
      <c r="A212" s="83" t="s">
        <v>237</v>
      </c>
      <c r="B212" s="99" t="s">
        <v>238</v>
      </c>
      <c r="C212" s="42" t="s">
        <v>29</v>
      </c>
      <c r="D212" s="61">
        <f t="shared" si="22"/>
        <v>2</v>
      </c>
      <c r="E212" s="82">
        <v>30</v>
      </c>
      <c r="F212" s="82">
        <f t="shared" si="20"/>
        <v>4.602739726027397</v>
      </c>
      <c r="G212" s="82">
        <f t="shared" si="21"/>
        <v>403.7492602739726</v>
      </c>
    </row>
    <row r="213" spans="1:7" ht="9" customHeight="1">
      <c r="A213" s="83" t="s">
        <v>239</v>
      </c>
      <c r="B213" s="99" t="s">
        <v>240</v>
      </c>
      <c r="C213" s="42" t="s">
        <v>29</v>
      </c>
      <c r="D213" s="61">
        <f t="shared" si="22"/>
        <v>2</v>
      </c>
      <c r="E213" s="82">
        <v>278.02999999999997</v>
      </c>
      <c r="F213" s="82">
        <f t="shared" si="20"/>
        <v>42.656657534246577</v>
      </c>
      <c r="G213" s="82">
        <f t="shared" si="21"/>
        <v>446.40591780821916</v>
      </c>
    </row>
    <row r="214" spans="1:7" ht="9" customHeight="1">
      <c r="A214" s="83" t="s">
        <v>241</v>
      </c>
      <c r="B214" s="99" t="s">
        <v>242</v>
      </c>
      <c r="C214" s="42" t="s">
        <v>29</v>
      </c>
      <c r="D214" s="61">
        <f t="shared" si="22"/>
        <v>2</v>
      </c>
      <c r="E214" s="82">
        <v>252.9</v>
      </c>
      <c r="F214" s="82">
        <f t="shared" si="20"/>
        <v>38.801095890410963</v>
      </c>
      <c r="G214" s="82">
        <f t="shared" si="21"/>
        <v>485.20701369863013</v>
      </c>
    </row>
    <row r="215" spans="1:7" ht="9" customHeight="1">
      <c r="A215" s="83" t="s">
        <v>243</v>
      </c>
      <c r="B215" s="99" t="s">
        <v>244</v>
      </c>
      <c r="C215" s="42" t="s">
        <v>29</v>
      </c>
      <c r="D215" s="61">
        <f t="shared" si="22"/>
        <v>2</v>
      </c>
      <c r="E215" s="82">
        <v>80</v>
      </c>
      <c r="F215" s="82">
        <f t="shared" si="20"/>
        <v>12.273972602739725</v>
      </c>
      <c r="G215" s="82">
        <f t="shared" si="21"/>
        <v>497.48098630136985</v>
      </c>
    </row>
    <row r="216" spans="1:7" ht="9" customHeight="1">
      <c r="A216" s="83" t="s">
        <v>245</v>
      </c>
      <c r="B216" s="99" t="s">
        <v>246</v>
      </c>
      <c r="C216" s="42" t="s">
        <v>29</v>
      </c>
      <c r="D216" s="61">
        <f t="shared" si="22"/>
        <v>2</v>
      </c>
      <c r="E216" s="82">
        <v>30</v>
      </c>
      <c r="F216" s="82">
        <f t="shared" si="20"/>
        <v>4.602739726027397</v>
      </c>
      <c r="G216" s="82">
        <f t="shared" si="21"/>
        <v>502.08372602739723</v>
      </c>
    </row>
    <row r="217" spans="1:7" ht="9" customHeight="1">
      <c r="A217" s="83" t="s">
        <v>247</v>
      </c>
      <c r="B217" s="99" t="s">
        <v>248</v>
      </c>
      <c r="C217" s="42" t="s">
        <v>29</v>
      </c>
      <c r="D217" s="61">
        <f t="shared" si="22"/>
        <v>2</v>
      </c>
      <c r="E217" s="82">
        <v>152.54</v>
      </c>
      <c r="F217" s="82">
        <f t="shared" si="20"/>
        <v>23.403397260273973</v>
      </c>
      <c r="G217" s="82">
        <f t="shared" si="21"/>
        <v>525.48712328767124</v>
      </c>
    </row>
    <row r="218" spans="1:7" ht="9" customHeight="1">
      <c r="A218" s="83" t="s">
        <v>249</v>
      </c>
      <c r="B218" s="99" t="s">
        <v>250</v>
      </c>
      <c r="C218" s="42" t="s">
        <v>29</v>
      </c>
      <c r="D218" s="61">
        <f t="shared" si="22"/>
        <v>2</v>
      </c>
      <c r="E218" s="82">
        <v>80</v>
      </c>
      <c r="F218" s="82">
        <f t="shared" si="20"/>
        <v>12.273972602739725</v>
      </c>
      <c r="G218" s="82">
        <f t="shared" si="21"/>
        <v>537.76109589041096</v>
      </c>
    </row>
    <row r="219" spans="1:7" ht="9" customHeight="1">
      <c r="A219" s="83" t="s">
        <v>251</v>
      </c>
      <c r="B219" s="99" t="s">
        <v>252</v>
      </c>
      <c r="C219" s="42" t="s">
        <v>253</v>
      </c>
      <c r="D219" s="61">
        <f t="shared" si="22"/>
        <v>2</v>
      </c>
      <c r="E219" s="82">
        <v>65.5</v>
      </c>
      <c r="F219" s="82">
        <f t="shared" si="20"/>
        <v>10.049315068493151</v>
      </c>
      <c r="G219" s="82">
        <f t="shared" si="21"/>
        <v>547.81041095890407</v>
      </c>
    </row>
    <row r="220" spans="1:7" ht="9" customHeight="1">
      <c r="A220" s="83" t="s">
        <v>254</v>
      </c>
      <c r="B220" s="99" t="s">
        <v>255</v>
      </c>
      <c r="C220" s="42" t="s">
        <v>29</v>
      </c>
      <c r="D220" s="61">
        <f>SUM($D$236:$D$238)</f>
        <v>5</v>
      </c>
      <c r="E220" s="82">
        <v>33.61</v>
      </c>
      <c r="F220" s="82">
        <f t="shared" si="20"/>
        <v>12.89150684931507</v>
      </c>
      <c r="G220" s="82">
        <f t="shared" si="21"/>
        <v>560.70191780821915</v>
      </c>
    </row>
    <row r="221" spans="1:7" ht="9" customHeight="1">
      <c r="A221" s="83" t="s">
        <v>256</v>
      </c>
      <c r="B221" s="99" t="s">
        <v>257</v>
      </c>
      <c r="C221" s="42" t="s">
        <v>29</v>
      </c>
      <c r="D221" s="61">
        <f>SUM($D$236:$D$238)</f>
        <v>5</v>
      </c>
      <c r="E221" s="82">
        <v>39</v>
      </c>
      <c r="F221" s="82">
        <f t="shared" si="20"/>
        <v>14.958904109589042</v>
      </c>
      <c r="G221" s="82">
        <f t="shared" si="21"/>
        <v>575.66082191780822</v>
      </c>
    </row>
    <row r="222" spans="1:7" ht="9" customHeight="1">
      <c r="A222" s="83" t="s">
        <v>258</v>
      </c>
      <c r="B222" s="99" t="s">
        <v>259</v>
      </c>
      <c r="C222" s="42" t="s">
        <v>29</v>
      </c>
      <c r="D222" s="61">
        <v>1</v>
      </c>
      <c r="E222" s="82">
        <v>345.88</v>
      </c>
      <c r="F222" s="82">
        <f t="shared" si="20"/>
        <v>26.533260273972601</v>
      </c>
      <c r="G222" s="82">
        <f t="shared" si="21"/>
        <v>602.19408219178081</v>
      </c>
    </row>
    <row r="223" spans="1:7" ht="9" customHeight="1">
      <c r="A223" s="83" t="s">
        <v>260</v>
      </c>
      <c r="B223" s="99" t="s">
        <v>261</v>
      </c>
      <c r="C223" s="42" t="s">
        <v>29</v>
      </c>
      <c r="D223" s="61">
        <f>SUM($D$236:$D$238)</f>
        <v>5</v>
      </c>
      <c r="E223" s="82">
        <v>114.42</v>
      </c>
      <c r="F223" s="82">
        <f t="shared" si="20"/>
        <v>43.887123287671237</v>
      </c>
      <c r="G223" s="82">
        <f t="shared" si="21"/>
        <v>646.08120547945202</v>
      </c>
    </row>
    <row r="224" spans="1:7" ht="9" customHeight="1">
      <c r="A224" s="83" t="s">
        <v>262</v>
      </c>
      <c r="B224" s="99" t="s">
        <v>263</v>
      </c>
      <c r="C224" s="42" t="s">
        <v>29</v>
      </c>
      <c r="D224" s="61">
        <f>SUM($D$236:$D$237)</f>
        <v>4</v>
      </c>
      <c r="E224" s="82">
        <v>288.13</v>
      </c>
      <c r="F224" s="82">
        <f t="shared" si="20"/>
        <v>88.412493150684938</v>
      </c>
      <c r="G224" s="82">
        <f t="shared" si="21"/>
        <v>734.49369863013692</v>
      </c>
    </row>
    <row r="225" spans="1:8" ht="9" customHeight="1">
      <c r="A225" s="83" t="s">
        <v>264</v>
      </c>
      <c r="B225" s="99" t="s">
        <v>265</v>
      </c>
      <c r="C225" s="42" t="s">
        <v>29</v>
      </c>
      <c r="D225" s="61">
        <f>D236</f>
        <v>2</v>
      </c>
      <c r="E225" s="82">
        <v>298.22000000000003</v>
      </c>
      <c r="F225" s="82">
        <f t="shared" si="20"/>
        <v>45.754301369863022</v>
      </c>
      <c r="G225" s="82">
        <f t="shared" si="21"/>
        <v>780.24799999999993</v>
      </c>
    </row>
    <row r="226" spans="1:8" ht="9" customHeight="1">
      <c r="A226" s="83" t="s">
        <v>266</v>
      </c>
      <c r="B226" s="99" t="s">
        <v>267</v>
      </c>
      <c r="C226" s="42" t="s">
        <v>29</v>
      </c>
      <c r="D226" s="61">
        <f>D237</f>
        <v>2</v>
      </c>
      <c r="E226" s="82">
        <v>127.12</v>
      </c>
      <c r="F226" s="82">
        <f t="shared" si="20"/>
        <v>19.503342465753427</v>
      </c>
      <c r="G226" s="82">
        <f t="shared" si="21"/>
        <v>799.7513424657534</v>
      </c>
    </row>
    <row r="227" spans="1:8" ht="9" customHeight="1">
      <c r="A227" s="83" t="s">
        <v>268</v>
      </c>
      <c r="B227" s="99" t="s">
        <v>269</v>
      </c>
      <c r="C227" s="42" t="s">
        <v>29</v>
      </c>
      <c r="D227" s="61">
        <f t="shared" ref="D227:D233" si="23">SUM($D$236:$D$238)</f>
        <v>5</v>
      </c>
      <c r="E227" s="82">
        <v>107.8</v>
      </c>
      <c r="F227" s="82">
        <f t="shared" si="20"/>
        <v>41.347945205479455</v>
      </c>
      <c r="G227" s="82">
        <f t="shared" si="21"/>
        <v>841.0992876712329</v>
      </c>
    </row>
    <row r="228" spans="1:8" ht="9" customHeight="1">
      <c r="A228" s="83" t="s">
        <v>270</v>
      </c>
      <c r="B228" s="99" t="s">
        <v>271</v>
      </c>
      <c r="C228" s="42" t="s">
        <v>29</v>
      </c>
      <c r="D228" s="61">
        <f t="shared" si="23"/>
        <v>5</v>
      </c>
      <c r="E228" s="82">
        <v>58.48</v>
      </c>
      <c r="F228" s="82">
        <f t="shared" si="20"/>
        <v>22.430684931506846</v>
      </c>
      <c r="G228" s="82">
        <f t="shared" si="21"/>
        <v>863.52997260273969</v>
      </c>
    </row>
    <row r="229" spans="1:8" ht="9" customHeight="1">
      <c r="A229" s="83" t="s">
        <v>272</v>
      </c>
      <c r="B229" s="99" t="s">
        <v>273</v>
      </c>
      <c r="C229" s="42" t="s">
        <v>29</v>
      </c>
      <c r="D229" s="61">
        <f t="shared" si="23"/>
        <v>5</v>
      </c>
      <c r="E229" s="82">
        <v>23.72</v>
      </c>
      <c r="F229" s="82">
        <f t="shared" si="20"/>
        <v>9.0980821917808221</v>
      </c>
      <c r="G229" s="82">
        <f t="shared" si="21"/>
        <v>872.62805479452049</v>
      </c>
    </row>
    <row r="230" spans="1:8" ht="9" customHeight="1">
      <c r="A230" s="83" t="s">
        <v>274</v>
      </c>
      <c r="B230" s="106" t="s">
        <v>523</v>
      </c>
      <c r="C230" s="42" t="s">
        <v>29</v>
      </c>
      <c r="D230" s="61">
        <f t="shared" si="23"/>
        <v>5</v>
      </c>
      <c r="E230" s="82">
        <v>30</v>
      </c>
      <c r="F230" s="82">
        <f t="shared" si="20"/>
        <v>11.506849315068493</v>
      </c>
      <c r="G230" s="82">
        <f t="shared" si="21"/>
        <v>884.134904109589</v>
      </c>
    </row>
    <row r="231" spans="1:8" ht="9" customHeight="1">
      <c r="A231" s="83" t="s">
        <v>275</v>
      </c>
      <c r="B231" s="99" t="s">
        <v>276</v>
      </c>
      <c r="C231" s="42" t="s">
        <v>29</v>
      </c>
      <c r="D231" s="61">
        <f t="shared" si="23"/>
        <v>5</v>
      </c>
      <c r="E231" s="82">
        <v>15</v>
      </c>
      <c r="F231" s="82">
        <f t="shared" si="20"/>
        <v>5.7534246575342465</v>
      </c>
      <c r="G231" s="82">
        <f t="shared" si="21"/>
        <v>889.8883287671232</v>
      </c>
    </row>
    <row r="232" spans="1:8" ht="9" customHeight="1">
      <c r="A232" s="83" t="s">
        <v>277</v>
      </c>
      <c r="B232" s="99" t="s">
        <v>278</v>
      </c>
      <c r="C232" s="42" t="s">
        <v>29</v>
      </c>
      <c r="D232" s="61">
        <f t="shared" si="23"/>
        <v>5</v>
      </c>
      <c r="E232" s="82">
        <v>15</v>
      </c>
      <c r="F232" s="82">
        <f t="shared" si="20"/>
        <v>5.7534246575342465</v>
      </c>
      <c r="G232" s="82">
        <f t="shared" si="21"/>
        <v>895.6417534246574</v>
      </c>
    </row>
    <row r="233" spans="1:8" ht="9" customHeight="1">
      <c r="A233" s="83" t="s">
        <v>279</v>
      </c>
      <c r="B233" s="99" t="s">
        <v>280</v>
      </c>
      <c r="C233" s="42" t="s">
        <v>29</v>
      </c>
      <c r="D233" s="61">
        <f t="shared" si="23"/>
        <v>5</v>
      </c>
      <c r="E233" s="82">
        <v>5</v>
      </c>
      <c r="F233" s="82">
        <f t="shared" si="20"/>
        <v>1.9178082191780821</v>
      </c>
      <c r="G233" s="82">
        <f t="shared" si="21"/>
        <v>897.55956164383542</v>
      </c>
    </row>
    <row r="234" spans="1:8" ht="9" customHeight="1">
      <c r="A234" s="47" t="s">
        <v>281</v>
      </c>
      <c r="B234" s="52" t="s">
        <v>282</v>
      </c>
      <c r="C234" s="49" t="s">
        <v>29</v>
      </c>
      <c r="D234" s="64">
        <f t="shared" ref="D234" si="24">$D$236</f>
        <v>2</v>
      </c>
      <c r="E234" s="65">
        <v>35</v>
      </c>
      <c r="F234" s="65">
        <f t="shared" si="20"/>
        <v>5.3698630136986303</v>
      </c>
      <c r="G234" s="65">
        <f t="shared" si="21"/>
        <v>902.92942465753401</v>
      </c>
    </row>
    <row r="235" spans="1:8" ht="9.5" customHeight="1">
      <c r="A235" s="88" t="s">
        <v>283</v>
      </c>
      <c r="B235" s="110" t="s">
        <v>284</v>
      </c>
      <c r="C235" s="100"/>
      <c r="D235" s="66"/>
      <c r="E235" s="67"/>
      <c r="F235" s="67"/>
      <c r="G235" s="86">
        <f>SUM(F236:F238)</f>
        <v>8120</v>
      </c>
      <c r="H235" s="16"/>
    </row>
    <row r="236" spans="1:8" ht="9.5" customHeight="1">
      <c r="A236" s="44" t="s">
        <v>285</v>
      </c>
      <c r="B236" s="53" t="s">
        <v>286</v>
      </c>
      <c r="C236" s="46" t="s">
        <v>29</v>
      </c>
      <c r="D236" s="62">
        <v>2</v>
      </c>
      <c r="E236" s="63">
        <v>1900</v>
      </c>
      <c r="F236" s="63">
        <f>E236/30*D236*$F$2</f>
        <v>3546.666666666667</v>
      </c>
      <c r="G236" s="63">
        <f>F236</f>
        <v>3546.666666666667</v>
      </c>
    </row>
    <row r="237" spans="1:8" ht="9" customHeight="1">
      <c r="A237" s="83" t="s">
        <v>285</v>
      </c>
      <c r="B237" s="106" t="s">
        <v>517</v>
      </c>
      <c r="C237" s="42" t="s">
        <v>29</v>
      </c>
      <c r="D237" s="61">
        <v>2</v>
      </c>
      <c r="E237" s="82">
        <v>1200</v>
      </c>
      <c r="F237" s="82">
        <f t="shared" ref="F237:F238" si="25">E237/30*D237*$F$2</f>
        <v>2240</v>
      </c>
      <c r="G237" s="82">
        <f>F237+G236</f>
        <v>5786.666666666667</v>
      </c>
    </row>
    <row r="238" spans="1:8" ht="9" customHeight="1">
      <c r="A238" s="47" t="s">
        <v>285</v>
      </c>
      <c r="B238" s="105" t="s">
        <v>518</v>
      </c>
      <c r="C238" s="49" t="s">
        <v>29</v>
      </c>
      <c r="D238" s="64">
        <v>1</v>
      </c>
      <c r="E238" s="65">
        <v>2500</v>
      </c>
      <c r="F238" s="65">
        <f t="shared" si="25"/>
        <v>2333.333333333333</v>
      </c>
      <c r="G238" s="65">
        <f>F238+G237</f>
        <v>8120</v>
      </c>
    </row>
    <row r="239" spans="1:8" ht="9.5" customHeight="1">
      <c r="A239" s="88" t="s">
        <v>287</v>
      </c>
      <c r="B239" s="110" t="s">
        <v>288</v>
      </c>
      <c r="C239" s="100"/>
      <c r="D239" s="66"/>
      <c r="E239" s="67"/>
      <c r="F239" s="67"/>
      <c r="G239" s="86">
        <f>SUM(F240:F242)</f>
        <v>3585</v>
      </c>
      <c r="H239" s="16"/>
    </row>
    <row r="240" spans="1:8" ht="9.5" customHeight="1">
      <c r="A240" s="44" t="s">
        <v>289</v>
      </c>
      <c r="B240" s="53" t="s">
        <v>290</v>
      </c>
      <c r="C240" s="46" t="s">
        <v>29</v>
      </c>
      <c r="D240" s="62">
        <v>3</v>
      </c>
      <c r="E240" s="63">
        <v>175</v>
      </c>
      <c r="F240" s="63">
        <f>D240*E240</f>
        <v>525</v>
      </c>
      <c r="G240" s="63">
        <v>1500</v>
      </c>
    </row>
    <row r="241" spans="1:11" ht="9" customHeight="1">
      <c r="A241" s="83" t="s">
        <v>291</v>
      </c>
      <c r="B241" s="99" t="s">
        <v>292</v>
      </c>
      <c r="C241" s="81" t="s">
        <v>521</v>
      </c>
      <c r="D241" s="61">
        <f t="shared" ref="D241" si="26">SUM($D$236:$D$238)</f>
        <v>5</v>
      </c>
      <c r="E241" s="82">
        <v>15</v>
      </c>
      <c r="F241" s="82">
        <f>D241*E241*$F$2</f>
        <v>2100</v>
      </c>
      <c r="G241" s="82">
        <v>15390</v>
      </c>
    </row>
    <row r="242" spans="1:11" ht="9" customHeight="1">
      <c r="A242" s="47" t="s">
        <v>293</v>
      </c>
      <c r="B242" s="105" t="s">
        <v>519</v>
      </c>
      <c r="C242" s="84" t="s">
        <v>520</v>
      </c>
      <c r="D242" s="64">
        <v>8</v>
      </c>
      <c r="E242" s="65">
        <v>120</v>
      </c>
      <c r="F242" s="65">
        <f t="shared" ref="F242" si="27">D242*E242</f>
        <v>960</v>
      </c>
      <c r="G242" s="65">
        <v>21600</v>
      </c>
    </row>
    <row r="243" spans="1:11" ht="20.3" customHeight="1">
      <c r="A243" s="183" t="s">
        <v>421</v>
      </c>
      <c r="B243" s="183"/>
      <c r="C243" s="183"/>
      <c r="D243" s="183"/>
      <c r="E243" s="183"/>
      <c r="F243" s="183"/>
      <c r="G243" s="86">
        <f>SUM(G239,G235,G25,G5)</f>
        <v>159223.65774650936</v>
      </c>
      <c r="H243" s="40"/>
      <c r="I243" s="40"/>
    </row>
    <row r="244" spans="1:11" ht="20.3" customHeight="1">
      <c r="A244" s="183" t="s">
        <v>419</v>
      </c>
      <c r="B244" s="183"/>
      <c r="C244" s="183"/>
      <c r="D244" s="183"/>
      <c r="E244" s="183"/>
      <c r="F244" s="101">
        <v>0.1</v>
      </c>
      <c r="G244" s="86">
        <f>G243*F244</f>
        <v>15922.365774650936</v>
      </c>
      <c r="H244" s="40"/>
      <c r="I244" s="40"/>
    </row>
    <row r="245" spans="1:11" ht="20.3" customHeight="1">
      <c r="A245" s="178" t="s">
        <v>420</v>
      </c>
      <c r="B245" s="178"/>
      <c r="C245" s="178"/>
      <c r="D245" s="178"/>
      <c r="E245" s="178"/>
      <c r="F245" s="102">
        <v>0.1</v>
      </c>
      <c r="G245" s="103">
        <f>G243*F245</f>
        <v>15922.365774650936</v>
      </c>
      <c r="H245" s="40"/>
      <c r="I245" s="40"/>
    </row>
    <row r="246" spans="1:11" ht="20.3" customHeight="1">
      <c r="A246" s="178" t="s">
        <v>418</v>
      </c>
      <c r="B246" s="178"/>
      <c r="C246" s="178"/>
      <c r="D246" s="178"/>
      <c r="E246" s="178"/>
      <c r="F246" s="178"/>
      <c r="G246" s="86">
        <f>SUM(G243:G245)</f>
        <v>191068.38929581124</v>
      </c>
      <c r="H246" s="40"/>
      <c r="I246" s="40"/>
    </row>
    <row r="247" spans="1:11" ht="20.3" customHeight="1">
      <c r="A247" s="179" t="s">
        <v>422</v>
      </c>
      <c r="B247" s="180"/>
      <c r="C247" s="180"/>
      <c r="D247" s="180"/>
      <c r="E247" s="180"/>
      <c r="F247" s="180"/>
      <c r="G247" s="57" cm="1">
        <f t="array" ref="G247">G246/usd</f>
        <v>51046.857947050827</v>
      </c>
      <c r="I247" s="54" t="s">
        <v>417</v>
      </c>
      <c r="J247" s="55">
        <v>45435</v>
      </c>
      <c r="K247" s="70">
        <v>3.7429999999999999</v>
      </c>
    </row>
    <row r="248" spans="1:11">
      <c r="I248" s="56">
        <f>12000+30000*4+36000*6</f>
        <v>348000</v>
      </c>
    </row>
    <row r="249" spans="1:11">
      <c r="I249" s="56">
        <f>BTU/12000*2000</f>
        <v>58000</v>
      </c>
    </row>
  </sheetData>
  <mergeCells count="7">
    <mergeCell ref="A246:F246"/>
    <mergeCell ref="A247:F247"/>
    <mergeCell ref="A2:D2"/>
    <mergeCell ref="A4:G4"/>
    <mergeCell ref="A243:F243"/>
    <mergeCell ref="A244:E244"/>
    <mergeCell ref="A245:E245"/>
  </mergeCells>
  <phoneticPr fontId="35" type="noConversion"/>
  <pageMargins left="0.7" right="0.7" top="0.75" bottom="0.75" header="0.3" footer="0.3"/>
  <pageSetup paperSize="9" scale="73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"/>
  <sheetViews>
    <sheetView workbookViewId="0">
      <selection sqref="A1:B1"/>
    </sheetView>
  </sheetViews>
  <sheetFormatPr baseColWidth="10" defaultColWidth="8.7109375" defaultRowHeight="13.1"/>
  <cols>
    <col min="1" max="1" width="12.7109375" customWidth="1"/>
    <col min="2" max="2" width="20.7109375" customWidth="1"/>
    <col min="3" max="3" width="31.140625" customWidth="1"/>
    <col min="4" max="4" width="3.140625" customWidth="1"/>
    <col min="5" max="5" width="22.140625" customWidth="1"/>
    <col min="6" max="6" width="37.28515625" customWidth="1"/>
    <col min="7" max="7" width="3.28515625" customWidth="1"/>
  </cols>
  <sheetData>
    <row r="1" spans="1:7" ht="26.2" customHeight="1">
      <c r="A1" s="168" t="s">
        <v>0</v>
      </c>
      <c r="B1" s="168"/>
      <c r="C1" s="1" t="s">
        <v>1</v>
      </c>
      <c r="D1" s="169" t="s">
        <v>294</v>
      </c>
      <c r="E1" s="169"/>
      <c r="F1" s="169"/>
      <c r="G1" s="169"/>
    </row>
    <row r="2" spans="1:7" ht="38.299999999999997" customHeight="1">
      <c r="A2" s="162" t="s">
        <v>3</v>
      </c>
      <c r="B2" s="162"/>
      <c r="C2" s="162"/>
      <c r="D2" s="162"/>
      <c r="E2" s="162"/>
      <c r="F2" s="162"/>
      <c r="G2" s="162"/>
    </row>
    <row r="3" spans="1:7" ht="25.55" customHeight="1">
      <c r="A3" s="2" t="s">
        <v>4</v>
      </c>
      <c r="B3" s="164" t="s">
        <v>5</v>
      </c>
      <c r="C3" s="164"/>
      <c r="D3" s="164"/>
      <c r="E3" s="171"/>
      <c r="F3" s="171"/>
    </row>
    <row r="4" spans="1:7" ht="12.8" customHeight="1">
      <c r="A4" s="3" t="s">
        <v>6</v>
      </c>
      <c r="B4" s="164" t="s">
        <v>7</v>
      </c>
      <c r="C4" s="164"/>
      <c r="D4" s="164"/>
      <c r="E4" s="4" t="s">
        <v>8</v>
      </c>
      <c r="F4" s="5" t="s">
        <v>295</v>
      </c>
    </row>
    <row r="5" spans="1:7" ht="12.8" customHeight="1">
      <c r="A5" s="3" t="s">
        <v>10</v>
      </c>
      <c r="B5" s="165" t="s">
        <v>11</v>
      </c>
      <c r="C5" s="165"/>
      <c r="D5" s="165"/>
      <c r="E5" s="4" t="s">
        <v>12</v>
      </c>
      <c r="F5" s="5" t="s">
        <v>13</v>
      </c>
    </row>
    <row r="6" spans="1:7" ht="12.8" customHeight="1">
      <c r="A6" s="166" t="s">
        <v>14</v>
      </c>
      <c r="B6" s="166"/>
      <c r="C6" s="166"/>
      <c r="D6" s="166"/>
      <c r="E6" s="166"/>
      <c r="F6" s="166"/>
      <c r="G6" s="166"/>
    </row>
    <row r="7" spans="1:7" ht="25.55" customHeight="1">
      <c r="A7" s="162" t="s">
        <v>296</v>
      </c>
      <c r="B7" s="162"/>
      <c r="C7" s="162"/>
      <c r="D7" s="162"/>
      <c r="E7" s="162"/>
      <c r="F7" s="162"/>
      <c r="G7" s="162"/>
    </row>
    <row r="8" spans="1:7" ht="12.8" customHeight="1">
      <c r="A8" s="167" t="s">
        <v>297</v>
      </c>
      <c r="B8" s="167"/>
      <c r="C8" s="167"/>
      <c r="D8" s="167"/>
      <c r="E8" s="167"/>
      <c r="F8" s="167"/>
      <c r="G8" s="167"/>
    </row>
    <row r="9" spans="1:7" ht="63.85" customHeight="1">
      <c r="A9" s="162" t="s">
        <v>17</v>
      </c>
      <c r="B9" s="162"/>
      <c r="C9" s="162"/>
      <c r="D9" s="162"/>
      <c r="E9" s="162"/>
      <c r="F9" s="162"/>
      <c r="G9" s="162"/>
    </row>
    <row r="10" spans="1:7" ht="12.8" customHeight="1">
      <c r="A10" s="162" t="s">
        <v>18</v>
      </c>
      <c r="B10" s="162"/>
      <c r="C10" s="162"/>
      <c r="D10" s="162"/>
      <c r="E10" s="162"/>
      <c r="F10" s="162"/>
      <c r="G10" s="162"/>
    </row>
    <row r="11" spans="1:7" ht="47" customHeight="1">
      <c r="A11" s="162" t="s">
        <v>19</v>
      </c>
      <c r="B11" s="162"/>
      <c r="C11" s="162"/>
      <c r="D11" s="162"/>
      <c r="E11" s="162"/>
      <c r="F11" s="162"/>
      <c r="G11" s="162"/>
    </row>
    <row r="12" spans="1:7" ht="46.5" customHeight="1">
      <c r="A12" s="163" t="s">
        <v>20</v>
      </c>
      <c r="B12" s="163"/>
      <c r="C12" s="163"/>
      <c r="D12" s="163"/>
      <c r="E12" s="163"/>
      <c r="F12" s="163"/>
      <c r="G12" s="163"/>
    </row>
    <row r="13" spans="1:7" ht="2.95" customHeight="1"/>
    <row r="14" spans="1:7" ht="2.95" customHeight="1"/>
    <row r="15" spans="1:7" ht="2.95" customHeight="1"/>
    <row r="16" spans="1:7" ht="94.25" customHeight="1"/>
  </sheetData>
  <mergeCells count="14">
    <mergeCell ref="A1:B1"/>
    <mergeCell ref="D1:G1"/>
    <mergeCell ref="A2:G2"/>
    <mergeCell ref="B3:D3"/>
    <mergeCell ref="E3:F3"/>
    <mergeCell ref="A9:G9"/>
    <mergeCell ref="A10:G10"/>
    <mergeCell ref="A11:G11"/>
    <mergeCell ref="A12:G12"/>
    <mergeCell ref="B4:D4"/>
    <mergeCell ref="B5:D5"/>
    <mergeCell ref="A6:G6"/>
    <mergeCell ref="A7:G7"/>
    <mergeCell ref="A8:G8"/>
  </mergeCells>
  <hyperlinks>
    <hyperlink ref="B4" r:id="rId1" display="mailto:Alvaro.Supo@glencore.com.pe" xr:uid="{00000000-0004-0000-0400-000000000000}"/>
    <hyperlink ref="A12" r:id="rId2" display="mailto:luis.vargas@jpingenieria.pe" xr:uid="{00000000-0004-0000-0400-000001000000}"/>
  </hyperlink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6"/>
  <sheetViews>
    <sheetView workbookViewId="0">
      <selection sqref="A1:B1"/>
    </sheetView>
  </sheetViews>
  <sheetFormatPr baseColWidth="10" defaultColWidth="8.7109375" defaultRowHeight="13.1"/>
  <cols>
    <col min="1" max="1" width="12.7109375" customWidth="1"/>
    <col min="2" max="2" width="20.7109375" customWidth="1"/>
    <col min="3" max="3" width="31.140625" customWidth="1"/>
    <col min="4" max="4" width="3.140625" customWidth="1"/>
    <col min="5" max="5" width="22.140625" customWidth="1"/>
    <col min="6" max="6" width="37.28515625" customWidth="1"/>
    <col min="7" max="7" width="3.28515625" customWidth="1"/>
  </cols>
  <sheetData>
    <row r="1" spans="1:7" ht="26.2" customHeight="1">
      <c r="A1" s="168" t="s">
        <v>0</v>
      </c>
      <c r="B1" s="168"/>
      <c r="C1" s="1" t="s">
        <v>1</v>
      </c>
      <c r="D1" s="169" t="s">
        <v>352</v>
      </c>
      <c r="E1" s="169"/>
      <c r="F1" s="169"/>
      <c r="G1" s="169"/>
    </row>
    <row r="2" spans="1:7" ht="38.299999999999997" customHeight="1">
      <c r="A2" s="162" t="s">
        <v>3</v>
      </c>
      <c r="B2" s="162"/>
      <c r="C2" s="162"/>
      <c r="D2" s="162"/>
      <c r="E2" s="162"/>
      <c r="F2" s="162"/>
      <c r="G2" s="162"/>
    </row>
    <row r="3" spans="1:7" ht="25.55" customHeight="1">
      <c r="A3" s="2" t="s">
        <v>4</v>
      </c>
      <c r="B3" s="164" t="s">
        <v>5</v>
      </c>
      <c r="C3" s="164"/>
      <c r="D3" s="164"/>
      <c r="E3" s="171"/>
      <c r="F3" s="171"/>
    </row>
    <row r="4" spans="1:7" ht="12.8" customHeight="1">
      <c r="A4" s="3" t="s">
        <v>6</v>
      </c>
      <c r="B4" s="164" t="s">
        <v>7</v>
      </c>
      <c r="C4" s="164"/>
      <c r="D4" s="164"/>
      <c r="E4" s="4" t="s">
        <v>8</v>
      </c>
      <c r="F4" s="5" t="s">
        <v>353</v>
      </c>
    </row>
    <row r="5" spans="1:7" ht="12.8" customHeight="1">
      <c r="A5" s="3" t="s">
        <v>10</v>
      </c>
      <c r="B5" s="165" t="s">
        <v>11</v>
      </c>
      <c r="C5" s="165"/>
      <c r="D5" s="165"/>
      <c r="E5" s="4" t="s">
        <v>12</v>
      </c>
      <c r="F5" s="5" t="s">
        <v>13</v>
      </c>
    </row>
    <row r="6" spans="1:7" ht="12.8" customHeight="1">
      <c r="A6" s="166" t="s">
        <v>14</v>
      </c>
      <c r="B6" s="166"/>
      <c r="C6" s="166"/>
      <c r="D6" s="166"/>
      <c r="E6" s="166"/>
      <c r="F6" s="166"/>
      <c r="G6" s="166"/>
    </row>
    <row r="7" spans="1:7" ht="25.55" customHeight="1">
      <c r="A7" s="162" t="s">
        <v>354</v>
      </c>
      <c r="B7" s="162"/>
      <c r="C7" s="162"/>
      <c r="D7" s="162"/>
      <c r="E7" s="162"/>
      <c r="F7" s="162"/>
      <c r="G7" s="162"/>
    </row>
    <row r="8" spans="1:7" ht="12.8" customHeight="1">
      <c r="A8" s="167" t="s">
        <v>355</v>
      </c>
      <c r="B8" s="167"/>
      <c r="C8" s="167"/>
      <c r="D8" s="167"/>
      <c r="E8" s="167"/>
      <c r="F8" s="167"/>
      <c r="G8" s="167"/>
    </row>
    <row r="9" spans="1:7" ht="63.85" customHeight="1">
      <c r="A9" s="162" t="s">
        <v>356</v>
      </c>
      <c r="B9" s="162"/>
      <c r="C9" s="162"/>
      <c r="D9" s="162"/>
      <c r="E9" s="162"/>
      <c r="F9" s="162"/>
      <c r="G9" s="162"/>
    </row>
    <row r="10" spans="1:7" ht="12.8" customHeight="1">
      <c r="A10" s="162" t="s">
        <v>18</v>
      </c>
      <c r="B10" s="162"/>
      <c r="C10" s="162"/>
      <c r="D10" s="162"/>
      <c r="E10" s="162"/>
      <c r="F10" s="162"/>
      <c r="G10" s="162"/>
    </row>
    <row r="11" spans="1:7" ht="47" customHeight="1">
      <c r="A11" s="162" t="s">
        <v>19</v>
      </c>
      <c r="B11" s="162"/>
      <c r="C11" s="162"/>
      <c r="D11" s="162"/>
      <c r="E11" s="162"/>
      <c r="F11" s="162"/>
      <c r="G11" s="162"/>
    </row>
    <row r="12" spans="1:7" ht="46.5" customHeight="1">
      <c r="A12" s="163" t="s">
        <v>20</v>
      </c>
      <c r="B12" s="163"/>
      <c r="C12" s="163"/>
      <c r="D12" s="163"/>
      <c r="E12" s="163"/>
      <c r="F12" s="163"/>
      <c r="G12" s="163"/>
    </row>
    <row r="13" spans="1:7" ht="2.95" customHeight="1"/>
    <row r="14" spans="1:7" ht="2.95" customHeight="1"/>
    <row r="15" spans="1:7" ht="2.95" customHeight="1"/>
    <row r="16" spans="1:7" ht="94.25" customHeight="1"/>
  </sheetData>
  <mergeCells count="14">
    <mergeCell ref="A1:B1"/>
    <mergeCell ref="D1:G1"/>
    <mergeCell ref="A2:G2"/>
    <mergeCell ref="B3:D3"/>
    <mergeCell ref="E3:F3"/>
    <mergeCell ref="A9:G9"/>
    <mergeCell ref="A10:G10"/>
    <mergeCell ref="A11:G11"/>
    <mergeCell ref="A12:G12"/>
    <mergeCell ref="B4:D4"/>
    <mergeCell ref="B5:D5"/>
    <mergeCell ref="A6:G6"/>
    <mergeCell ref="A7:G7"/>
    <mergeCell ref="A8:G8"/>
  </mergeCells>
  <hyperlinks>
    <hyperlink ref="B4" r:id="rId1" display="mailto:Alvaro.Supo@glencore.com.pe" xr:uid="{00000000-0004-0000-0600-000000000000}"/>
    <hyperlink ref="A12" r:id="rId2" display="mailto:luis.vargas@jpingenieria.pe" xr:uid="{00000000-0004-0000-0600-000001000000}"/>
  </hyperlink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54"/>
  <sheetViews>
    <sheetView topLeftCell="A20" workbookViewId="0">
      <selection activeCell="B8" sqref="B8:C8"/>
    </sheetView>
  </sheetViews>
  <sheetFormatPr baseColWidth="10" defaultColWidth="8.7109375" defaultRowHeight="13.1"/>
  <cols>
    <col min="1" max="1" width="9.28515625" customWidth="1"/>
    <col min="2" max="2" width="31.28515625" customWidth="1"/>
    <col min="3" max="3" width="8.42578125" customWidth="1"/>
    <col min="4" max="4" width="11.42578125" customWidth="1"/>
    <col min="5" max="5" width="12.140625" customWidth="1"/>
    <col min="6" max="6" width="15.28515625" customWidth="1"/>
    <col min="7" max="7" width="13.28515625" customWidth="1"/>
    <col min="8" max="8" width="10.42578125" customWidth="1"/>
    <col min="9" max="9" width="2.42578125" customWidth="1"/>
  </cols>
  <sheetData>
    <row r="1" spans="1:8" ht="11" customHeight="1">
      <c r="A1" s="190"/>
      <c r="B1" s="190"/>
      <c r="C1" s="190"/>
      <c r="D1" s="190"/>
      <c r="E1" s="190"/>
      <c r="F1" s="8" t="s">
        <v>298</v>
      </c>
      <c r="G1" s="9">
        <v>15</v>
      </c>
      <c r="H1" s="6"/>
    </row>
    <row r="2" spans="1:8" ht="11" customHeight="1">
      <c r="A2" s="10" t="s">
        <v>299</v>
      </c>
      <c r="B2" s="191" t="s">
        <v>300</v>
      </c>
      <c r="C2" s="191"/>
      <c r="D2" s="29" t="s">
        <v>301</v>
      </c>
      <c r="E2" s="30" t="s">
        <v>302</v>
      </c>
      <c r="F2" s="8" t="s">
        <v>303</v>
      </c>
      <c r="G2" s="11" t="s">
        <v>304</v>
      </c>
      <c r="H2" s="12" t="s">
        <v>305</v>
      </c>
    </row>
    <row r="3" spans="1:8" ht="11" customHeight="1">
      <c r="A3" s="187" t="s">
        <v>306</v>
      </c>
      <c r="B3" s="187"/>
      <c r="C3" s="187"/>
      <c r="D3" s="187"/>
      <c r="E3" s="187"/>
      <c r="F3" s="187"/>
      <c r="G3" s="187"/>
      <c r="H3" s="187"/>
    </row>
    <row r="4" spans="1:8" ht="11" customHeight="1">
      <c r="A4" s="10" t="s">
        <v>307</v>
      </c>
      <c r="B4" s="187" t="s">
        <v>308</v>
      </c>
      <c r="C4" s="187"/>
      <c r="D4" s="6"/>
      <c r="E4" s="6"/>
      <c r="F4" s="6"/>
      <c r="G4" s="6"/>
      <c r="H4" s="6"/>
    </row>
    <row r="5" spans="1:8" ht="10.5" customHeight="1">
      <c r="A5" s="13" t="s">
        <v>309</v>
      </c>
      <c r="B5" s="188" t="s">
        <v>357</v>
      </c>
      <c r="C5" s="188"/>
      <c r="D5" s="31" t="s">
        <v>311</v>
      </c>
      <c r="E5" s="32">
        <v>35</v>
      </c>
      <c r="F5" s="24">
        <v>263.2</v>
      </c>
      <c r="G5" s="14">
        <v>9212</v>
      </c>
      <c r="H5" s="15">
        <v>9212</v>
      </c>
    </row>
    <row r="6" spans="1:8" ht="10.15" customHeight="1">
      <c r="A6" s="21" t="s">
        <v>310</v>
      </c>
      <c r="B6" s="189" t="s">
        <v>358</v>
      </c>
      <c r="C6" s="189"/>
      <c r="D6" s="33" t="s">
        <v>311</v>
      </c>
      <c r="E6" s="34">
        <v>100</v>
      </c>
      <c r="F6" s="22">
        <v>45</v>
      </c>
      <c r="G6" s="28">
        <v>4500</v>
      </c>
      <c r="H6" s="23">
        <v>13712</v>
      </c>
    </row>
    <row r="7" spans="1:8" ht="11" customHeight="1">
      <c r="A7" s="10" t="s">
        <v>312</v>
      </c>
      <c r="B7" s="187" t="s">
        <v>313</v>
      </c>
      <c r="C7" s="187"/>
      <c r="D7" s="6"/>
      <c r="E7" s="6"/>
      <c r="F7" s="6"/>
      <c r="G7" s="6"/>
      <c r="H7" s="6"/>
    </row>
    <row r="8" spans="1:8" ht="10.5" customHeight="1">
      <c r="A8" s="13" t="s">
        <v>314</v>
      </c>
      <c r="B8" s="188" t="s">
        <v>359</v>
      </c>
      <c r="C8" s="188"/>
      <c r="D8" s="31" t="s">
        <v>311</v>
      </c>
      <c r="E8" s="32">
        <v>20</v>
      </c>
      <c r="F8" s="24">
        <v>90</v>
      </c>
      <c r="G8" s="14">
        <v>1800</v>
      </c>
      <c r="H8" s="15">
        <v>1800</v>
      </c>
    </row>
    <row r="9" spans="1:8" ht="9.85" customHeight="1">
      <c r="A9" s="17" t="s">
        <v>360</v>
      </c>
      <c r="B9" s="184" t="s">
        <v>361</v>
      </c>
      <c r="C9" s="184"/>
      <c r="D9" s="35" t="s">
        <v>311</v>
      </c>
      <c r="E9" s="36">
        <v>35</v>
      </c>
      <c r="F9" s="20">
        <v>8.9</v>
      </c>
      <c r="G9" s="20">
        <v>311.5</v>
      </c>
      <c r="H9" s="19">
        <v>2111.5</v>
      </c>
    </row>
    <row r="10" spans="1:8" ht="9.85" customHeight="1">
      <c r="A10" s="17" t="s">
        <v>362</v>
      </c>
      <c r="B10" s="184" t="s">
        <v>363</v>
      </c>
      <c r="C10" s="184"/>
      <c r="D10" s="35" t="s">
        <v>311</v>
      </c>
      <c r="E10" s="36">
        <v>53</v>
      </c>
      <c r="F10" s="20">
        <v>3.7</v>
      </c>
      <c r="G10" s="20">
        <v>196.1</v>
      </c>
      <c r="H10" s="19">
        <v>2307.6</v>
      </c>
    </row>
    <row r="11" spans="1:8" ht="9.85" customHeight="1">
      <c r="A11" s="17" t="s">
        <v>364</v>
      </c>
      <c r="B11" s="184" t="s">
        <v>365</v>
      </c>
      <c r="C11" s="184"/>
      <c r="D11" s="35" t="s">
        <v>311</v>
      </c>
      <c r="E11" s="36">
        <v>35</v>
      </c>
      <c r="F11" s="20">
        <v>5.6</v>
      </c>
      <c r="G11" s="20">
        <v>196</v>
      </c>
      <c r="H11" s="19">
        <v>2503.6</v>
      </c>
    </row>
    <row r="12" spans="1:8" ht="9.85" customHeight="1">
      <c r="A12" s="17" t="s">
        <v>366</v>
      </c>
      <c r="B12" s="184" t="s">
        <v>367</v>
      </c>
      <c r="C12" s="184"/>
      <c r="D12" s="35" t="s">
        <v>368</v>
      </c>
      <c r="E12" s="36">
        <v>420</v>
      </c>
      <c r="F12" s="20">
        <v>28.9</v>
      </c>
      <c r="G12" s="18">
        <v>12138</v>
      </c>
      <c r="H12" s="19">
        <v>14641.6</v>
      </c>
    </row>
    <row r="13" spans="1:8" ht="9.85" customHeight="1">
      <c r="A13" s="17" t="s">
        <v>369</v>
      </c>
      <c r="B13" s="184" t="s">
        <v>370</v>
      </c>
      <c r="C13" s="184"/>
      <c r="D13" s="35" t="s">
        <v>371</v>
      </c>
      <c r="E13" s="36">
        <v>10</v>
      </c>
      <c r="F13" s="20">
        <v>61.7</v>
      </c>
      <c r="G13" s="20">
        <v>617</v>
      </c>
      <c r="H13" s="19">
        <v>15258.6</v>
      </c>
    </row>
    <row r="14" spans="1:8" ht="9.85" customHeight="1">
      <c r="A14" s="17" t="s">
        <v>372</v>
      </c>
      <c r="B14" s="184" t="s">
        <v>373</v>
      </c>
      <c r="C14" s="184"/>
      <c r="D14" s="35" t="s">
        <v>371</v>
      </c>
      <c r="E14" s="36">
        <v>10</v>
      </c>
      <c r="F14" s="20">
        <v>65</v>
      </c>
      <c r="G14" s="20">
        <v>650</v>
      </c>
      <c r="H14" s="19">
        <v>15908.6</v>
      </c>
    </row>
    <row r="15" spans="1:8" ht="9.85" customHeight="1">
      <c r="A15" s="17" t="s">
        <v>315</v>
      </c>
      <c r="B15" s="184" t="s">
        <v>374</v>
      </c>
      <c r="C15" s="184"/>
      <c r="D15" s="35" t="s">
        <v>311</v>
      </c>
      <c r="E15" s="36">
        <v>25</v>
      </c>
      <c r="F15" s="20">
        <v>15</v>
      </c>
      <c r="G15" s="20">
        <v>375</v>
      </c>
      <c r="H15" s="19">
        <v>16283.6</v>
      </c>
    </row>
    <row r="16" spans="1:8" ht="9.85" customHeight="1">
      <c r="A16" s="17" t="s">
        <v>375</v>
      </c>
      <c r="B16" s="184" t="s">
        <v>376</v>
      </c>
      <c r="C16" s="184"/>
      <c r="D16" s="35" t="s">
        <v>311</v>
      </c>
      <c r="E16" s="36">
        <v>25</v>
      </c>
      <c r="F16" s="20">
        <v>15</v>
      </c>
      <c r="G16" s="20">
        <v>375</v>
      </c>
      <c r="H16" s="19">
        <v>16658.599999999999</v>
      </c>
    </row>
    <row r="17" spans="1:8" ht="9.85" customHeight="1">
      <c r="A17" s="17" t="s">
        <v>377</v>
      </c>
      <c r="B17" s="184" t="s">
        <v>378</v>
      </c>
      <c r="C17" s="184"/>
      <c r="D17" s="35" t="s">
        <v>311</v>
      </c>
      <c r="E17" s="36">
        <v>25</v>
      </c>
      <c r="F17" s="20">
        <v>25</v>
      </c>
      <c r="G17" s="20">
        <v>625</v>
      </c>
      <c r="H17" s="19">
        <v>17283.599999999999</v>
      </c>
    </row>
    <row r="18" spans="1:8" ht="9.85" customHeight="1">
      <c r="A18" s="21" t="s">
        <v>379</v>
      </c>
      <c r="B18" s="189" t="s">
        <v>380</v>
      </c>
      <c r="C18" s="189"/>
      <c r="D18" s="33" t="s">
        <v>311</v>
      </c>
      <c r="E18" s="37">
        <v>5</v>
      </c>
      <c r="F18" s="22">
        <v>105</v>
      </c>
      <c r="G18" s="22">
        <v>525</v>
      </c>
      <c r="H18" s="23">
        <v>17808.599999999999</v>
      </c>
    </row>
    <row r="19" spans="1:8" ht="11" customHeight="1">
      <c r="A19" s="10" t="s">
        <v>316</v>
      </c>
      <c r="B19" s="187" t="s">
        <v>317</v>
      </c>
      <c r="C19" s="187"/>
      <c r="D19" s="6"/>
      <c r="E19" s="6"/>
      <c r="F19" s="6"/>
      <c r="G19" s="6"/>
      <c r="H19" s="6"/>
    </row>
    <row r="20" spans="1:8" ht="10.5" customHeight="1">
      <c r="A20" s="13" t="s">
        <v>381</v>
      </c>
      <c r="B20" s="188" t="s">
        <v>318</v>
      </c>
      <c r="C20" s="188"/>
      <c r="D20" s="31" t="s">
        <v>311</v>
      </c>
      <c r="E20" s="38">
        <v>1</v>
      </c>
      <c r="F20" s="14">
        <v>4567.2700000000004</v>
      </c>
      <c r="G20" s="24">
        <v>326.23</v>
      </c>
      <c r="H20" s="25">
        <v>326.23</v>
      </c>
    </row>
    <row r="21" spans="1:8" ht="9.85" customHeight="1">
      <c r="A21" s="17" t="s">
        <v>382</v>
      </c>
      <c r="B21" s="184" t="s">
        <v>319</v>
      </c>
      <c r="C21" s="184"/>
      <c r="D21" s="35" t="s">
        <v>311</v>
      </c>
      <c r="E21" s="39">
        <v>1</v>
      </c>
      <c r="F21" s="18">
        <v>1036.53</v>
      </c>
      <c r="G21" s="20">
        <v>74.040000000000006</v>
      </c>
      <c r="H21" s="26">
        <v>400.27</v>
      </c>
    </row>
    <row r="22" spans="1:8" ht="9.85" customHeight="1">
      <c r="A22" s="17" t="s">
        <v>383</v>
      </c>
      <c r="B22" s="184" t="s">
        <v>320</v>
      </c>
      <c r="C22" s="184"/>
      <c r="D22" s="35" t="s">
        <v>311</v>
      </c>
      <c r="E22" s="39">
        <v>1</v>
      </c>
      <c r="F22" s="20">
        <v>17.29</v>
      </c>
      <c r="G22" s="20">
        <v>1.23</v>
      </c>
      <c r="H22" s="26">
        <v>401.51</v>
      </c>
    </row>
    <row r="23" spans="1:8" ht="9.85" customHeight="1">
      <c r="A23" s="17" t="s">
        <v>384</v>
      </c>
      <c r="B23" s="184" t="s">
        <v>321</v>
      </c>
      <c r="C23" s="184"/>
      <c r="D23" s="35" t="s">
        <v>311</v>
      </c>
      <c r="E23" s="39">
        <v>1</v>
      </c>
      <c r="F23" s="20">
        <v>105.93</v>
      </c>
      <c r="G23" s="20">
        <v>7.57</v>
      </c>
      <c r="H23" s="26">
        <v>409.07</v>
      </c>
    </row>
    <row r="24" spans="1:8" ht="9.85" customHeight="1">
      <c r="A24" s="17" t="s">
        <v>385</v>
      </c>
      <c r="B24" s="184" t="s">
        <v>322</v>
      </c>
      <c r="C24" s="184"/>
      <c r="D24" s="35" t="s">
        <v>311</v>
      </c>
      <c r="E24" s="39">
        <v>1</v>
      </c>
      <c r="F24" s="20">
        <v>50.85</v>
      </c>
      <c r="G24" s="20">
        <v>3.63</v>
      </c>
      <c r="H24" s="26">
        <v>412.7</v>
      </c>
    </row>
    <row r="25" spans="1:8" ht="9.85" customHeight="1">
      <c r="A25" s="17" t="s">
        <v>386</v>
      </c>
      <c r="B25" s="184" t="s">
        <v>323</v>
      </c>
      <c r="C25" s="184"/>
      <c r="D25" s="35" t="s">
        <v>311</v>
      </c>
      <c r="E25" s="39">
        <v>1</v>
      </c>
      <c r="F25" s="20">
        <v>118.56</v>
      </c>
      <c r="G25" s="20">
        <v>8.4700000000000006</v>
      </c>
      <c r="H25" s="26">
        <v>421.17</v>
      </c>
    </row>
    <row r="26" spans="1:8" ht="9.85" customHeight="1">
      <c r="A26" s="17" t="s">
        <v>387</v>
      </c>
      <c r="B26" s="184" t="s">
        <v>324</v>
      </c>
      <c r="C26" s="184"/>
      <c r="D26" s="35" t="s">
        <v>311</v>
      </c>
      <c r="E26" s="39">
        <v>1</v>
      </c>
      <c r="F26" s="20">
        <v>224.49</v>
      </c>
      <c r="G26" s="20">
        <v>16.04</v>
      </c>
      <c r="H26" s="26">
        <v>437.21</v>
      </c>
    </row>
    <row r="27" spans="1:8" ht="9.85" customHeight="1">
      <c r="A27" s="17" t="s">
        <v>388</v>
      </c>
      <c r="B27" s="184" t="s">
        <v>325</v>
      </c>
      <c r="C27" s="184"/>
      <c r="D27" s="35" t="s">
        <v>311</v>
      </c>
      <c r="E27" s="39">
        <v>1</v>
      </c>
      <c r="F27" s="20">
        <v>21.1</v>
      </c>
      <c r="G27" s="20">
        <v>1.51</v>
      </c>
      <c r="H27" s="26">
        <v>438.72</v>
      </c>
    </row>
    <row r="28" spans="1:8" ht="9.85" customHeight="1">
      <c r="A28" s="17" t="s">
        <v>389</v>
      </c>
      <c r="B28" s="184" t="s">
        <v>390</v>
      </c>
      <c r="C28" s="184"/>
      <c r="D28" s="35" t="s">
        <v>311</v>
      </c>
      <c r="E28" s="39">
        <v>2</v>
      </c>
      <c r="F28" s="18">
        <v>1271.0999999999999</v>
      </c>
      <c r="G28" s="20">
        <v>181.59</v>
      </c>
      <c r="H28" s="26">
        <v>620.29999999999995</v>
      </c>
    </row>
    <row r="29" spans="1:8" ht="9.85" customHeight="1">
      <c r="A29" s="17" t="s">
        <v>391</v>
      </c>
      <c r="B29" s="184" t="s">
        <v>392</v>
      </c>
      <c r="C29" s="184"/>
      <c r="D29" s="35" t="s">
        <v>311</v>
      </c>
      <c r="E29" s="39">
        <v>2</v>
      </c>
      <c r="F29" s="20">
        <v>550</v>
      </c>
      <c r="G29" s="20">
        <v>78.569999999999993</v>
      </c>
      <c r="H29" s="26">
        <v>698.87</v>
      </c>
    </row>
    <row r="30" spans="1:8" ht="9.85" customHeight="1">
      <c r="A30" s="17" t="s">
        <v>393</v>
      </c>
      <c r="B30" s="184" t="s">
        <v>394</v>
      </c>
      <c r="C30" s="184"/>
      <c r="D30" s="35" t="s">
        <v>311</v>
      </c>
      <c r="E30" s="39">
        <v>1</v>
      </c>
      <c r="F30" s="20">
        <v>200</v>
      </c>
      <c r="G30" s="20">
        <v>14.29</v>
      </c>
      <c r="H30" s="26">
        <v>713.16</v>
      </c>
    </row>
    <row r="31" spans="1:8" ht="9.85" customHeight="1">
      <c r="A31" s="17" t="s">
        <v>395</v>
      </c>
      <c r="B31" s="184" t="s">
        <v>396</v>
      </c>
      <c r="C31" s="184"/>
      <c r="D31" s="35" t="s">
        <v>311</v>
      </c>
      <c r="E31" s="39">
        <v>1</v>
      </c>
      <c r="F31" s="18">
        <v>1500</v>
      </c>
      <c r="G31" s="20">
        <v>107.14</v>
      </c>
      <c r="H31" s="26">
        <v>820.3</v>
      </c>
    </row>
    <row r="32" spans="1:8" ht="9.85" customHeight="1">
      <c r="A32" s="17" t="s">
        <v>397</v>
      </c>
      <c r="B32" s="184" t="s">
        <v>398</v>
      </c>
      <c r="C32" s="184"/>
      <c r="D32" s="35" t="s">
        <v>311</v>
      </c>
      <c r="E32" s="39">
        <v>1</v>
      </c>
      <c r="F32" s="20">
        <v>250</v>
      </c>
      <c r="G32" s="20">
        <v>17.86</v>
      </c>
      <c r="H32" s="26">
        <v>838.16</v>
      </c>
    </row>
    <row r="33" spans="1:8" ht="9.85" customHeight="1">
      <c r="A33" s="21" t="s">
        <v>399</v>
      </c>
      <c r="B33" s="189" t="s">
        <v>326</v>
      </c>
      <c r="C33" s="189"/>
      <c r="D33" s="33" t="s">
        <v>311</v>
      </c>
      <c r="E33" s="37">
        <v>1</v>
      </c>
      <c r="F33" s="22">
        <v>50</v>
      </c>
      <c r="G33" s="22">
        <v>3.57</v>
      </c>
      <c r="H33" s="27">
        <v>841.73</v>
      </c>
    </row>
    <row r="34" spans="1:8" ht="11" customHeight="1">
      <c r="A34" s="10" t="s">
        <v>327</v>
      </c>
      <c r="B34" s="187" t="s">
        <v>328</v>
      </c>
      <c r="C34" s="187"/>
      <c r="D34" s="6"/>
      <c r="E34" s="6"/>
      <c r="F34" s="6"/>
      <c r="G34" s="6"/>
      <c r="H34" s="6"/>
    </row>
    <row r="35" spans="1:8" ht="10.5" customHeight="1">
      <c r="A35" s="13" t="s">
        <v>329</v>
      </c>
      <c r="B35" s="188" t="s">
        <v>330</v>
      </c>
      <c r="C35" s="188"/>
      <c r="D35" s="31" t="s">
        <v>311</v>
      </c>
      <c r="E35" s="38">
        <v>3</v>
      </c>
      <c r="F35" s="24">
        <v>43</v>
      </c>
      <c r="G35" s="24">
        <v>10.29</v>
      </c>
      <c r="H35" s="25">
        <v>10.29</v>
      </c>
    </row>
    <row r="36" spans="1:8" ht="9.85" customHeight="1">
      <c r="A36" s="17" t="s">
        <v>331</v>
      </c>
      <c r="B36" s="184" t="s">
        <v>342</v>
      </c>
      <c r="C36" s="184"/>
      <c r="D36" s="35" t="s">
        <v>311</v>
      </c>
      <c r="E36" s="39">
        <v>3</v>
      </c>
      <c r="F36" s="20">
        <v>150</v>
      </c>
      <c r="G36" s="20">
        <v>35.9</v>
      </c>
      <c r="H36" s="26">
        <v>46.2</v>
      </c>
    </row>
    <row r="37" spans="1:8" ht="9.85" customHeight="1">
      <c r="A37" s="17" t="s">
        <v>333</v>
      </c>
      <c r="B37" s="184" t="s">
        <v>400</v>
      </c>
      <c r="C37" s="184"/>
      <c r="D37" s="35" t="s">
        <v>311</v>
      </c>
      <c r="E37" s="39">
        <v>3</v>
      </c>
      <c r="F37" s="20">
        <v>85</v>
      </c>
      <c r="G37" s="20">
        <v>10.48</v>
      </c>
      <c r="H37" s="26">
        <v>56.68</v>
      </c>
    </row>
    <row r="38" spans="1:8" ht="9.85" customHeight="1">
      <c r="A38" s="17" t="s">
        <v>335</v>
      </c>
      <c r="B38" s="184" t="s">
        <v>345</v>
      </c>
      <c r="C38" s="184"/>
      <c r="D38" s="35" t="s">
        <v>311</v>
      </c>
      <c r="E38" s="39">
        <v>3</v>
      </c>
      <c r="F38" s="20">
        <v>23.52</v>
      </c>
      <c r="G38" s="20">
        <v>35.28</v>
      </c>
      <c r="H38" s="26">
        <v>91.96</v>
      </c>
    </row>
    <row r="39" spans="1:8" ht="9.85" customHeight="1">
      <c r="A39" s="17" t="s">
        <v>336</v>
      </c>
      <c r="B39" s="184" t="s">
        <v>334</v>
      </c>
      <c r="C39" s="184"/>
      <c r="D39" s="35" t="s">
        <v>311</v>
      </c>
      <c r="E39" s="39">
        <v>3</v>
      </c>
      <c r="F39" s="20">
        <v>25</v>
      </c>
      <c r="G39" s="20">
        <v>37.5</v>
      </c>
      <c r="H39" s="26">
        <v>129.46</v>
      </c>
    </row>
    <row r="40" spans="1:8" ht="9.85" customHeight="1">
      <c r="A40" s="17" t="s">
        <v>337</v>
      </c>
      <c r="B40" s="184" t="s">
        <v>339</v>
      </c>
      <c r="C40" s="184"/>
      <c r="D40" s="35" t="s">
        <v>311</v>
      </c>
      <c r="E40" s="39">
        <v>3</v>
      </c>
      <c r="F40" s="20">
        <v>2</v>
      </c>
      <c r="G40" s="20">
        <v>1</v>
      </c>
      <c r="H40" s="26">
        <v>130.46</v>
      </c>
    </row>
    <row r="41" spans="1:8" ht="9.85" customHeight="1">
      <c r="A41" s="17" t="s">
        <v>338</v>
      </c>
      <c r="B41" s="184" t="s">
        <v>332</v>
      </c>
      <c r="C41" s="184"/>
      <c r="D41" s="35" t="s">
        <v>311</v>
      </c>
      <c r="E41" s="39">
        <v>3</v>
      </c>
      <c r="F41" s="20">
        <v>3</v>
      </c>
      <c r="G41" s="20">
        <v>1.5</v>
      </c>
      <c r="H41" s="26">
        <v>131.96</v>
      </c>
    </row>
    <row r="42" spans="1:8" ht="9.85" customHeight="1">
      <c r="A42" s="17" t="s">
        <v>340</v>
      </c>
      <c r="B42" s="184" t="s">
        <v>401</v>
      </c>
      <c r="C42" s="184"/>
      <c r="D42" s="35" t="s">
        <v>311</v>
      </c>
      <c r="E42" s="39">
        <v>2</v>
      </c>
      <c r="F42" s="20">
        <v>30</v>
      </c>
      <c r="G42" s="20">
        <v>4.79</v>
      </c>
      <c r="H42" s="26">
        <v>136.74</v>
      </c>
    </row>
    <row r="43" spans="1:8" ht="9.85" customHeight="1">
      <c r="A43" s="17" t="s">
        <v>341</v>
      </c>
      <c r="B43" s="184" t="s">
        <v>402</v>
      </c>
      <c r="C43" s="184"/>
      <c r="D43" s="35" t="s">
        <v>311</v>
      </c>
      <c r="E43" s="39">
        <v>2</v>
      </c>
      <c r="F43" s="20">
        <v>590.92999999999995</v>
      </c>
      <c r="G43" s="20">
        <v>94.3</v>
      </c>
      <c r="H43" s="26">
        <v>231.04</v>
      </c>
    </row>
    <row r="44" spans="1:8" ht="9.85" customHeight="1">
      <c r="A44" s="17" t="s">
        <v>343</v>
      </c>
      <c r="B44" s="184" t="s">
        <v>403</v>
      </c>
      <c r="C44" s="184"/>
      <c r="D44" s="35" t="s">
        <v>311</v>
      </c>
      <c r="E44" s="39">
        <v>2</v>
      </c>
      <c r="F44" s="20">
        <v>80</v>
      </c>
      <c r="G44" s="20">
        <v>12.77</v>
      </c>
      <c r="H44" s="26">
        <v>243.81</v>
      </c>
    </row>
    <row r="45" spans="1:8" ht="9.85" customHeight="1">
      <c r="A45" s="21" t="s">
        <v>344</v>
      </c>
      <c r="B45" s="189" t="s">
        <v>404</v>
      </c>
      <c r="C45" s="189"/>
      <c r="D45" s="33" t="s">
        <v>311</v>
      </c>
      <c r="E45" s="37">
        <v>2</v>
      </c>
      <c r="F45" s="22">
        <v>20</v>
      </c>
      <c r="G45" s="22">
        <v>20</v>
      </c>
      <c r="H45" s="27">
        <v>263.81</v>
      </c>
    </row>
    <row r="46" spans="1:8" ht="11" customHeight="1">
      <c r="A46" s="10" t="s">
        <v>346</v>
      </c>
      <c r="B46" s="187" t="s">
        <v>347</v>
      </c>
      <c r="C46" s="187"/>
      <c r="D46" s="6"/>
      <c r="E46" s="6"/>
      <c r="F46" s="6"/>
      <c r="G46" s="6"/>
      <c r="H46" s="6"/>
    </row>
    <row r="47" spans="1:8" ht="10.5" customHeight="1">
      <c r="A47" s="13" t="s">
        <v>405</v>
      </c>
      <c r="B47" s="188" t="s">
        <v>348</v>
      </c>
      <c r="C47" s="188"/>
      <c r="D47" s="31" t="s">
        <v>311</v>
      </c>
      <c r="E47" s="38">
        <v>1</v>
      </c>
      <c r="F47" s="14">
        <v>3200</v>
      </c>
      <c r="G47" s="14">
        <v>1600</v>
      </c>
      <c r="H47" s="15">
        <v>1600</v>
      </c>
    </row>
    <row r="48" spans="1:8" ht="10.15" customHeight="1">
      <c r="A48" s="21" t="s">
        <v>406</v>
      </c>
      <c r="B48" s="189" t="s">
        <v>407</v>
      </c>
      <c r="C48" s="189"/>
      <c r="D48" s="33" t="s">
        <v>311</v>
      </c>
      <c r="E48" s="37">
        <v>2</v>
      </c>
      <c r="F48" s="28">
        <v>1920</v>
      </c>
      <c r="G48" s="28">
        <v>1920</v>
      </c>
      <c r="H48" s="23">
        <v>3520</v>
      </c>
    </row>
    <row r="49" spans="1:9" ht="11" customHeight="1">
      <c r="A49" s="10" t="s">
        <v>349</v>
      </c>
      <c r="B49" s="187" t="s">
        <v>350</v>
      </c>
      <c r="C49" s="187"/>
      <c r="D49" s="6"/>
      <c r="E49" s="6"/>
      <c r="F49" s="6"/>
      <c r="G49" s="6"/>
      <c r="H49" s="6"/>
    </row>
    <row r="50" spans="1:9" ht="10.5" customHeight="1">
      <c r="A50" s="13" t="s">
        <v>351</v>
      </c>
      <c r="B50" s="188" t="s">
        <v>408</v>
      </c>
      <c r="C50" s="188"/>
      <c r="D50" s="31" t="s">
        <v>311</v>
      </c>
      <c r="E50" s="38">
        <v>1</v>
      </c>
      <c r="F50" s="24">
        <v>300</v>
      </c>
      <c r="G50" s="24">
        <v>300</v>
      </c>
      <c r="H50" s="25">
        <v>300</v>
      </c>
    </row>
    <row r="51" spans="1:9" ht="9.85" customHeight="1">
      <c r="A51" s="17" t="s">
        <v>409</v>
      </c>
      <c r="B51" s="184" t="s">
        <v>410</v>
      </c>
      <c r="C51" s="184"/>
      <c r="D51" s="35" t="s">
        <v>311</v>
      </c>
      <c r="E51" s="39">
        <v>1</v>
      </c>
      <c r="F51" s="18">
        <v>2000</v>
      </c>
      <c r="G51" s="18">
        <v>2000</v>
      </c>
      <c r="H51" s="19">
        <v>2300</v>
      </c>
    </row>
    <row r="52" spans="1:9" ht="38.950000000000003" customHeight="1">
      <c r="A52" s="185" t="s">
        <v>411</v>
      </c>
      <c r="B52" s="185"/>
      <c r="C52" s="185"/>
      <c r="D52" s="185"/>
      <c r="E52" s="185"/>
      <c r="F52" s="185"/>
      <c r="G52" s="185"/>
      <c r="H52" s="185"/>
      <c r="I52" s="185"/>
    </row>
    <row r="53" spans="1:9" ht="29.95" customHeight="1"/>
    <row r="54" spans="1:9" ht="9.85" customHeight="1">
      <c r="A54" s="186" t="s">
        <v>412</v>
      </c>
      <c r="B54" s="186"/>
    </row>
  </sheetData>
  <mergeCells count="53">
    <mergeCell ref="A1:E1"/>
    <mergeCell ref="B2:C2"/>
    <mergeCell ref="A3:H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51:C51"/>
    <mergeCell ref="A52:I52"/>
    <mergeCell ref="A54:B54"/>
    <mergeCell ref="B46:C46"/>
    <mergeCell ref="B47:C47"/>
    <mergeCell ref="B48:C48"/>
    <mergeCell ref="B49:C49"/>
    <mergeCell ref="B50:C5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COTIZACION N°01</vt:lpstr>
      <vt:lpstr>COTIZACION</vt:lpstr>
      <vt:lpstr>PRESUPUESTO</vt:lpstr>
      <vt:lpstr>Table 5</vt:lpstr>
      <vt:lpstr>Table 7</vt:lpstr>
      <vt:lpstr>Table 8</vt:lpstr>
      <vt:lpstr>COTIZACION!Área_de_impresión</vt:lpstr>
      <vt:lpstr>PRESUPUESTO!Área_de_impresión</vt:lpstr>
      <vt:lpstr>BTU</vt:lpstr>
      <vt:lpstr>usd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JP_0000.2404.2024_METRADO MEJORAMIENTO DE OFICINA TI.xlsx</dc:title>
  <dc:creator>Marcobre-JP JP</dc:creator>
  <cp:lastModifiedBy>Julio Paredes</cp:lastModifiedBy>
  <dcterms:created xsi:type="dcterms:W3CDTF">2024-04-29T14:51:45Z</dcterms:created>
  <dcterms:modified xsi:type="dcterms:W3CDTF">2024-06-06T15:36:35Z</dcterms:modified>
</cp:coreProperties>
</file>