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mware\MCU16ASMPS_CodeExamples\dpsk3-power-buck-adaptive-gain-control\.mchp_private\reports\"/>
    </mc:Choice>
  </mc:AlternateContent>
  <xr:revisionPtr revIDLastSave="0" documentId="13_ncr:1_{968BA0A1-9C8B-40C0-94C3-B4C0A4A8D8BA}" xr6:coauthVersionLast="46" xr6:coauthVersionMax="46" xr10:uidLastSave="{00000000-0000-0000-0000-000000000000}"/>
  <bookViews>
    <workbookView xWindow="28680" yWindow="-120" windowWidth="29040" windowHeight="15990" xr2:uid="{3D56D478-F40D-45D1-8FA6-0836E8ED23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H3" i="1"/>
  <c r="H5" i="1" s="1"/>
  <c r="G12" i="1" s="1"/>
  <c r="G2" i="1"/>
  <c r="G5" i="1" s="1"/>
  <c r="F2" i="1"/>
  <c r="F5" i="1"/>
  <c r="K11" i="1"/>
  <c r="L11" i="1" s="1"/>
  <c r="F17" i="1"/>
  <c r="H17" i="1"/>
  <c r="G17" i="1"/>
  <c r="F16" i="1"/>
  <c r="G16" i="1"/>
  <c r="K9" i="1"/>
  <c r="K8" i="1"/>
  <c r="C21" i="1"/>
  <c r="C20" i="1"/>
  <c r="D33" i="1"/>
  <c r="D32" i="1"/>
  <c r="B33" i="1"/>
  <c r="C33" i="1" s="1"/>
  <c r="B32" i="1"/>
  <c r="C32" i="1" s="1"/>
  <c r="E59" i="2"/>
  <c r="D59" i="2"/>
  <c r="C59" i="2"/>
  <c r="E58" i="2"/>
  <c r="D58" i="2"/>
  <c r="C58" i="2"/>
  <c r="E57" i="2"/>
  <c r="F57" i="2" s="1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F52" i="2" s="1"/>
  <c r="C52" i="2"/>
  <c r="E51" i="2"/>
  <c r="D51" i="2"/>
  <c r="C51" i="2"/>
  <c r="E50" i="2"/>
  <c r="D50" i="2"/>
  <c r="C50" i="2"/>
  <c r="E49" i="2"/>
  <c r="F49" i="2" s="1"/>
  <c r="D49" i="2"/>
  <c r="C49" i="2"/>
  <c r="E48" i="2"/>
  <c r="D48" i="2"/>
  <c r="F48" i="2" s="1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23" i="2"/>
  <c r="E24" i="2"/>
  <c r="E25" i="2"/>
  <c r="E26" i="2"/>
  <c r="E27" i="2"/>
  <c r="F27" i="2" s="1"/>
  <c r="E28" i="2"/>
  <c r="E29" i="2"/>
  <c r="E30" i="2"/>
  <c r="E31" i="2"/>
  <c r="E32" i="2"/>
  <c r="E33" i="2"/>
  <c r="E34" i="2"/>
  <c r="E35" i="2"/>
  <c r="E36" i="2"/>
  <c r="E37" i="2"/>
  <c r="E38" i="2"/>
  <c r="E39" i="2"/>
  <c r="E22" i="2"/>
  <c r="D23" i="2"/>
  <c r="D24" i="2"/>
  <c r="D25" i="2"/>
  <c r="D26" i="2"/>
  <c r="D27" i="2"/>
  <c r="D28" i="2"/>
  <c r="D29" i="2"/>
  <c r="F29" i="2" s="1"/>
  <c r="D30" i="2"/>
  <c r="D31" i="2"/>
  <c r="D32" i="2"/>
  <c r="D33" i="2"/>
  <c r="D34" i="2"/>
  <c r="D35" i="2"/>
  <c r="D36" i="2"/>
  <c r="D37" i="2"/>
  <c r="F37" i="2" s="1"/>
  <c r="D38" i="2"/>
  <c r="D39" i="2"/>
  <c r="D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D3" i="2"/>
  <c r="F3" i="2" s="1"/>
  <c r="D4" i="2"/>
  <c r="F4" i="2" s="1"/>
  <c r="D5" i="2"/>
  <c r="D6" i="2"/>
  <c r="F6" i="2" s="1"/>
  <c r="D7" i="2"/>
  <c r="F7" i="2" s="1"/>
  <c r="D8" i="2"/>
  <c r="D9" i="2"/>
  <c r="D10" i="2"/>
  <c r="D11" i="2"/>
  <c r="F11" i="2" s="1"/>
  <c r="D12" i="2"/>
  <c r="F12" i="2" s="1"/>
  <c r="D13" i="2"/>
  <c r="D14" i="2"/>
  <c r="F14" i="2" s="1"/>
  <c r="D15" i="2"/>
  <c r="D16" i="2"/>
  <c r="D17" i="2"/>
  <c r="D18" i="2"/>
  <c r="D19" i="2"/>
  <c r="F19" i="2" s="1"/>
  <c r="D2" i="2"/>
  <c r="F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K10" i="1"/>
  <c r="L10" i="1"/>
  <c r="L8" i="1"/>
  <c r="K7" i="1"/>
  <c r="L7" i="1" s="1"/>
  <c r="K6" i="1"/>
  <c r="C14" i="1"/>
  <c r="B27" i="1"/>
  <c r="K4" i="1"/>
  <c r="K5" i="1" s="1"/>
  <c r="B12" i="1"/>
  <c r="D9" i="1"/>
  <c r="C9" i="1"/>
  <c r="B9" i="1"/>
  <c r="D6" i="1"/>
  <c r="B6" i="1"/>
  <c r="C5" i="1"/>
  <c r="C7" i="1" s="1"/>
  <c r="C8" i="1" s="1"/>
  <c r="D5" i="1"/>
  <c r="D7" i="1" s="1"/>
  <c r="B8" i="1" s="1"/>
  <c r="B28" i="1"/>
  <c r="C4" i="1"/>
  <c r="D4" i="1"/>
  <c r="B4" i="1"/>
  <c r="C22" i="1"/>
  <c r="B20" i="1"/>
  <c r="G9" i="1" l="1"/>
  <c r="G49" i="2"/>
  <c r="G27" i="2"/>
  <c r="G48" i="2"/>
  <c r="G37" i="2"/>
  <c r="G52" i="2"/>
  <c r="G29" i="2"/>
  <c r="G57" i="2"/>
  <c r="H16" i="1"/>
  <c r="F15" i="2"/>
  <c r="F34" i="2"/>
  <c r="G34" i="2" s="1"/>
  <c r="F26" i="2"/>
  <c r="G26" i="2" s="1"/>
  <c r="F43" i="2"/>
  <c r="G43" i="2" s="1"/>
  <c r="F39" i="2"/>
  <c r="G39" i="2" s="1"/>
  <c r="F31" i="2"/>
  <c r="G31" i="2" s="1"/>
  <c r="F35" i="2"/>
  <c r="G35" i="2" s="1"/>
  <c r="F53" i="2"/>
  <c r="G53" i="2" s="1"/>
  <c r="F22" i="2"/>
  <c r="G22" i="2" s="1"/>
  <c r="F32" i="2"/>
  <c r="G32" i="2" s="1"/>
  <c r="F24" i="2"/>
  <c r="G24" i="2" s="1"/>
  <c r="F23" i="2"/>
  <c r="G23" i="2" s="1"/>
  <c r="F45" i="2"/>
  <c r="G45" i="2" s="1"/>
  <c r="F55" i="2"/>
  <c r="G55" i="2" s="1"/>
  <c r="F38" i="2"/>
  <c r="G38" i="2" s="1"/>
  <c r="F30" i="2"/>
  <c r="G30" i="2" s="1"/>
  <c r="F17" i="2"/>
  <c r="F9" i="2"/>
  <c r="F16" i="2"/>
  <c r="G16" i="2" s="1"/>
  <c r="F8" i="2"/>
  <c r="G8" i="2" s="1"/>
  <c r="F36" i="2"/>
  <c r="G36" i="2" s="1"/>
  <c r="F28" i="2"/>
  <c r="G28" i="2" s="1"/>
  <c r="F56" i="2"/>
  <c r="G56" i="2" s="1"/>
  <c r="F44" i="2"/>
  <c r="G44" i="2" s="1"/>
  <c r="F33" i="2"/>
  <c r="G33" i="2" s="1"/>
  <c r="F25" i="2"/>
  <c r="G25" i="2" s="1"/>
  <c r="F54" i="2"/>
  <c r="G54" i="2" s="1"/>
  <c r="F51" i="2"/>
  <c r="G51" i="2" s="1"/>
  <c r="F46" i="2"/>
  <c r="G46" i="2" s="1"/>
  <c r="F58" i="2"/>
  <c r="G58" i="2" s="1"/>
  <c r="F47" i="2"/>
  <c r="G47" i="2" s="1"/>
  <c r="F59" i="2"/>
  <c r="G59" i="2" s="1"/>
  <c r="F50" i="2"/>
  <c r="G50" i="2" s="1"/>
  <c r="F42" i="2"/>
  <c r="G42" i="2" s="1"/>
  <c r="F18" i="2"/>
  <c r="G18" i="2" s="1"/>
  <c r="F10" i="2"/>
  <c r="G10" i="2" s="1"/>
  <c r="F13" i="2"/>
  <c r="G13" i="2" s="1"/>
  <c r="F5" i="2"/>
  <c r="G11" i="2"/>
  <c r="G19" i="2"/>
  <c r="G17" i="2"/>
  <c r="G15" i="2"/>
  <c r="G14" i="2"/>
  <c r="G6" i="2"/>
  <c r="G3" i="2"/>
  <c r="G9" i="2"/>
  <c r="G5" i="2"/>
  <c r="G7" i="2"/>
  <c r="G2" i="2"/>
  <c r="G12" i="2"/>
  <c r="G4" i="2"/>
  <c r="L9" i="1"/>
  <c r="L6" i="1"/>
  <c r="G3" i="1"/>
  <c r="F3" i="1"/>
  <c r="H2" i="1"/>
  <c r="B5" i="1"/>
  <c r="B7" i="1" s="1"/>
  <c r="D8" i="1" s="1"/>
  <c r="B13" i="1"/>
  <c r="K12" i="1" l="1"/>
  <c r="L12" i="1" s="1"/>
  <c r="F9" i="1"/>
  <c r="H9" i="1"/>
  <c r="C13" i="1"/>
  <c r="D13" i="1" s="1"/>
  <c r="B14" i="1"/>
  <c r="D14" i="1" s="1"/>
  <c r="C12" i="1"/>
  <c r="D12" i="1" s="1"/>
  <c r="F13" i="1" l="1"/>
  <c r="H12" i="1"/>
  <c r="G13" i="1" l="1"/>
  <c r="H13" i="1" s="1"/>
  <c r="I56" i="2"/>
  <c r="I51" i="2"/>
  <c r="I38" i="2"/>
  <c r="I33" i="2"/>
  <c r="I22" i="2"/>
  <c r="I50" i="2"/>
  <c r="I45" i="2"/>
  <c r="I32" i="2"/>
  <c r="I27" i="2"/>
  <c r="I6" i="2"/>
  <c r="I14" i="2"/>
  <c r="I8" i="2"/>
  <c r="I55" i="2"/>
  <c r="I44" i="2"/>
  <c r="I37" i="2"/>
  <c r="I26" i="2"/>
  <c r="I7" i="2"/>
  <c r="I15" i="2"/>
  <c r="I49" i="2"/>
  <c r="I36" i="2"/>
  <c r="I31" i="2"/>
  <c r="I16" i="2"/>
  <c r="I5" i="2"/>
  <c r="I54" i="2"/>
  <c r="I59" i="2"/>
  <c r="I48" i="2"/>
  <c r="I43" i="2"/>
  <c r="I30" i="2"/>
  <c r="I25" i="2"/>
  <c r="I9" i="2"/>
  <c r="I17" i="2"/>
  <c r="I10" i="2"/>
  <c r="I4" i="2"/>
  <c r="I58" i="2"/>
  <c r="I53" i="2"/>
  <c r="I42" i="2"/>
  <c r="I35" i="2"/>
  <c r="I24" i="2"/>
  <c r="I18" i="2"/>
  <c r="I2" i="2"/>
  <c r="I13" i="2"/>
  <c r="I52" i="2"/>
  <c r="I47" i="2"/>
  <c r="I34" i="2"/>
  <c r="I29" i="2"/>
  <c r="I3" i="2"/>
  <c r="I11" i="2"/>
  <c r="I19" i="2"/>
  <c r="I57" i="2"/>
  <c r="I46" i="2"/>
  <c r="I39" i="2"/>
  <c r="I28" i="2"/>
  <c r="I23" i="2"/>
  <c r="I12" i="2"/>
  <c r="H14" i="1"/>
  <c r="F12" i="1"/>
  <c r="F14" i="1"/>
  <c r="K37" i="2" l="1"/>
  <c r="H37" i="2"/>
  <c r="J37" i="2" s="1"/>
  <c r="K3" i="2"/>
  <c r="H3" i="2"/>
  <c r="J3" i="2" s="1"/>
  <c r="K16" i="2"/>
  <c r="H16" i="2"/>
  <c r="J16" i="2" s="1"/>
  <c r="K35" i="2"/>
  <c r="H35" i="2"/>
  <c r="J35" i="2" s="1"/>
  <c r="K31" i="2"/>
  <c r="H31" i="2"/>
  <c r="J31" i="2" s="1"/>
  <c r="K55" i="2"/>
  <c r="H55" i="2"/>
  <c r="J55" i="2" s="1"/>
  <c r="K22" i="2"/>
  <c r="H22" i="2"/>
  <c r="J22" i="2" s="1"/>
  <c r="K19" i="2"/>
  <c r="H19" i="2"/>
  <c r="J19" i="2" s="1"/>
  <c r="K54" i="2"/>
  <c r="H54" i="2"/>
  <c r="J54" i="2" s="1"/>
  <c r="K17" i="2"/>
  <c r="H17" i="2"/>
  <c r="J17" i="2" s="1"/>
  <c r="K45" i="2"/>
  <c r="H45" i="2"/>
  <c r="J45" i="2" s="1"/>
  <c r="K50" i="2"/>
  <c r="H50" i="2"/>
  <c r="J50" i="2" s="1"/>
  <c r="K30" i="2"/>
  <c r="H30" i="2"/>
  <c r="J30" i="2" s="1"/>
  <c r="K33" i="2"/>
  <c r="H33" i="2"/>
  <c r="J33" i="2" s="1"/>
  <c r="K10" i="2"/>
  <c r="H10" i="2"/>
  <c r="J10" i="2" s="1"/>
  <c r="K32" i="2"/>
  <c r="H32" i="2"/>
  <c r="J32" i="2" s="1"/>
  <c r="K5" i="2"/>
  <c r="H5" i="2"/>
  <c r="J5" i="2" s="1"/>
  <c r="K12" i="2"/>
  <c r="H12" i="2"/>
  <c r="J12" i="2" s="1"/>
  <c r="K9" i="2"/>
  <c r="H9" i="2"/>
  <c r="J9" i="2" s="1"/>
  <c r="K23" i="2"/>
  <c r="H23" i="2"/>
  <c r="J23" i="2" s="1"/>
  <c r="K25" i="2"/>
  <c r="H25" i="2"/>
  <c r="J25" i="2" s="1"/>
  <c r="K34" i="2"/>
  <c r="H34" i="2"/>
  <c r="J34" i="2" s="1"/>
  <c r="K53" i="2"/>
  <c r="H53" i="2"/>
  <c r="J53" i="2" s="1"/>
  <c r="K38" i="2"/>
  <c r="H38" i="2"/>
  <c r="J38" i="2" s="1"/>
  <c r="K2" i="2"/>
  <c r="H2" i="2"/>
  <c r="J2" i="2" s="1"/>
  <c r="K11" i="2"/>
  <c r="H11" i="2"/>
  <c r="J11" i="2" s="1"/>
  <c r="K44" i="2"/>
  <c r="H44" i="2"/>
  <c r="J44" i="2" s="1"/>
  <c r="K36" i="2"/>
  <c r="H36" i="2"/>
  <c r="J36" i="2" s="1"/>
  <c r="K39" i="2"/>
  <c r="H39" i="2"/>
  <c r="J39" i="2" s="1"/>
  <c r="K52" i="2"/>
  <c r="H52" i="2"/>
  <c r="J52" i="2" s="1"/>
  <c r="K48" i="2"/>
  <c r="H48" i="2"/>
  <c r="J48" i="2" s="1"/>
  <c r="K15" i="2"/>
  <c r="H15" i="2"/>
  <c r="J15" i="2" s="1"/>
  <c r="K6" i="2"/>
  <c r="H6" i="2"/>
  <c r="J6" i="2" s="1"/>
  <c r="K51" i="2"/>
  <c r="H51" i="2"/>
  <c r="J51" i="2" s="1"/>
  <c r="K26" i="2"/>
  <c r="H26" i="2"/>
  <c r="J26" i="2" s="1"/>
  <c r="K18" i="2"/>
  <c r="H18" i="2"/>
  <c r="J18" i="2" s="1"/>
  <c r="K24" i="2"/>
  <c r="H24" i="2"/>
  <c r="J24" i="2" s="1"/>
  <c r="K29" i="2"/>
  <c r="H29" i="2"/>
  <c r="J29" i="2" s="1"/>
  <c r="K28" i="2"/>
  <c r="H28" i="2"/>
  <c r="J28" i="2" s="1"/>
  <c r="K42" i="2"/>
  <c r="H42" i="2"/>
  <c r="J42" i="2" s="1"/>
  <c r="K8" i="2"/>
  <c r="H8" i="2"/>
  <c r="J8" i="2" s="1"/>
  <c r="K47" i="2"/>
  <c r="H47" i="2"/>
  <c r="J47" i="2" s="1"/>
  <c r="K43" i="2"/>
  <c r="H43" i="2"/>
  <c r="J43" i="2" s="1"/>
  <c r="K49" i="2"/>
  <c r="H49" i="2"/>
  <c r="J49" i="2" s="1"/>
  <c r="K14" i="2"/>
  <c r="H14" i="2"/>
  <c r="J14" i="2" s="1"/>
  <c r="K46" i="2"/>
  <c r="H46" i="2"/>
  <c r="J46" i="2" s="1"/>
  <c r="K58" i="2"/>
  <c r="H58" i="2"/>
  <c r="J58" i="2" s="1"/>
  <c r="K57" i="2"/>
  <c r="H57" i="2"/>
  <c r="J57" i="2" s="1"/>
  <c r="K13" i="2"/>
  <c r="H13" i="2"/>
  <c r="J13" i="2" s="1"/>
  <c r="K4" i="2"/>
  <c r="H4" i="2"/>
  <c r="J4" i="2" s="1"/>
  <c r="K59" i="2"/>
  <c r="H59" i="2"/>
  <c r="J59" i="2" s="1"/>
  <c r="K7" i="2"/>
  <c r="H7" i="2"/>
  <c r="J7" i="2" s="1"/>
  <c r="K27" i="2"/>
  <c r="H27" i="2"/>
  <c r="J27" i="2" s="1"/>
  <c r="K56" i="2"/>
  <c r="H56" i="2"/>
  <c r="J56" i="2" s="1"/>
</calcChain>
</file>

<file path=xl/sharedStrings.xml><?xml version="1.0" encoding="utf-8"?>
<sst xmlns="http://schemas.openxmlformats.org/spreadsheetml/2006/main" count="109" uniqueCount="63">
  <si>
    <t>VIN</t>
  </si>
  <si>
    <t>VOUT</t>
  </si>
  <si>
    <t>V</t>
  </si>
  <si>
    <t>R1</t>
  </si>
  <si>
    <t>R2</t>
  </si>
  <si>
    <t>G</t>
  </si>
  <si>
    <t>DC-Gain</t>
  </si>
  <si>
    <t>min</t>
  </si>
  <si>
    <t>nom</t>
  </si>
  <si>
    <t>max</t>
  </si>
  <si>
    <t>dB</t>
  </si>
  <si>
    <t>ADC  ref</t>
  </si>
  <si>
    <t>ADC res</t>
  </si>
  <si>
    <t>ADC gran</t>
  </si>
  <si>
    <t>bit</t>
  </si>
  <si>
    <t>V/tick</t>
  </si>
  <si>
    <t>W</t>
  </si>
  <si>
    <t>Ratio I/O</t>
  </si>
  <si>
    <t>VL</t>
  </si>
  <si>
    <t>kL</t>
  </si>
  <si>
    <t>L</t>
  </si>
  <si>
    <t>µH</t>
  </si>
  <si>
    <t>kagc</t>
  </si>
  <si>
    <t>A/µs</t>
  </si>
  <si>
    <t>AGC Median</t>
  </si>
  <si>
    <t>Median</t>
  </si>
  <si>
    <t>kagc*</t>
  </si>
  <si>
    <t>AGC</t>
  </si>
  <si>
    <t>Factor</t>
  </si>
  <si>
    <t>Scaler</t>
  </si>
  <si>
    <t>V/V</t>
  </si>
  <si>
    <t>Feedback Scaling</t>
  </si>
  <si>
    <t>Feedback Gains</t>
  </si>
  <si>
    <t>Raw input voltage feedback ADC value</t>
  </si>
  <si>
    <t>Raw output voltage feedback ADC value</t>
  </si>
  <si>
    <t>Ratio I/O*</t>
  </si>
  <si>
    <t>VL calculated using normalized input voltage ADC sample</t>
  </si>
  <si>
    <t>Effective AGC factors of normalized ADC samples</t>
  </si>
  <si>
    <t>Compare value representing VL nominal</t>
  </si>
  <si>
    <t>Comparison bit-shift factor</t>
  </si>
  <si>
    <t>kagc maximum</t>
  </si>
  <si>
    <t>Test</t>
  </si>
  <si>
    <t>VIN ADC</t>
  </si>
  <si>
    <t>VOUT ADC</t>
  </si>
  <si>
    <t>Q15 Nrom</t>
  </si>
  <si>
    <t>VL inst</t>
  </si>
  <si>
    <t>VL nom</t>
  </si>
  <si>
    <t>AGC Scaler</t>
  </si>
  <si>
    <t>ADC VIN</t>
  </si>
  <si>
    <t>ADC VOUT</t>
  </si>
  <si>
    <t>ADC VL</t>
  </si>
  <si>
    <r>
      <t>k</t>
    </r>
    <r>
      <rPr>
        <vertAlign val="subscript"/>
        <sz val="11"/>
        <color theme="1"/>
        <rFont val="Calibri"/>
        <family val="2"/>
        <scheme val="minor"/>
      </rPr>
      <t>AGC</t>
    </r>
  </si>
  <si>
    <r>
      <t>k</t>
    </r>
    <r>
      <rPr>
        <vertAlign val="subscript"/>
        <sz val="11"/>
        <color theme="1"/>
        <rFont val="Calibri"/>
        <family val="2"/>
        <scheme val="minor"/>
      </rPr>
      <t>AGC</t>
    </r>
    <r>
      <rPr>
        <sz val="11"/>
        <color theme="1"/>
        <rFont val="Calibri"/>
        <family val="2"/>
        <scheme val="minor"/>
      </rPr>
      <t>*</t>
    </r>
  </si>
  <si>
    <r>
      <t>k</t>
    </r>
    <r>
      <rPr>
        <vertAlign val="subscript"/>
        <sz val="11"/>
        <color theme="1"/>
        <rFont val="Calibri"/>
        <family val="2"/>
        <scheme val="minor"/>
      </rPr>
      <t>AGC</t>
    </r>
    <r>
      <rPr>
        <sz val="11"/>
        <color theme="1"/>
        <rFont val="Calibri"/>
        <family val="2"/>
        <scheme val="minor"/>
      </rPr>
      <t>**</t>
    </r>
  </si>
  <si>
    <t>Fractional</t>
  </si>
  <si>
    <t>Min</t>
  </si>
  <si>
    <t>Max</t>
  </si>
  <si>
    <t>HEX Factor</t>
  </si>
  <si>
    <t>BSft Scaler</t>
  </si>
  <si>
    <t>HEX Scaler</t>
  </si>
  <si>
    <t>AGC Configuration Parameters</t>
  </si>
  <si>
    <t>Input-2-Output Normalization Factor</t>
  </si>
  <si>
    <t>Input-2-Output Normalization 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</si>
</sst>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0" tint="-0.499984740745262"/>
      <name val="Consolas"/>
      <family val="3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FFE7E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64" fontId="0" fillId="3" borderId="1" xfId="0" applyNumberFormat="1" applyFill="1" applyBorder="1"/>
    <xf numFmtId="3" fontId="0" fillId="3" borderId="1" xfId="0" applyNumberFormat="1" applyFill="1" applyBorder="1"/>
    <xf numFmtId="0" fontId="2" fillId="0" borderId="0" xfId="0" applyFont="1"/>
    <xf numFmtId="0" fontId="0" fillId="3" borderId="1" xfId="0" applyFill="1" applyBorder="1" applyAlignment="1">
      <alignment horizontal="right"/>
    </xf>
    <xf numFmtId="0" fontId="0" fillId="2" borderId="5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  <xf numFmtId="167" fontId="0" fillId="3" borderId="1" xfId="0" applyNumberFormat="1" applyFill="1" applyBorder="1"/>
    <xf numFmtId="0" fontId="5" fillId="0" borderId="0" xfId="0" applyFont="1" applyAlignment="1">
      <alignment horizontal="right"/>
    </xf>
    <xf numFmtId="0" fontId="0" fillId="6" borderId="1" xfId="0" applyFill="1" applyBorder="1"/>
    <xf numFmtId="0" fontId="6" fillId="0" borderId="1" xfId="0" applyFont="1" applyBorder="1"/>
    <xf numFmtId="0" fontId="7" fillId="0" borderId="1" xfId="0" applyFont="1" applyBorder="1" applyAlignment="1">
      <alignment horizontal="right"/>
    </xf>
    <xf numFmtId="0" fontId="2" fillId="0" borderId="0" xfId="0" applyFont="1" applyFill="1" applyBorder="1"/>
    <xf numFmtId="0" fontId="3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3" fontId="0" fillId="8" borderId="6" xfId="0" applyNumberFormat="1" applyFill="1" applyBorder="1"/>
    <xf numFmtId="3" fontId="0" fillId="8" borderId="3" xfId="0" applyNumberFormat="1" applyFill="1" applyBorder="1"/>
    <xf numFmtId="3" fontId="0" fillId="8" borderId="14" xfId="0" applyNumberFormat="1" applyFill="1" applyBorder="1"/>
    <xf numFmtId="167" fontId="0" fillId="8" borderId="11" xfId="0" applyNumberFormat="1" applyFill="1" applyBorder="1"/>
    <xf numFmtId="0" fontId="0" fillId="8" borderId="12" xfId="0" applyFill="1" applyBorder="1"/>
    <xf numFmtId="0" fontId="0" fillId="8" borderId="13" xfId="0" applyFill="1" applyBorder="1"/>
    <xf numFmtId="3" fontId="0" fillId="8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E7"/>
      <color rgb="FFFFC1C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</a:t>
            </a:r>
            <a:r>
              <a:rPr lang="en-US" baseline="-25000"/>
              <a:t>AGC</a:t>
            </a:r>
            <a:r>
              <a:rPr lang="en-US"/>
              <a:t> vs. V</a:t>
            </a:r>
            <a:r>
              <a:rPr lang="en-US" baseline="-25000"/>
              <a:t>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kAGC (3.3V)</c:v>
          </c:tx>
          <c:spPr>
            <a:ln w="28575" cap="flat" cmpd="dbl" algn="ctr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Sheet2!$A$2:$A$19</c:f>
              <c:numCache>
                <c:formatCode>General</c:formatCode>
                <c:ptCount val="18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</c:numCache>
            </c:numRef>
          </c:xVal>
          <c:yVal>
            <c:numRef>
              <c:f>(Sheet2!$G$2:$G$19,Sheet2!$G$21:$G$39,Sheet2!$G$41:$G$59)</c:f>
              <c:numCache>
                <c:formatCode>General</c:formatCode>
                <c:ptCount val="56"/>
                <c:pt idx="0">
                  <c:v>2.1111111111111112</c:v>
                </c:pt>
                <c:pt idx="1">
                  <c:v>1.7803526448362721</c:v>
                </c:pt>
                <c:pt idx="2">
                  <c:v>1.5412123855211513</c:v>
                </c:pt>
                <c:pt idx="3">
                  <c:v>1.3571428571428572</c:v>
                </c:pt>
                <c:pt idx="4">
                  <c:v>1.2123499142367067</c:v>
                </c:pt>
                <c:pt idx="5">
                  <c:v>1.0954742715437074</c:v>
                </c:pt>
                <c:pt idx="6">
                  <c:v>1</c:v>
                </c:pt>
                <c:pt idx="7">
                  <c:v>0.91911573472041608</c:v>
                </c:pt>
                <c:pt idx="8">
                  <c:v>0.85033686236766126</c:v>
                </c:pt>
                <c:pt idx="9">
                  <c:v>0.79113498992612497</c:v>
                </c:pt>
                <c:pt idx="10">
                  <c:v>0.74025974025974028</c:v>
                </c:pt>
                <c:pt idx="11">
                  <c:v>0.69484860401101056</c:v>
                </c:pt>
                <c:pt idx="12">
                  <c:v>0.6548082267926626</c:v>
                </c:pt>
                <c:pt idx="13">
                  <c:v>0.61913104414856346</c:v>
                </c:pt>
                <c:pt idx="14">
                  <c:v>0.58714072105000825</c:v>
                </c:pt>
                <c:pt idx="15">
                  <c:v>0.55855855855855852</c:v>
                </c:pt>
                <c:pt idx="16">
                  <c:v>0.53238927387767399</c:v>
                </c:pt>
                <c:pt idx="17">
                  <c:v>0.50856238307670165</c:v>
                </c:pt>
                <c:pt idx="18">
                  <c:v>0</c:v>
                </c:pt>
                <c:pt idx="19">
                  <c:v>1.0549253731343284</c:v>
                </c:pt>
                <c:pt idx="20">
                  <c:v>0.96531002458344717</c:v>
                </c:pt>
                <c:pt idx="21">
                  <c:v>0.89040060468631899</c:v>
                </c:pt>
                <c:pt idx="22">
                  <c:v>0.82570093457943927</c:v>
                </c:pt>
                <c:pt idx="23">
                  <c:v>0.76976693530821172</c:v>
                </c:pt>
                <c:pt idx="24">
                  <c:v>0.72093023255813948</c:v>
                </c:pt>
                <c:pt idx="25">
                  <c:v>0.67831094049904028</c:v>
                </c:pt>
                <c:pt idx="26">
                  <c:v>0.64010143090019922</c:v>
                </c:pt>
                <c:pt idx="27">
                  <c:v>0.6059670781893004</c:v>
                </c:pt>
                <c:pt idx="28">
                  <c:v>0.57528894676867981</c:v>
                </c:pt>
                <c:pt idx="29">
                  <c:v>0.54790697674418609</c:v>
                </c:pt>
                <c:pt idx="30">
                  <c:v>0.5226264418811003</c:v>
                </c:pt>
                <c:pt idx="31">
                  <c:v>0.49964654319242191</c:v>
                </c:pt>
                <c:pt idx="32">
                  <c:v>0.478602383531961</c:v>
                </c:pt>
                <c:pt idx="33">
                  <c:v>0.45925925925925926</c:v>
                </c:pt>
                <c:pt idx="34">
                  <c:v>0.44158440584780706</c:v>
                </c:pt>
                <c:pt idx="35">
                  <c:v>0.42506615347606447</c:v>
                </c:pt>
                <c:pt idx="36">
                  <c:v>0.40973913043478261</c:v>
                </c:pt>
                <c:pt idx="37">
                  <c:v>0</c:v>
                </c:pt>
                <c:pt idx="38">
                  <c:v>2.85</c:v>
                </c:pt>
                <c:pt idx="39">
                  <c:v>2.2785299806576402</c:v>
                </c:pt>
                <c:pt idx="40">
                  <c:v>1.9010220548682086</c:v>
                </c:pt>
                <c:pt idx="41">
                  <c:v>1.6285714285714286</c:v>
                </c:pt>
                <c:pt idx="42">
                  <c:v>1.4244256348246676</c:v>
                </c:pt>
                <c:pt idx="43">
                  <c:v>1.265759312320917</c:v>
                </c:pt>
                <c:pt idx="44">
                  <c:v>1.1399999999999999</c:v>
                </c:pt>
                <c:pt idx="45">
                  <c:v>1.0360598065083553</c:v>
                </c:pt>
                <c:pt idx="46">
                  <c:v>0.94948952176249324</c:v>
                </c:pt>
                <c:pt idx="47">
                  <c:v>0.87627076617902311</c:v>
                </c:pt>
                <c:pt idx="48">
                  <c:v>0.81428571428571428</c:v>
                </c:pt>
                <c:pt idx="49">
                  <c:v>0.75967325881341363</c:v>
                </c:pt>
                <c:pt idx="50">
                  <c:v>0.71206931291557529</c:v>
                </c:pt>
                <c:pt idx="51">
                  <c:v>0.67007963594994313</c:v>
                </c:pt>
                <c:pt idx="52">
                  <c:v>0.63276633840644581</c:v>
                </c:pt>
                <c:pt idx="53">
                  <c:v>0.5996945528593246</c:v>
                </c:pt>
                <c:pt idx="54">
                  <c:v>0.56963249516441006</c:v>
                </c:pt>
                <c:pt idx="55">
                  <c:v>0.54244052187260172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B-454B-B2BA-56ADF6DB3771}"/>
            </c:ext>
          </c:extLst>
        </c:ser>
        <c:ser>
          <c:idx val="1"/>
          <c:order val="1"/>
          <c:tx>
            <c:v>kAGC (0.6V)</c:v>
          </c:tx>
          <c:spPr>
            <a:ln w="25400" cap="flat" cmpd="dbl" algn="ctr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Sheet2!$A$22:$A$39</c:f>
              <c:numCache>
                <c:formatCode>General</c:formatCode>
                <c:ptCount val="18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</c:numCache>
            </c:numRef>
          </c:xVal>
          <c:yVal>
            <c:numRef>
              <c:f>(Sheet2!$G$22:$G$39,Sheet2!$G$41:$G$59)</c:f>
              <c:numCache>
                <c:formatCode>General</c:formatCode>
                <c:ptCount val="37"/>
                <c:pt idx="0">
                  <c:v>1.0549253731343284</c:v>
                </c:pt>
                <c:pt idx="1">
                  <c:v>0.96531002458344717</c:v>
                </c:pt>
                <c:pt idx="2">
                  <c:v>0.89040060468631899</c:v>
                </c:pt>
                <c:pt idx="3">
                  <c:v>0.82570093457943927</c:v>
                </c:pt>
                <c:pt idx="4">
                  <c:v>0.76976693530821172</c:v>
                </c:pt>
                <c:pt idx="5">
                  <c:v>0.72093023255813948</c:v>
                </c:pt>
                <c:pt idx="6">
                  <c:v>0.67831094049904028</c:v>
                </c:pt>
                <c:pt idx="7">
                  <c:v>0.64010143090019922</c:v>
                </c:pt>
                <c:pt idx="8">
                  <c:v>0.6059670781893004</c:v>
                </c:pt>
                <c:pt idx="9">
                  <c:v>0.57528894676867981</c:v>
                </c:pt>
                <c:pt idx="10">
                  <c:v>0.54790697674418609</c:v>
                </c:pt>
                <c:pt idx="11">
                  <c:v>0.5226264418811003</c:v>
                </c:pt>
                <c:pt idx="12">
                  <c:v>0.49964654319242191</c:v>
                </c:pt>
                <c:pt idx="13">
                  <c:v>0.478602383531961</c:v>
                </c:pt>
                <c:pt idx="14">
                  <c:v>0.45925925925925926</c:v>
                </c:pt>
                <c:pt idx="15">
                  <c:v>0.44158440584780706</c:v>
                </c:pt>
                <c:pt idx="16">
                  <c:v>0.42506615347606447</c:v>
                </c:pt>
                <c:pt idx="17">
                  <c:v>0.40973913043478261</c:v>
                </c:pt>
                <c:pt idx="18">
                  <c:v>0</c:v>
                </c:pt>
                <c:pt idx="19">
                  <c:v>2.85</c:v>
                </c:pt>
                <c:pt idx="20">
                  <c:v>2.2785299806576402</c:v>
                </c:pt>
                <c:pt idx="21">
                  <c:v>1.9010220548682086</c:v>
                </c:pt>
                <c:pt idx="22">
                  <c:v>1.6285714285714286</c:v>
                </c:pt>
                <c:pt idx="23">
                  <c:v>1.4244256348246676</c:v>
                </c:pt>
                <c:pt idx="24">
                  <c:v>1.265759312320917</c:v>
                </c:pt>
                <c:pt idx="25">
                  <c:v>1.1399999999999999</c:v>
                </c:pt>
                <c:pt idx="26">
                  <c:v>1.0360598065083553</c:v>
                </c:pt>
                <c:pt idx="27">
                  <c:v>0.94948952176249324</c:v>
                </c:pt>
                <c:pt idx="28">
                  <c:v>0.87627076617902311</c:v>
                </c:pt>
                <c:pt idx="29">
                  <c:v>0.81428571428571428</c:v>
                </c:pt>
                <c:pt idx="30">
                  <c:v>0.75967325881341363</c:v>
                </c:pt>
                <c:pt idx="31">
                  <c:v>0.71206931291557529</c:v>
                </c:pt>
                <c:pt idx="32">
                  <c:v>0.67007963594994313</c:v>
                </c:pt>
                <c:pt idx="33">
                  <c:v>0.63276633840644581</c:v>
                </c:pt>
                <c:pt idx="34">
                  <c:v>0.5996945528593246</c:v>
                </c:pt>
                <c:pt idx="35">
                  <c:v>0.56963249516441006</c:v>
                </c:pt>
                <c:pt idx="36">
                  <c:v>0.54244052187260172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B-454B-B2BA-56ADF6DB3771}"/>
            </c:ext>
          </c:extLst>
        </c:ser>
        <c:ser>
          <c:idx val="2"/>
          <c:order val="2"/>
          <c:tx>
            <c:v>kAGC (4.0V)</c:v>
          </c:tx>
          <c:spPr>
            <a:ln w="25400" cap="flat" cmpd="dbl" algn="ctr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Sheet2!$A$42:$A$59</c:f>
              <c:numCache>
                <c:formatCode>General</c:formatCode>
                <c:ptCount val="18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</c:numCache>
            </c:numRef>
          </c:xVal>
          <c:yVal>
            <c:numRef>
              <c:f>Sheet2!$G$42:$G$59</c:f>
              <c:numCache>
                <c:formatCode>General</c:formatCode>
                <c:ptCount val="18"/>
                <c:pt idx="0">
                  <c:v>2.85</c:v>
                </c:pt>
                <c:pt idx="1">
                  <c:v>2.2785299806576402</c:v>
                </c:pt>
                <c:pt idx="2">
                  <c:v>1.9010220548682086</c:v>
                </c:pt>
                <c:pt idx="3">
                  <c:v>1.6285714285714286</c:v>
                </c:pt>
                <c:pt idx="4">
                  <c:v>1.4244256348246676</c:v>
                </c:pt>
                <c:pt idx="5">
                  <c:v>1.265759312320917</c:v>
                </c:pt>
                <c:pt idx="6">
                  <c:v>1.1399999999999999</c:v>
                </c:pt>
                <c:pt idx="7">
                  <c:v>1.0360598065083553</c:v>
                </c:pt>
                <c:pt idx="8">
                  <c:v>0.94948952176249324</c:v>
                </c:pt>
                <c:pt idx="9">
                  <c:v>0.87627076617902311</c:v>
                </c:pt>
                <c:pt idx="10">
                  <c:v>0.81428571428571428</c:v>
                </c:pt>
                <c:pt idx="11">
                  <c:v>0.75967325881341363</c:v>
                </c:pt>
                <c:pt idx="12">
                  <c:v>0.71206931291557529</c:v>
                </c:pt>
                <c:pt idx="13">
                  <c:v>0.67007963594994313</c:v>
                </c:pt>
                <c:pt idx="14">
                  <c:v>0.63276633840644581</c:v>
                </c:pt>
                <c:pt idx="15">
                  <c:v>0.5996945528593246</c:v>
                </c:pt>
                <c:pt idx="16">
                  <c:v>0.56963249516441006</c:v>
                </c:pt>
                <c:pt idx="17">
                  <c:v>0.54244052187260172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B-454B-B2BA-56ADF6DB3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35008"/>
        <c:axId val="1117850656"/>
      </c:scatterChart>
      <c:valAx>
        <c:axId val="111773500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50656"/>
        <c:crosses val="autoZero"/>
        <c:crossBetween val="midCat"/>
      </c:valAx>
      <c:valAx>
        <c:axId val="11178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Modulation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3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23811</xdr:rowOff>
    </xdr:from>
    <xdr:to>
      <xdr:col>23</xdr:col>
      <xdr:colOff>0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A9735-A34A-4CC9-A909-A95ACE067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0.43396</cdr:x>
      <cdr:y>0.62793</cdr:y>
    </cdr:from>
    <cdr:to>
      <cdr:x>0.4525</cdr:x>
      <cdr:y>0.65059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8557F65A-7F9D-4D03-85F0-8787F10CF567}"/>
            </a:ext>
          </a:extLst>
        </cdr:cNvPr>
        <cdr:cNvSpPr/>
      </cdr:nvSpPr>
      <cdr:spPr>
        <a:xfrm xmlns:a="http://schemas.openxmlformats.org/drawingml/2006/main">
          <a:off x="2909939" y="3489914"/>
          <a:ext cx="124338" cy="12597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E309-9B4D-4403-A452-8A5AC4BA0B42}">
  <dimension ref="A1:L33"/>
  <sheetViews>
    <sheetView tabSelected="1" workbookViewId="0">
      <selection activeCell="H14" sqref="H14"/>
    </sheetView>
  </sheetViews>
  <sheetFormatPr defaultRowHeight="15" x14ac:dyDescent="0.25"/>
  <cols>
    <col min="1" max="1" width="9.85546875" bestFit="1" customWidth="1"/>
    <col min="2" max="4" width="12.85546875" customWidth="1"/>
    <col min="6" max="6" width="12" customWidth="1"/>
    <col min="7" max="7" width="12" bestFit="1" customWidth="1"/>
    <col min="8" max="8" width="12" customWidth="1"/>
    <col min="9" max="9" width="52.7109375" bestFit="1" customWidth="1"/>
    <col min="10" max="10" width="12.7109375" customWidth="1"/>
    <col min="11" max="11" width="12" customWidth="1"/>
  </cols>
  <sheetData>
    <row r="1" spans="1:12" x14ac:dyDescent="0.25">
      <c r="B1" s="27" t="s">
        <v>7</v>
      </c>
      <c r="C1" s="27" t="s">
        <v>8</v>
      </c>
      <c r="D1" s="27" t="s">
        <v>9</v>
      </c>
      <c r="F1" s="27" t="s">
        <v>7</v>
      </c>
      <c r="G1" s="27" t="s">
        <v>8</v>
      </c>
      <c r="H1" s="27" t="s">
        <v>9</v>
      </c>
      <c r="J1" s="14" t="s">
        <v>41</v>
      </c>
      <c r="K1" s="14"/>
      <c r="L1" s="14"/>
    </row>
    <row r="2" spans="1:12" x14ac:dyDescent="0.25">
      <c r="A2" t="s">
        <v>0</v>
      </c>
      <c r="B2" s="2">
        <v>6</v>
      </c>
      <c r="C2" s="2">
        <v>9</v>
      </c>
      <c r="D2" s="2">
        <v>14.5</v>
      </c>
      <c r="E2" t="s">
        <v>2</v>
      </c>
      <c r="F2" s="6">
        <f xml:space="preserve"> INT(B2*$C$20/$B$28)</f>
        <v>933</v>
      </c>
      <c r="G2" s="6">
        <f xml:space="preserve"> INT(C2*$C$20/$B$28)</f>
        <v>1399</v>
      </c>
      <c r="H2" s="6">
        <f xml:space="preserve"> INT(D2*$C$20/$B$28)</f>
        <v>2255</v>
      </c>
      <c r="I2" s="7" t="s">
        <v>33</v>
      </c>
      <c r="J2" t="s">
        <v>0</v>
      </c>
      <c r="K2" s="2">
        <v>8.1300000000000008</v>
      </c>
      <c r="L2" t="s">
        <v>2</v>
      </c>
    </row>
    <row r="3" spans="1:12" x14ac:dyDescent="0.25">
      <c r="A3" t="s">
        <v>1</v>
      </c>
      <c r="B3" s="4">
        <v>4</v>
      </c>
      <c r="C3" s="2">
        <v>3.3</v>
      </c>
      <c r="D3" s="4">
        <v>0</v>
      </c>
      <c r="E3" t="s">
        <v>2</v>
      </c>
      <c r="F3" s="6">
        <f xml:space="preserve"> INT(B3*$B$20/$B$28)</f>
        <v>2482</v>
      </c>
      <c r="G3" s="6">
        <f xml:space="preserve"> INT(C3*$B$20/$B$28)</f>
        <v>2048</v>
      </c>
      <c r="H3" s="6">
        <f xml:space="preserve"> INT(D3*$B$20/$B$28)</f>
        <v>0</v>
      </c>
      <c r="I3" s="7" t="s">
        <v>34</v>
      </c>
      <c r="J3" t="s">
        <v>1</v>
      </c>
      <c r="K3" s="2">
        <v>0</v>
      </c>
      <c r="L3" t="s">
        <v>2</v>
      </c>
    </row>
    <row r="4" spans="1:12" x14ac:dyDescent="0.25">
      <c r="A4" t="s">
        <v>6</v>
      </c>
      <c r="B4" s="5">
        <f>20 *LOG10(B2)</f>
        <v>15.563025007672874</v>
      </c>
      <c r="C4" s="5">
        <f t="shared" ref="C4:D4" si="0">20 *LOG10(C2)</f>
        <v>19.084850188786497</v>
      </c>
      <c r="D4" s="5">
        <f t="shared" si="0"/>
        <v>23.227360044699495</v>
      </c>
      <c r="E4" t="s">
        <v>10</v>
      </c>
      <c r="F4" s="3"/>
      <c r="G4" s="3"/>
      <c r="H4" s="3"/>
      <c r="I4" s="7"/>
      <c r="J4" t="s">
        <v>18</v>
      </c>
      <c r="K4" s="2">
        <f>K2-K3</f>
        <v>8.1300000000000008</v>
      </c>
      <c r="L4" t="s">
        <v>2</v>
      </c>
    </row>
    <row r="5" spans="1:12" x14ac:dyDescent="0.25">
      <c r="A5" t="s">
        <v>18</v>
      </c>
      <c r="B5" s="4">
        <f>B2-B3</f>
        <v>2</v>
      </c>
      <c r="C5" s="4">
        <f t="shared" ref="C5:D5" si="1">C2-C3</f>
        <v>5.7</v>
      </c>
      <c r="D5" s="4">
        <f t="shared" si="1"/>
        <v>14.5</v>
      </c>
      <c r="E5" t="s">
        <v>2</v>
      </c>
      <c r="F5" s="6">
        <f xml:space="preserve"> INT((F2*$C$21-F3))</f>
        <v>1240</v>
      </c>
      <c r="G5" s="6">
        <f xml:space="preserve"> INT((G2*$C$21-G3))</f>
        <v>3534</v>
      </c>
      <c r="H5" s="6">
        <f xml:space="preserve"> INT((H2*$C$21-H3))</f>
        <v>8997</v>
      </c>
      <c r="I5" s="7" t="s">
        <v>36</v>
      </c>
      <c r="J5" t="s">
        <v>22</v>
      </c>
      <c r="K5" s="4">
        <f>C5/K4</f>
        <v>0.70110701107011064</v>
      </c>
    </row>
    <row r="6" spans="1:12" x14ac:dyDescent="0.25">
      <c r="A6" t="s">
        <v>20</v>
      </c>
      <c r="B6" s="4">
        <f>C6</f>
        <v>10</v>
      </c>
      <c r="C6" s="2">
        <v>10</v>
      </c>
      <c r="D6" s="4">
        <f>C6</f>
        <v>10</v>
      </c>
      <c r="E6" t="s">
        <v>21</v>
      </c>
      <c r="F6" s="3"/>
      <c r="G6" s="3"/>
      <c r="H6" s="3"/>
      <c r="I6" s="7"/>
      <c r="J6" t="s">
        <v>42</v>
      </c>
      <c r="K6" s="6">
        <f>INT(K2*C20/B28)</f>
        <v>1264</v>
      </c>
      <c r="L6" s="19" t="str">
        <f>"0x" &amp; DEC2HEX(K6,4)</f>
        <v>0x04F0</v>
      </c>
    </row>
    <row r="7" spans="1:12" x14ac:dyDescent="0.25">
      <c r="A7" t="s">
        <v>19</v>
      </c>
      <c r="B7" s="4">
        <f>B5/B6</f>
        <v>0.2</v>
      </c>
      <c r="C7" s="4">
        <f>C5/C6</f>
        <v>0.57000000000000006</v>
      </c>
      <c r="D7" s="4">
        <f>D5/D6</f>
        <v>1.45</v>
      </c>
      <c r="E7" t="s">
        <v>23</v>
      </c>
      <c r="F7" s="3"/>
      <c r="G7" s="3"/>
      <c r="H7" s="3"/>
      <c r="I7" s="7"/>
      <c r="J7" t="s">
        <v>43</v>
      </c>
      <c r="K7" s="6">
        <f>INT(K3*B20/B28)</f>
        <v>0</v>
      </c>
      <c r="L7" s="19" t="str">
        <f t="shared" ref="L7" si="2">"0x" &amp; DEC2HEX(K7,4)</f>
        <v>0x0000</v>
      </c>
    </row>
    <row r="8" spans="1:12" x14ac:dyDescent="0.25">
      <c r="A8" t="s">
        <v>22</v>
      </c>
      <c r="B8" s="4">
        <f>$C$7/D7</f>
        <v>0.39310344827586213</v>
      </c>
      <c r="C8" s="4">
        <f t="shared" ref="C8" si="3">$C$7/C7</f>
        <v>1</v>
      </c>
      <c r="D8" s="4">
        <f>$C$7/B7</f>
        <v>2.85</v>
      </c>
      <c r="F8" s="3"/>
      <c r="G8" s="3"/>
      <c r="H8" s="3"/>
      <c r="I8" s="7"/>
      <c r="J8" t="s">
        <v>46</v>
      </c>
      <c r="K8" s="6">
        <f>(G2*C21-G3)</f>
        <v>3534.01</v>
      </c>
      <c r="L8" s="19" t="str">
        <f>"0x" &amp; DEC2HEX(K8,4)</f>
        <v>0x0DCE</v>
      </c>
    </row>
    <row r="9" spans="1:12" x14ac:dyDescent="0.25">
      <c r="A9" t="s">
        <v>26</v>
      </c>
      <c r="B9" s="4">
        <f>($C$2-$C$3)/(D2-D3)</f>
        <v>0.39310344827586208</v>
      </c>
      <c r="C9" s="4">
        <f t="shared" ref="C9" si="4">($C$2-$C$3)/(C2-C3)</f>
        <v>1</v>
      </c>
      <c r="D9" s="4">
        <f>($C$2-$C$3)/(B2-B3)</f>
        <v>2.85</v>
      </c>
      <c r="F9" s="4">
        <f>$G$5/H5</f>
        <v>0.39279759919973323</v>
      </c>
      <c r="G9" s="4">
        <f>$G$5/G5 * (1-1/2^15)</f>
        <v>0.999969482421875</v>
      </c>
      <c r="H9" s="4">
        <f>$G$5/F5</f>
        <v>2.85</v>
      </c>
      <c r="I9" s="7" t="s">
        <v>37</v>
      </c>
      <c r="J9" t="s">
        <v>45</v>
      </c>
      <c r="K9" s="6">
        <f>(K6*C21-K7)</f>
        <v>5043.3600000000006</v>
      </c>
      <c r="L9" s="19" t="str">
        <f>"0x" &amp; DEC2HEX(K9,4)</f>
        <v>0x13B3</v>
      </c>
    </row>
    <row r="10" spans="1:12" ht="15.75" thickBot="1" x14ac:dyDescent="0.3">
      <c r="I10" s="7"/>
      <c r="J10" t="s">
        <v>47</v>
      </c>
      <c r="K10" s="6">
        <f>$B$13</f>
        <v>2</v>
      </c>
      <c r="L10" s="19" t="str">
        <f>"0x" &amp; DEC2HEX(K10,4)</f>
        <v>0x0002</v>
      </c>
    </row>
    <row r="11" spans="1:12" ht="15.75" thickBot="1" x14ac:dyDescent="0.3">
      <c r="A11" s="10" t="s">
        <v>27</v>
      </c>
      <c r="B11" s="11"/>
      <c r="C11" s="11"/>
      <c r="D11" s="12"/>
      <c r="F11" s="24" t="s">
        <v>60</v>
      </c>
      <c r="G11" s="25"/>
      <c r="H11" s="26"/>
      <c r="I11" s="7"/>
      <c r="J11" t="s">
        <v>24</v>
      </c>
      <c r="K11" s="6">
        <f>K8/2^K10</f>
        <v>883.50250000000005</v>
      </c>
      <c r="L11" s="19" t="str">
        <f>"0x" &amp; DEC2HEX(K11,4)</f>
        <v>0x0373</v>
      </c>
    </row>
    <row r="12" spans="1:12" x14ac:dyDescent="0.25">
      <c r="A12" t="s">
        <v>28</v>
      </c>
      <c r="B12" s="4">
        <f>D9/2^B13</f>
        <v>0.71250000000000002</v>
      </c>
      <c r="C12" s="6">
        <f>INT(B12*(2^15-1))</f>
        <v>23346</v>
      </c>
      <c r="D12" s="8" t="str">
        <f>"0x" &amp; DEC2HEX(C12, 4)</f>
        <v>0x5B32</v>
      </c>
      <c r="F12" s="34">
        <f>H9/2^F13</f>
        <v>0.71250000000000002</v>
      </c>
      <c r="G12" s="31">
        <f>H5/2^$B$13</f>
        <v>2249.25</v>
      </c>
      <c r="H12" s="28" t="str">
        <f>"0x" &amp; DEC2HEX(G12, 4)</f>
        <v>0x08C9</v>
      </c>
      <c r="I12" s="7" t="s">
        <v>40</v>
      </c>
      <c r="J12" t="s">
        <v>22</v>
      </c>
      <c r="K12" s="4">
        <f>G14/K9</f>
        <v>0.17518083182640143</v>
      </c>
      <c r="L12" s="19" t="str">
        <f>"0x" &amp; DEC2HEX(INT(K12*2^15),4)</f>
        <v>0x166C</v>
      </c>
    </row>
    <row r="13" spans="1:12" x14ac:dyDescent="0.25">
      <c r="A13" t="s">
        <v>29</v>
      </c>
      <c r="B13" s="4">
        <f>CEILING(LOG(D9, 2), 1)</f>
        <v>2</v>
      </c>
      <c r="C13" s="6">
        <f t="shared" ref="C13" si="5">INT(B13*(2^15-1))</f>
        <v>65534</v>
      </c>
      <c r="D13" s="8" t="str">
        <f t="shared" ref="D13:D14" si="6">"0x" &amp; DEC2HEX(C13, 4)</f>
        <v>0xFFFE</v>
      </c>
      <c r="F13" s="35">
        <f>CEILING(LOG(H9, 2), 1)</f>
        <v>2</v>
      </c>
      <c r="G13" s="32">
        <f t="shared" ref="G13" si="7">INT(F13*(2^15-1))</f>
        <v>65534</v>
      </c>
      <c r="H13" s="29" t="str">
        <f t="shared" ref="H13" si="8">"0x" &amp; DEC2HEX(G13, 4)</f>
        <v>0xFFFE</v>
      </c>
      <c r="I13" s="7" t="s">
        <v>39</v>
      </c>
    </row>
    <row r="14" spans="1:12" ht="15.75" thickBot="1" x14ac:dyDescent="0.3">
      <c r="A14" t="s">
        <v>25</v>
      </c>
      <c r="B14" s="4">
        <f>C9/2^B13</f>
        <v>0.25</v>
      </c>
      <c r="C14" s="6">
        <f>INT(B14*(2^15-1))</f>
        <v>8191</v>
      </c>
      <c r="D14" s="8" t="str">
        <f t="shared" si="6"/>
        <v>0x1FFF</v>
      </c>
      <c r="F14" s="36">
        <f>G9/2^F13</f>
        <v>0.24999237060546875</v>
      </c>
      <c r="G14" s="33">
        <f>G5/2^$B$13</f>
        <v>883.5</v>
      </c>
      <c r="H14" s="30" t="str">
        <f>"0x" &amp; DEC2HEX(G14, 4)</f>
        <v>0x0373</v>
      </c>
      <c r="I14" s="7" t="s">
        <v>38</v>
      </c>
    </row>
    <row r="15" spans="1:12" ht="15.75" thickBot="1" x14ac:dyDescent="0.3"/>
    <row r="16" spans="1:12" x14ac:dyDescent="0.25">
      <c r="A16" s="13" t="s">
        <v>32</v>
      </c>
      <c r="B16" s="13"/>
      <c r="C16" s="13"/>
      <c r="D16" s="13"/>
      <c r="F16" s="34">
        <f xml:space="preserve"> C21/2^B13</f>
        <v>0.99750000000000005</v>
      </c>
      <c r="G16" s="37">
        <f xml:space="preserve"> INT(F16*(2^15-1))</f>
        <v>32685</v>
      </c>
      <c r="H16" s="28" t="str">
        <f t="shared" ref="H16" si="9">"0x" &amp; DEC2HEX(G16, 4)</f>
        <v>0x7FAD</v>
      </c>
      <c r="I16" s="23" t="s">
        <v>61</v>
      </c>
    </row>
    <row r="17" spans="1:9" ht="15.75" thickBot="1" x14ac:dyDescent="0.3">
      <c r="B17" t="s">
        <v>1</v>
      </c>
      <c r="C17" t="s">
        <v>0</v>
      </c>
      <c r="F17" s="36">
        <f xml:space="preserve"> 2^B13</f>
        <v>4</v>
      </c>
      <c r="G17" s="33">
        <f xml:space="preserve"> -$B$13</f>
        <v>-2</v>
      </c>
      <c r="H17" s="30" t="str">
        <f>"0x" &amp; RIGHT(DEC2HEX(G17, 4), 4)</f>
        <v>0xFFFE</v>
      </c>
      <c r="I17" s="23" t="s">
        <v>62</v>
      </c>
    </row>
    <row r="18" spans="1:9" x14ac:dyDescent="0.25">
      <c r="A18" t="s">
        <v>3</v>
      </c>
      <c r="B18" s="2">
        <v>1000</v>
      </c>
      <c r="C18" s="2">
        <v>6980</v>
      </c>
      <c r="D18" s="1" t="s">
        <v>16</v>
      </c>
    </row>
    <row r="19" spans="1:9" x14ac:dyDescent="0.25">
      <c r="A19" t="s">
        <v>4</v>
      </c>
      <c r="B19" s="2">
        <v>1000</v>
      </c>
      <c r="C19" s="2">
        <v>1000</v>
      </c>
      <c r="D19" s="1" t="s">
        <v>16</v>
      </c>
    </row>
    <row r="20" spans="1:9" x14ac:dyDescent="0.25">
      <c r="A20" t="s">
        <v>5</v>
      </c>
      <c r="B20" s="4">
        <f>B19/(B18+B19)</f>
        <v>0.5</v>
      </c>
      <c r="C20" s="4">
        <f>C19/(C18+C19)</f>
        <v>0.12531328320802004</v>
      </c>
      <c r="D20" t="s">
        <v>30</v>
      </c>
    </row>
    <row r="21" spans="1:9" x14ac:dyDescent="0.25">
      <c r="A21" t="s">
        <v>17</v>
      </c>
      <c r="B21" s="3"/>
      <c r="C21" s="18">
        <f>B20/C20</f>
        <v>3.99</v>
      </c>
      <c r="D21" t="s">
        <v>30</v>
      </c>
    </row>
    <row r="22" spans="1:9" x14ac:dyDescent="0.25">
      <c r="A22" t="s">
        <v>35</v>
      </c>
      <c r="B22" s="3"/>
      <c r="C22" s="4">
        <f>CEILING(C21, 1)</f>
        <v>4</v>
      </c>
      <c r="D22" t="s">
        <v>30</v>
      </c>
    </row>
    <row r="24" spans="1:9" x14ac:dyDescent="0.25">
      <c r="A24" s="10" t="s">
        <v>31</v>
      </c>
      <c r="B24" s="11"/>
      <c r="C24" s="11"/>
      <c r="D24" s="12"/>
    </row>
    <row r="25" spans="1:9" x14ac:dyDescent="0.25">
      <c r="A25" t="s">
        <v>11</v>
      </c>
      <c r="B25" s="9">
        <v>3.3</v>
      </c>
      <c r="C25" t="s">
        <v>2</v>
      </c>
    </row>
    <row r="26" spans="1:9" x14ac:dyDescent="0.25">
      <c r="A26" t="s">
        <v>12</v>
      </c>
      <c r="B26" s="2">
        <v>12</v>
      </c>
      <c r="C26" t="s">
        <v>14</v>
      </c>
    </row>
    <row r="27" spans="1:9" x14ac:dyDescent="0.25">
      <c r="A27" t="s">
        <v>44</v>
      </c>
      <c r="B27" s="4">
        <f>15-B26</f>
        <v>3</v>
      </c>
      <c r="C27" t="s">
        <v>14</v>
      </c>
    </row>
    <row r="28" spans="1:9" x14ac:dyDescent="0.25">
      <c r="A28" t="s">
        <v>13</v>
      </c>
      <c r="B28" s="4">
        <f>B25/2^B26</f>
        <v>8.0566406249999996E-4</v>
      </c>
      <c r="C28" t="s">
        <v>15</v>
      </c>
    </row>
    <row r="30" spans="1:9" x14ac:dyDescent="0.25">
      <c r="A30" s="10" t="s">
        <v>31</v>
      </c>
      <c r="B30" s="11"/>
      <c r="C30" s="11"/>
      <c r="D30" s="12"/>
    </row>
    <row r="31" spans="1:9" x14ac:dyDescent="0.25">
      <c r="A31" t="s">
        <v>54</v>
      </c>
      <c r="B31" s="2">
        <v>15</v>
      </c>
      <c r="C31" t="s">
        <v>14</v>
      </c>
    </row>
    <row r="32" spans="1:9" x14ac:dyDescent="0.25">
      <c r="A32" t="s">
        <v>55</v>
      </c>
      <c r="B32" s="4">
        <f>-2^B31</f>
        <v>-32768</v>
      </c>
      <c r="C32" s="18">
        <f>B32/2^B31</f>
        <v>-1</v>
      </c>
      <c r="D32" s="19" t="str">
        <f xml:space="preserve"> "0x" &amp; RIGHT(DEC2HEX(B32, 4), 4)</f>
        <v>0x8000</v>
      </c>
    </row>
    <row r="33" spans="1:4" x14ac:dyDescent="0.25">
      <c r="A33" t="s">
        <v>56</v>
      </c>
      <c r="B33" s="4">
        <f>2^B31-1</f>
        <v>32767</v>
      </c>
      <c r="C33" s="4">
        <f>B33/2^B31</f>
        <v>0.999969482421875</v>
      </c>
      <c r="D33" s="19" t="str">
        <f xml:space="preserve"> "0x" &amp; RIGHT(DEC2HEX(B33, 4), 4)</f>
        <v>0x7FFF</v>
      </c>
    </row>
  </sheetData>
  <mergeCells count="6">
    <mergeCell ref="A11:D11"/>
    <mergeCell ref="A16:D16"/>
    <mergeCell ref="A24:D24"/>
    <mergeCell ref="J1:L1"/>
    <mergeCell ref="A30:D30"/>
    <mergeCell ref="F11:H1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AAFD-C2F6-44A9-B39F-719EF44F31B4}">
  <dimension ref="A1:K59"/>
  <sheetViews>
    <sheetView zoomScaleNormal="100" workbookViewId="0">
      <selection activeCell="K1" sqref="K1"/>
    </sheetView>
  </sheetViews>
  <sheetFormatPr defaultRowHeight="15" x14ac:dyDescent="0.25"/>
  <cols>
    <col min="4" max="4" width="10.28515625" customWidth="1"/>
    <col min="5" max="5" width="10.140625" customWidth="1"/>
    <col min="6" max="6" width="10.28515625" customWidth="1"/>
    <col min="9" max="10" width="10.28515625" bestFit="1" customWidth="1"/>
    <col min="11" max="11" width="10.140625" bestFit="1" customWidth="1"/>
  </cols>
  <sheetData>
    <row r="1" spans="1:11" ht="18" x14ac:dyDescent="0.35">
      <c r="A1" s="16" t="s">
        <v>0</v>
      </c>
      <c r="B1" s="16" t="s">
        <v>1</v>
      </c>
      <c r="C1" s="16" t="s">
        <v>18</v>
      </c>
      <c r="D1" s="17" t="s">
        <v>48</v>
      </c>
      <c r="E1" s="17" t="s">
        <v>49</v>
      </c>
      <c r="F1" s="17" t="s">
        <v>50</v>
      </c>
      <c r="G1" s="4" t="s">
        <v>51</v>
      </c>
      <c r="H1" s="20" t="s">
        <v>28</v>
      </c>
      <c r="I1" s="20" t="s">
        <v>58</v>
      </c>
      <c r="J1" s="20" t="s">
        <v>57</v>
      </c>
      <c r="K1" s="20" t="s">
        <v>59</v>
      </c>
    </row>
    <row r="2" spans="1:11" x14ac:dyDescent="0.25">
      <c r="A2" s="3">
        <v>6</v>
      </c>
      <c r="B2" s="3">
        <v>3.3</v>
      </c>
      <c r="C2" s="3">
        <f>A2-B2</f>
        <v>2.7</v>
      </c>
      <c r="D2" s="15">
        <f xml:space="preserve"> INT(A2*Sheet1!$C$20/Sheet1!$B$28)</f>
        <v>933</v>
      </c>
      <c r="E2" s="15">
        <f xml:space="preserve"> INT(B2*Sheet1!$B$20/Sheet1!$B$28)</f>
        <v>2048</v>
      </c>
      <c r="F2" s="15">
        <f xml:space="preserve"> INT(D2*Sheet1!$C$21-Sheet2!E2)</f>
        <v>1674</v>
      </c>
      <c r="G2" s="3">
        <f>Sheet1!$G$5/Sheet2!F2</f>
        <v>2.1111111111111112</v>
      </c>
      <c r="H2" s="21">
        <f>G2/2^I2</f>
        <v>0.52777777777777779</v>
      </c>
      <c r="I2" s="21">
        <f>Sheet1!$F$13</f>
        <v>2</v>
      </c>
      <c r="J2" s="22" t="str">
        <f xml:space="preserve"> "0x" &amp; RIGHT(DEC2HEX(INT(H2*(2^Sheet1!$B$31-1)), 4), 4)</f>
        <v>0x438D</v>
      </c>
      <c r="K2" s="22" t="str">
        <f xml:space="preserve"> "0x" &amp; RIGHT(DEC2HEX(-I2, 4), 4)</f>
        <v>0xFFFE</v>
      </c>
    </row>
    <row r="3" spans="1:11" x14ac:dyDescent="0.25">
      <c r="A3" s="3">
        <v>6.5</v>
      </c>
      <c r="B3" s="3">
        <v>3.3</v>
      </c>
      <c r="C3" s="3">
        <f t="shared" ref="C3:C19" si="0">A3-B3</f>
        <v>3.2</v>
      </c>
      <c r="D3" s="15">
        <f xml:space="preserve"> INT(A3*Sheet1!$C$20/Sheet1!$B$28)</f>
        <v>1011</v>
      </c>
      <c r="E3" s="15">
        <f xml:space="preserve"> INT(B3*Sheet1!$B$20/Sheet1!$B$28)</f>
        <v>2048</v>
      </c>
      <c r="F3" s="15">
        <f xml:space="preserve"> INT(D3*Sheet1!$C$21-Sheet2!E3)</f>
        <v>1985</v>
      </c>
      <c r="G3" s="3">
        <f>Sheet1!$G$5/Sheet2!F3</f>
        <v>1.7803526448362721</v>
      </c>
      <c r="H3" s="21">
        <f>G3/2^I3</f>
        <v>0.44508816120906802</v>
      </c>
      <c r="I3" s="21">
        <f>Sheet1!$F$13</f>
        <v>2</v>
      </c>
      <c r="J3" s="22" t="str">
        <f xml:space="preserve"> "0x" &amp; RIGHT(DEC2HEX(INT(H3*(2^Sheet1!$B$31-1)), 4), 4)</f>
        <v>0x38F8</v>
      </c>
      <c r="K3" s="22" t="str">
        <f t="shared" ref="K3:K19" si="1" xml:space="preserve"> "0x" &amp; RIGHT(DEC2HEX(-I3, 4), 4)</f>
        <v>0xFFFE</v>
      </c>
    </row>
    <row r="4" spans="1:11" x14ac:dyDescent="0.25">
      <c r="A4" s="3">
        <v>7</v>
      </c>
      <c r="B4" s="3">
        <v>3.3</v>
      </c>
      <c r="C4" s="3">
        <f t="shared" si="0"/>
        <v>3.7</v>
      </c>
      <c r="D4" s="15">
        <f xml:space="preserve"> INT(A4*Sheet1!$C$20/Sheet1!$B$28)</f>
        <v>1088</v>
      </c>
      <c r="E4" s="15">
        <f xml:space="preserve"> INT(B4*Sheet1!$B$20/Sheet1!$B$28)</f>
        <v>2048</v>
      </c>
      <c r="F4" s="15">
        <f xml:space="preserve"> INT(D4*Sheet1!$C$21-Sheet2!E4)</f>
        <v>2293</v>
      </c>
      <c r="G4" s="3">
        <f>Sheet1!$G$5/Sheet2!F4</f>
        <v>1.5412123855211513</v>
      </c>
      <c r="H4" s="21">
        <f>G4/2^I4</f>
        <v>0.38530309638028781</v>
      </c>
      <c r="I4" s="21">
        <f>Sheet1!$F$13</f>
        <v>2</v>
      </c>
      <c r="J4" s="22" t="str">
        <f xml:space="preserve"> "0x" &amp; RIGHT(DEC2HEX(INT(H4*(2^Sheet1!$B$31-1)), 4), 4)</f>
        <v>0x3151</v>
      </c>
      <c r="K4" s="22" t="str">
        <f t="shared" si="1"/>
        <v>0xFFFE</v>
      </c>
    </row>
    <row r="5" spans="1:11" x14ac:dyDescent="0.25">
      <c r="A5" s="3">
        <v>7.5</v>
      </c>
      <c r="B5" s="3">
        <v>3.3</v>
      </c>
      <c r="C5" s="3">
        <f t="shared" si="0"/>
        <v>4.2</v>
      </c>
      <c r="D5" s="15">
        <f xml:space="preserve"> INT(A5*Sheet1!$C$20/Sheet1!$B$28)</f>
        <v>1166</v>
      </c>
      <c r="E5" s="15">
        <f xml:space="preserve"> INT(B5*Sheet1!$B$20/Sheet1!$B$28)</f>
        <v>2048</v>
      </c>
      <c r="F5" s="15">
        <f xml:space="preserve"> INT(D5*Sheet1!$C$21-Sheet2!E5)</f>
        <v>2604</v>
      </c>
      <c r="G5" s="3">
        <f>Sheet1!$G$5/Sheet2!F5</f>
        <v>1.3571428571428572</v>
      </c>
      <c r="H5" s="21">
        <f>G5/2^I5</f>
        <v>0.3392857142857143</v>
      </c>
      <c r="I5" s="21">
        <f>Sheet1!$F$13</f>
        <v>2</v>
      </c>
      <c r="J5" s="22" t="str">
        <f xml:space="preserve"> "0x" &amp; RIGHT(DEC2HEX(INT(H5*(2^Sheet1!$B$31-1)), 4), 4)</f>
        <v>0x2B6D</v>
      </c>
      <c r="K5" s="22" t="str">
        <f t="shared" si="1"/>
        <v>0xFFFE</v>
      </c>
    </row>
    <row r="6" spans="1:11" x14ac:dyDescent="0.25">
      <c r="A6" s="3">
        <v>8</v>
      </c>
      <c r="B6" s="3">
        <v>3.3</v>
      </c>
      <c r="C6" s="3">
        <f t="shared" si="0"/>
        <v>4.7</v>
      </c>
      <c r="D6" s="15">
        <f xml:space="preserve"> INT(A6*Sheet1!$C$20/Sheet1!$B$28)</f>
        <v>1244</v>
      </c>
      <c r="E6" s="15">
        <f xml:space="preserve"> INT(B6*Sheet1!$B$20/Sheet1!$B$28)</f>
        <v>2048</v>
      </c>
      <c r="F6" s="15">
        <f xml:space="preserve"> INT(D6*Sheet1!$C$21-Sheet2!E6)</f>
        <v>2915</v>
      </c>
      <c r="G6" s="3">
        <f>Sheet1!$G$5/Sheet2!F6</f>
        <v>1.2123499142367067</v>
      </c>
      <c r="H6" s="21">
        <f>G6/2^I6</f>
        <v>0.30308747855917667</v>
      </c>
      <c r="I6" s="21">
        <f>Sheet1!$F$13</f>
        <v>2</v>
      </c>
      <c r="J6" s="22" t="str">
        <f xml:space="preserve"> "0x" &amp; RIGHT(DEC2HEX(INT(H6*(2^Sheet1!$B$31-1)), 4), 4)</f>
        <v>0x26CB</v>
      </c>
      <c r="K6" s="22" t="str">
        <f t="shared" si="1"/>
        <v>0xFFFE</v>
      </c>
    </row>
    <row r="7" spans="1:11" x14ac:dyDescent="0.25">
      <c r="A7" s="3">
        <v>8.5</v>
      </c>
      <c r="B7" s="3">
        <v>3.3</v>
      </c>
      <c r="C7" s="3">
        <f t="shared" si="0"/>
        <v>5.2</v>
      </c>
      <c r="D7" s="15">
        <f xml:space="preserve"> INT(A7*Sheet1!$C$20/Sheet1!$B$28)</f>
        <v>1322</v>
      </c>
      <c r="E7" s="15">
        <f xml:space="preserve"> INT(B7*Sheet1!$B$20/Sheet1!$B$28)</f>
        <v>2048</v>
      </c>
      <c r="F7" s="15">
        <f xml:space="preserve"> INT(D7*Sheet1!$C$21-Sheet2!E7)</f>
        <v>3226</v>
      </c>
      <c r="G7" s="3">
        <f>Sheet1!$G$5/Sheet2!F7</f>
        <v>1.0954742715437074</v>
      </c>
      <c r="H7" s="21">
        <f>G7/2^I7</f>
        <v>0.27386856788592684</v>
      </c>
      <c r="I7" s="21">
        <f>Sheet1!$F$13</f>
        <v>2</v>
      </c>
      <c r="J7" s="22" t="str">
        <f xml:space="preserve"> "0x" &amp; RIGHT(DEC2HEX(INT(H7*(2^Sheet1!$B$31-1)), 4), 4)</f>
        <v>0x230D</v>
      </c>
      <c r="K7" s="22" t="str">
        <f t="shared" si="1"/>
        <v>0xFFFE</v>
      </c>
    </row>
    <row r="8" spans="1:11" x14ac:dyDescent="0.25">
      <c r="A8" s="3">
        <v>9</v>
      </c>
      <c r="B8" s="3">
        <v>3.3</v>
      </c>
      <c r="C8" s="3">
        <f t="shared" si="0"/>
        <v>5.7</v>
      </c>
      <c r="D8" s="15">
        <f xml:space="preserve"> INT(A8*Sheet1!$C$20/Sheet1!$B$28)</f>
        <v>1399</v>
      </c>
      <c r="E8" s="15">
        <f xml:space="preserve"> INT(B8*Sheet1!$B$20/Sheet1!$B$28)</f>
        <v>2048</v>
      </c>
      <c r="F8" s="15">
        <f xml:space="preserve"> INT(D8*Sheet1!$C$21-Sheet2!E8)</f>
        <v>3534</v>
      </c>
      <c r="G8" s="3">
        <f>Sheet1!$G$5/Sheet2!F8</f>
        <v>1</v>
      </c>
      <c r="H8" s="21">
        <f>G8/2^I8</f>
        <v>0.25</v>
      </c>
      <c r="I8" s="21">
        <f>Sheet1!$F$13</f>
        <v>2</v>
      </c>
      <c r="J8" s="22" t="str">
        <f xml:space="preserve"> "0x" &amp; RIGHT(DEC2HEX(INT(H8*(2^Sheet1!$B$31-1)), 4), 4)</f>
        <v>0x1FFF</v>
      </c>
      <c r="K8" s="22" t="str">
        <f t="shared" si="1"/>
        <v>0xFFFE</v>
      </c>
    </row>
    <row r="9" spans="1:11" x14ac:dyDescent="0.25">
      <c r="A9" s="3">
        <v>9.5</v>
      </c>
      <c r="B9" s="3">
        <v>3.3</v>
      </c>
      <c r="C9" s="3">
        <f t="shared" si="0"/>
        <v>6.2</v>
      </c>
      <c r="D9" s="15">
        <f xml:space="preserve"> INT(A9*Sheet1!$C$20/Sheet1!$B$28)</f>
        <v>1477</v>
      </c>
      <c r="E9" s="15">
        <f xml:space="preserve"> INT(B9*Sheet1!$B$20/Sheet1!$B$28)</f>
        <v>2048</v>
      </c>
      <c r="F9" s="15">
        <f xml:space="preserve"> INT(D9*Sheet1!$C$21-Sheet2!E9)</f>
        <v>3845</v>
      </c>
      <c r="G9" s="3">
        <f>Sheet1!$G$5/Sheet2!F9</f>
        <v>0.91911573472041608</v>
      </c>
      <c r="H9" s="21">
        <f>G9/2^I9</f>
        <v>0.22977893368010402</v>
      </c>
      <c r="I9" s="21">
        <f>Sheet1!$F$13</f>
        <v>2</v>
      </c>
      <c r="J9" s="22" t="str">
        <f xml:space="preserve"> "0x" &amp; RIGHT(DEC2HEX(INT(H9*(2^Sheet1!$B$31-1)), 4), 4)</f>
        <v>0x1D69</v>
      </c>
      <c r="K9" s="22" t="str">
        <f t="shared" si="1"/>
        <v>0xFFFE</v>
      </c>
    </row>
    <row r="10" spans="1:11" x14ac:dyDescent="0.25">
      <c r="A10" s="3">
        <v>10</v>
      </c>
      <c r="B10" s="3">
        <v>3.3</v>
      </c>
      <c r="C10" s="3">
        <f t="shared" si="0"/>
        <v>6.7</v>
      </c>
      <c r="D10" s="15">
        <f xml:space="preserve"> INT(A10*Sheet1!$C$20/Sheet1!$B$28)</f>
        <v>1555</v>
      </c>
      <c r="E10" s="15">
        <f xml:space="preserve"> INT(B10*Sheet1!$B$20/Sheet1!$B$28)</f>
        <v>2048</v>
      </c>
      <c r="F10" s="15">
        <f xml:space="preserve"> INT(D10*Sheet1!$C$21-Sheet2!E10)</f>
        <v>4156</v>
      </c>
      <c r="G10" s="3">
        <f>Sheet1!$G$5/Sheet2!F10</f>
        <v>0.85033686236766126</v>
      </c>
      <c r="H10" s="21">
        <f>G10/2^I10</f>
        <v>0.21258421559191532</v>
      </c>
      <c r="I10" s="21">
        <f>Sheet1!$F$13</f>
        <v>2</v>
      </c>
      <c r="J10" s="22" t="str">
        <f xml:space="preserve"> "0x" &amp; RIGHT(DEC2HEX(INT(H10*(2^Sheet1!$B$31-1)), 4), 4)</f>
        <v>0x1B35</v>
      </c>
      <c r="K10" s="22" t="str">
        <f t="shared" si="1"/>
        <v>0xFFFE</v>
      </c>
    </row>
    <row r="11" spans="1:11" x14ac:dyDescent="0.25">
      <c r="A11" s="3">
        <v>10.5</v>
      </c>
      <c r="B11" s="3">
        <v>3.3</v>
      </c>
      <c r="C11" s="3">
        <f t="shared" si="0"/>
        <v>7.2</v>
      </c>
      <c r="D11" s="15">
        <f xml:space="preserve"> INT(A11*Sheet1!$C$20/Sheet1!$B$28)</f>
        <v>1633</v>
      </c>
      <c r="E11" s="15">
        <f xml:space="preserve"> INT(B11*Sheet1!$B$20/Sheet1!$B$28)</f>
        <v>2048</v>
      </c>
      <c r="F11" s="15">
        <f xml:space="preserve"> INT(D11*Sheet1!$C$21-Sheet2!E11)</f>
        <v>4467</v>
      </c>
      <c r="G11" s="3">
        <f>Sheet1!$G$5/Sheet2!F11</f>
        <v>0.79113498992612497</v>
      </c>
      <c r="H11" s="21">
        <f>G11/2^I11</f>
        <v>0.19778374748153124</v>
      </c>
      <c r="I11" s="21">
        <f>Sheet1!$F$13</f>
        <v>2</v>
      </c>
      <c r="J11" s="22" t="str">
        <f xml:space="preserve"> "0x" &amp; RIGHT(DEC2HEX(INT(H11*(2^Sheet1!$B$31-1)), 4), 4)</f>
        <v>0x1950</v>
      </c>
      <c r="K11" s="22" t="str">
        <f t="shared" si="1"/>
        <v>0xFFFE</v>
      </c>
    </row>
    <row r="12" spans="1:11" x14ac:dyDescent="0.25">
      <c r="A12" s="3">
        <v>11</v>
      </c>
      <c r="B12" s="3">
        <v>3.3</v>
      </c>
      <c r="C12" s="3">
        <f t="shared" si="0"/>
        <v>7.7</v>
      </c>
      <c r="D12" s="15">
        <f xml:space="preserve"> INT(A12*Sheet1!$C$20/Sheet1!$B$28)</f>
        <v>1710</v>
      </c>
      <c r="E12" s="15">
        <f xml:space="preserve"> INT(B12*Sheet1!$B$20/Sheet1!$B$28)</f>
        <v>2048</v>
      </c>
      <c r="F12" s="15">
        <f xml:space="preserve"> INT(D12*Sheet1!$C$21-Sheet2!E12)</f>
        <v>4774</v>
      </c>
      <c r="G12" s="3">
        <f>Sheet1!$G$5/Sheet2!F12</f>
        <v>0.74025974025974028</v>
      </c>
      <c r="H12" s="21">
        <f>G12/2^I12</f>
        <v>0.18506493506493507</v>
      </c>
      <c r="I12" s="21">
        <f>Sheet1!$F$13</f>
        <v>2</v>
      </c>
      <c r="J12" s="22" t="str">
        <f xml:space="preserve"> "0x" &amp; RIGHT(DEC2HEX(INT(H12*(2^Sheet1!$B$31-1)), 4), 4)</f>
        <v>0x17B0</v>
      </c>
      <c r="K12" s="22" t="str">
        <f t="shared" si="1"/>
        <v>0xFFFE</v>
      </c>
    </row>
    <row r="13" spans="1:11" x14ac:dyDescent="0.25">
      <c r="A13" s="3">
        <v>11.5</v>
      </c>
      <c r="B13" s="3">
        <v>3.3</v>
      </c>
      <c r="C13" s="3">
        <f t="shared" si="0"/>
        <v>8.1999999999999993</v>
      </c>
      <c r="D13" s="15">
        <f xml:space="preserve"> INT(A13*Sheet1!$C$20/Sheet1!$B$28)</f>
        <v>1788</v>
      </c>
      <c r="E13" s="15">
        <f xml:space="preserve"> INT(B13*Sheet1!$B$20/Sheet1!$B$28)</f>
        <v>2048</v>
      </c>
      <c r="F13" s="15">
        <f xml:space="preserve"> INT(D13*Sheet1!$C$21-Sheet2!E13)</f>
        <v>5086</v>
      </c>
      <c r="G13" s="3">
        <f>Sheet1!$G$5/Sheet2!F13</f>
        <v>0.69484860401101056</v>
      </c>
      <c r="H13" s="21">
        <f>G13/2^I13</f>
        <v>0.17371215100275264</v>
      </c>
      <c r="I13" s="21">
        <f>Sheet1!$F$13</f>
        <v>2</v>
      </c>
      <c r="J13" s="22" t="str">
        <f xml:space="preserve"> "0x" &amp; RIGHT(DEC2HEX(INT(H13*(2^Sheet1!$B$31-1)), 4), 4)</f>
        <v>0x163C</v>
      </c>
      <c r="K13" s="22" t="str">
        <f t="shared" si="1"/>
        <v>0xFFFE</v>
      </c>
    </row>
    <row r="14" spans="1:11" x14ac:dyDescent="0.25">
      <c r="A14" s="3">
        <v>12</v>
      </c>
      <c r="B14" s="3">
        <v>3.3</v>
      </c>
      <c r="C14" s="3">
        <f t="shared" si="0"/>
        <v>8.6999999999999993</v>
      </c>
      <c r="D14" s="15">
        <f xml:space="preserve"> INT(A14*Sheet1!$C$20/Sheet1!$B$28)</f>
        <v>1866</v>
      </c>
      <c r="E14" s="15">
        <f xml:space="preserve"> INT(B14*Sheet1!$B$20/Sheet1!$B$28)</f>
        <v>2048</v>
      </c>
      <c r="F14" s="15">
        <f xml:space="preserve"> INT(D14*Sheet1!$C$21-Sheet2!E14)</f>
        <v>5397</v>
      </c>
      <c r="G14" s="3">
        <f>Sheet1!$G$5/Sheet2!F14</f>
        <v>0.6548082267926626</v>
      </c>
      <c r="H14" s="21">
        <f>G14/2^I14</f>
        <v>0.16370205669816565</v>
      </c>
      <c r="I14" s="21">
        <f>Sheet1!$F$13</f>
        <v>2</v>
      </c>
      <c r="J14" s="22" t="str">
        <f xml:space="preserve"> "0x" &amp; RIGHT(DEC2HEX(INT(H14*(2^Sheet1!$B$31-1)), 4), 4)</f>
        <v>0x14F4</v>
      </c>
      <c r="K14" s="22" t="str">
        <f t="shared" si="1"/>
        <v>0xFFFE</v>
      </c>
    </row>
    <row r="15" spans="1:11" x14ac:dyDescent="0.25">
      <c r="A15" s="3">
        <v>12.5</v>
      </c>
      <c r="B15" s="3">
        <v>3.3</v>
      </c>
      <c r="C15" s="3">
        <f t="shared" si="0"/>
        <v>9.1999999999999993</v>
      </c>
      <c r="D15" s="15">
        <f xml:space="preserve"> INT(A15*Sheet1!$C$20/Sheet1!$B$28)</f>
        <v>1944</v>
      </c>
      <c r="E15" s="15">
        <f xml:space="preserve"> INT(B15*Sheet1!$B$20/Sheet1!$B$28)</f>
        <v>2048</v>
      </c>
      <c r="F15" s="15">
        <f xml:space="preserve"> INT(D15*Sheet1!$C$21-Sheet2!E15)</f>
        <v>5708</v>
      </c>
      <c r="G15" s="3">
        <f>Sheet1!$G$5/Sheet2!F15</f>
        <v>0.61913104414856346</v>
      </c>
      <c r="H15" s="21">
        <f>G15/2^I15</f>
        <v>0.15478276103714086</v>
      </c>
      <c r="I15" s="21">
        <f>Sheet1!$F$13</f>
        <v>2</v>
      </c>
      <c r="J15" s="22" t="str">
        <f xml:space="preserve"> "0x" &amp; RIGHT(DEC2HEX(INT(H15*(2^Sheet1!$B$31-1)), 4), 4)</f>
        <v>0x13CF</v>
      </c>
      <c r="K15" s="22" t="str">
        <f t="shared" si="1"/>
        <v>0xFFFE</v>
      </c>
    </row>
    <row r="16" spans="1:11" x14ac:dyDescent="0.25">
      <c r="A16" s="3">
        <v>13</v>
      </c>
      <c r="B16" s="3">
        <v>3.3</v>
      </c>
      <c r="C16" s="3">
        <f t="shared" si="0"/>
        <v>9.6999999999999993</v>
      </c>
      <c r="D16" s="15">
        <f xml:space="preserve"> INT(A16*Sheet1!$C$20/Sheet1!$B$28)</f>
        <v>2022</v>
      </c>
      <c r="E16" s="15">
        <f xml:space="preserve"> INT(B16*Sheet1!$B$20/Sheet1!$B$28)</f>
        <v>2048</v>
      </c>
      <c r="F16" s="15">
        <f xml:space="preserve"> INT(D16*Sheet1!$C$21-Sheet2!E16)</f>
        <v>6019</v>
      </c>
      <c r="G16" s="3">
        <f>Sheet1!$G$5/Sheet2!F16</f>
        <v>0.58714072105000825</v>
      </c>
      <c r="H16" s="21">
        <f>G16/2^I16</f>
        <v>0.14678518026250206</v>
      </c>
      <c r="I16" s="21">
        <f>Sheet1!$F$13</f>
        <v>2</v>
      </c>
      <c r="J16" s="22" t="str">
        <f xml:space="preserve"> "0x" &amp; RIGHT(DEC2HEX(INT(H16*(2^Sheet1!$B$31-1)), 4), 4)</f>
        <v>0x12C9</v>
      </c>
      <c r="K16" s="22" t="str">
        <f t="shared" si="1"/>
        <v>0xFFFE</v>
      </c>
    </row>
    <row r="17" spans="1:11" x14ac:dyDescent="0.25">
      <c r="A17" s="3">
        <v>13.5</v>
      </c>
      <c r="B17" s="3">
        <v>3.3</v>
      </c>
      <c r="C17" s="3">
        <f t="shared" si="0"/>
        <v>10.199999999999999</v>
      </c>
      <c r="D17" s="15">
        <f xml:space="preserve"> INT(A17*Sheet1!$C$20/Sheet1!$B$28)</f>
        <v>2099</v>
      </c>
      <c r="E17" s="15">
        <f xml:space="preserve"> INT(B17*Sheet1!$B$20/Sheet1!$B$28)</f>
        <v>2048</v>
      </c>
      <c r="F17" s="15">
        <f xml:space="preserve"> INT(D17*Sheet1!$C$21-Sheet2!E17)</f>
        <v>6327</v>
      </c>
      <c r="G17" s="3">
        <f>Sheet1!$G$5/Sheet2!F17</f>
        <v>0.55855855855855852</v>
      </c>
      <c r="H17" s="21">
        <f>G17/2^I17</f>
        <v>0.13963963963963963</v>
      </c>
      <c r="I17" s="21">
        <f>Sheet1!$F$13</f>
        <v>2</v>
      </c>
      <c r="J17" s="22" t="str">
        <f xml:space="preserve"> "0x" &amp; RIGHT(DEC2HEX(INT(H17*(2^Sheet1!$B$31-1)), 4), 4)</f>
        <v>0x11DF</v>
      </c>
      <c r="K17" s="22" t="str">
        <f t="shared" si="1"/>
        <v>0xFFFE</v>
      </c>
    </row>
    <row r="18" spans="1:11" x14ac:dyDescent="0.25">
      <c r="A18" s="3">
        <v>14</v>
      </c>
      <c r="B18" s="3">
        <v>3.3</v>
      </c>
      <c r="C18" s="3">
        <f t="shared" si="0"/>
        <v>10.7</v>
      </c>
      <c r="D18" s="15">
        <f xml:space="preserve"> INT(A18*Sheet1!$C$20/Sheet1!$B$28)</f>
        <v>2177</v>
      </c>
      <c r="E18" s="15">
        <f xml:space="preserve"> INT(B18*Sheet1!$B$20/Sheet1!$B$28)</f>
        <v>2048</v>
      </c>
      <c r="F18" s="15">
        <f xml:space="preserve"> INT(D18*Sheet1!$C$21-Sheet2!E18)</f>
        <v>6638</v>
      </c>
      <c r="G18" s="3">
        <f>Sheet1!$G$5/Sheet2!F18</f>
        <v>0.53238927387767399</v>
      </c>
      <c r="H18" s="21">
        <f>G18/2^I18</f>
        <v>0.1330973184694185</v>
      </c>
      <c r="I18" s="21">
        <f>Sheet1!$F$13</f>
        <v>2</v>
      </c>
      <c r="J18" s="22" t="str">
        <f xml:space="preserve"> "0x" &amp; RIGHT(DEC2HEX(INT(H18*(2^Sheet1!$B$31-1)), 4), 4)</f>
        <v>0x1109</v>
      </c>
      <c r="K18" s="22" t="str">
        <f t="shared" si="1"/>
        <v>0xFFFE</v>
      </c>
    </row>
    <row r="19" spans="1:11" x14ac:dyDescent="0.25">
      <c r="A19" s="3">
        <v>14.5</v>
      </c>
      <c r="B19" s="3">
        <v>3.3</v>
      </c>
      <c r="C19" s="3">
        <f t="shared" si="0"/>
        <v>11.2</v>
      </c>
      <c r="D19" s="15">
        <f xml:space="preserve"> INT(A19*Sheet1!$C$20/Sheet1!$B$28)</f>
        <v>2255</v>
      </c>
      <c r="E19" s="15">
        <f xml:space="preserve"> INT(B19*Sheet1!$B$20/Sheet1!$B$28)</f>
        <v>2048</v>
      </c>
      <c r="F19" s="15">
        <f xml:space="preserve"> INT(D19*Sheet1!$C$21-Sheet2!E19)</f>
        <v>6949</v>
      </c>
      <c r="G19" s="3">
        <f>Sheet1!$G$5/Sheet2!F19</f>
        <v>0.50856238307670165</v>
      </c>
      <c r="H19" s="21">
        <f>G19/2^I19</f>
        <v>0.12714059576917541</v>
      </c>
      <c r="I19" s="21">
        <f>Sheet1!$F$13</f>
        <v>2</v>
      </c>
      <c r="J19" s="22" t="str">
        <f xml:space="preserve"> "0x" &amp; RIGHT(DEC2HEX(INT(H19*(2^Sheet1!$B$31-1)), 4), 4)</f>
        <v>0x1046</v>
      </c>
      <c r="K19" s="22" t="str">
        <f t="shared" si="1"/>
        <v>0xFFFE</v>
      </c>
    </row>
    <row r="21" spans="1:11" ht="18" x14ac:dyDescent="0.35">
      <c r="A21" s="16" t="s">
        <v>0</v>
      </c>
      <c r="B21" s="16" t="s">
        <v>1</v>
      </c>
      <c r="C21" s="16" t="s">
        <v>18</v>
      </c>
      <c r="D21" s="17" t="s">
        <v>48</v>
      </c>
      <c r="E21" s="17" t="s">
        <v>49</v>
      </c>
      <c r="F21" s="17" t="s">
        <v>50</v>
      </c>
      <c r="G21" s="4" t="s">
        <v>52</v>
      </c>
      <c r="H21" s="20" t="s">
        <v>28</v>
      </c>
      <c r="I21" s="20" t="s">
        <v>58</v>
      </c>
      <c r="J21" s="20" t="s">
        <v>57</v>
      </c>
      <c r="K21" s="20" t="s">
        <v>59</v>
      </c>
    </row>
    <row r="22" spans="1:11" x14ac:dyDescent="0.25">
      <c r="A22" s="3">
        <v>6</v>
      </c>
      <c r="B22" s="3">
        <v>0.6</v>
      </c>
      <c r="C22" s="3">
        <f>A22-B22</f>
        <v>5.4</v>
      </c>
      <c r="D22" s="15">
        <f xml:space="preserve"> INT(A22*Sheet1!$C$20/Sheet1!$B$28)</f>
        <v>933</v>
      </c>
      <c r="E22" s="15">
        <f xml:space="preserve"> INT(B22*Sheet1!$B$20/Sheet1!$B$28)</f>
        <v>372</v>
      </c>
      <c r="F22" s="15">
        <f xml:space="preserve"> INT(D22*Sheet1!$C$21-Sheet2!E22)</f>
        <v>3350</v>
      </c>
      <c r="G22" s="3">
        <f>Sheet1!$G$5/Sheet2!F22</f>
        <v>1.0549253731343284</v>
      </c>
      <c r="H22" s="21">
        <f>G22/2^I22</f>
        <v>0.26373134328358211</v>
      </c>
      <c r="I22" s="21">
        <f>Sheet1!$F$13</f>
        <v>2</v>
      </c>
      <c r="J22" s="22" t="str">
        <f xml:space="preserve"> "0x" &amp; RIGHT(DEC2HEX(INT(H22*(2^Sheet1!$B$31-1)), 4), 4)</f>
        <v>0x21C1</v>
      </c>
      <c r="K22" s="22" t="str">
        <f xml:space="preserve"> "0x" &amp; RIGHT(DEC2HEX(-I22, 4), 4)</f>
        <v>0xFFFE</v>
      </c>
    </row>
    <row r="23" spans="1:11" x14ac:dyDescent="0.25">
      <c r="A23" s="3">
        <v>6.5</v>
      </c>
      <c r="B23" s="3">
        <v>0.6</v>
      </c>
      <c r="C23" s="3">
        <f t="shared" ref="C23:C39" si="2">A23-B23</f>
        <v>5.9</v>
      </c>
      <c r="D23" s="15">
        <f xml:space="preserve"> INT(A23*Sheet1!$C$20/Sheet1!$B$28)</f>
        <v>1011</v>
      </c>
      <c r="E23" s="15">
        <f xml:space="preserve"> INT(B23*Sheet1!$B$20/Sheet1!$B$28)</f>
        <v>372</v>
      </c>
      <c r="F23" s="15">
        <f xml:space="preserve"> INT(D23*Sheet1!$C$21-Sheet2!E23)</f>
        <v>3661</v>
      </c>
      <c r="G23" s="3">
        <f>Sheet1!$G$5/Sheet2!F23</f>
        <v>0.96531002458344717</v>
      </c>
      <c r="H23" s="21">
        <f>G23/2^I23</f>
        <v>0.24132750614586179</v>
      </c>
      <c r="I23" s="21">
        <f>Sheet1!$F$13</f>
        <v>2</v>
      </c>
      <c r="J23" s="22" t="str">
        <f xml:space="preserve"> "0x" &amp; RIGHT(DEC2HEX(INT(H23*(2^Sheet1!$B$31-1)), 4), 4)</f>
        <v>0x1EE3</v>
      </c>
      <c r="K23" s="22" t="str">
        <f t="shared" ref="K23:K39" si="3" xml:space="preserve"> "0x" &amp; RIGHT(DEC2HEX(-I23, 4), 4)</f>
        <v>0xFFFE</v>
      </c>
    </row>
    <row r="24" spans="1:11" x14ac:dyDescent="0.25">
      <c r="A24" s="3">
        <v>7</v>
      </c>
      <c r="B24" s="3">
        <v>0.6</v>
      </c>
      <c r="C24" s="3">
        <f t="shared" si="2"/>
        <v>6.4</v>
      </c>
      <c r="D24" s="15">
        <f xml:space="preserve"> INT(A24*Sheet1!$C$20/Sheet1!$B$28)</f>
        <v>1088</v>
      </c>
      <c r="E24" s="15">
        <f xml:space="preserve"> INT(B24*Sheet1!$B$20/Sheet1!$B$28)</f>
        <v>372</v>
      </c>
      <c r="F24" s="15">
        <f xml:space="preserve"> INT(D24*Sheet1!$C$21-Sheet2!E24)</f>
        <v>3969</v>
      </c>
      <c r="G24" s="3">
        <f>Sheet1!$G$5/Sheet2!F24</f>
        <v>0.89040060468631899</v>
      </c>
      <c r="H24" s="21">
        <f>G24/2^I24</f>
        <v>0.22260015117157975</v>
      </c>
      <c r="I24" s="21">
        <f>Sheet1!$F$13</f>
        <v>2</v>
      </c>
      <c r="J24" s="22" t="str">
        <f xml:space="preserve"> "0x" &amp; RIGHT(DEC2HEX(INT(H24*(2^Sheet1!$B$31-1)), 4), 4)</f>
        <v>0x1C7D</v>
      </c>
      <c r="K24" s="22" t="str">
        <f t="shared" si="3"/>
        <v>0xFFFE</v>
      </c>
    </row>
    <row r="25" spans="1:11" x14ac:dyDescent="0.25">
      <c r="A25" s="3">
        <v>7.5</v>
      </c>
      <c r="B25" s="3">
        <v>0.6</v>
      </c>
      <c r="C25" s="3">
        <f t="shared" si="2"/>
        <v>6.9</v>
      </c>
      <c r="D25" s="15">
        <f xml:space="preserve"> INT(A25*Sheet1!$C$20/Sheet1!$B$28)</f>
        <v>1166</v>
      </c>
      <c r="E25" s="15">
        <f xml:space="preserve"> INT(B25*Sheet1!$B$20/Sheet1!$B$28)</f>
        <v>372</v>
      </c>
      <c r="F25" s="15">
        <f xml:space="preserve"> INT(D25*Sheet1!$C$21-Sheet2!E25)</f>
        <v>4280</v>
      </c>
      <c r="G25" s="3">
        <f>Sheet1!$G$5/Sheet2!F25</f>
        <v>0.82570093457943927</v>
      </c>
      <c r="H25" s="21">
        <f>G25/2^I25</f>
        <v>0.20642523364485982</v>
      </c>
      <c r="I25" s="21">
        <f>Sheet1!$F$13</f>
        <v>2</v>
      </c>
      <c r="J25" s="22" t="str">
        <f xml:space="preserve"> "0x" &amp; RIGHT(DEC2HEX(INT(H25*(2^Sheet1!$B$31-1)), 4), 4)</f>
        <v>0x1A6B</v>
      </c>
      <c r="K25" s="22" t="str">
        <f t="shared" si="3"/>
        <v>0xFFFE</v>
      </c>
    </row>
    <row r="26" spans="1:11" x14ac:dyDescent="0.25">
      <c r="A26" s="3">
        <v>8</v>
      </c>
      <c r="B26" s="3">
        <v>0.6</v>
      </c>
      <c r="C26" s="3">
        <f t="shared" si="2"/>
        <v>7.4</v>
      </c>
      <c r="D26" s="15">
        <f xml:space="preserve"> INT(A26*Sheet1!$C$20/Sheet1!$B$28)</f>
        <v>1244</v>
      </c>
      <c r="E26" s="15">
        <f xml:space="preserve"> INT(B26*Sheet1!$B$20/Sheet1!$B$28)</f>
        <v>372</v>
      </c>
      <c r="F26" s="15">
        <f xml:space="preserve"> INT(D26*Sheet1!$C$21-Sheet2!E26)</f>
        <v>4591</v>
      </c>
      <c r="G26" s="3">
        <f>Sheet1!$G$5/Sheet2!F26</f>
        <v>0.76976693530821172</v>
      </c>
      <c r="H26" s="21">
        <f>G26/2^I26</f>
        <v>0.19244173382705293</v>
      </c>
      <c r="I26" s="21">
        <f>Sheet1!$F$13</f>
        <v>2</v>
      </c>
      <c r="J26" s="22" t="str">
        <f xml:space="preserve"> "0x" &amp; RIGHT(DEC2HEX(INT(H26*(2^Sheet1!$B$31-1)), 4), 4)</f>
        <v>0x18A1</v>
      </c>
      <c r="K26" s="22" t="str">
        <f t="shared" si="3"/>
        <v>0xFFFE</v>
      </c>
    </row>
    <row r="27" spans="1:11" x14ac:dyDescent="0.25">
      <c r="A27" s="3">
        <v>8.5</v>
      </c>
      <c r="B27" s="3">
        <v>0.6</v>
      </c>
      <c r="C27" s="3">
        <f t="shared" si="2"/>
        <v>7.9</v>
      </c>
      <c r="D27" s="15">
        <f xml:space="preserve"> INT(A27*Sheet1!$C$20/Sheet1!$B$28)</f>
        <v>1322</v>
      </c>
      <c r="E27" s="15">
        <f xml:space="preserve"> INT(B27*Sheet1!$B$20/Sheet1!$B$28)</f>
        <v>372</v>
      </c>
      <c r="F27" s="15">
        <f xml:space="preserve"> INT(D27*Sheet1!$C$21-Sheet2!E27)</f>
        <v>4902</v>
      </c>
      <c r="G27" s="3">
        <f>Sheet1!$G$5/Sheet2!F27</f>
        <v>0.72093023255813948</v>
      </c>
      <c r="H27" s="21">
        <f>G27/2^I27</f>
        <v>0.18023255813953487</v>
      </c>
      <c r="I27" s="21">
        <f>Sheet1!$F$13</f>
        <v>2</v>
      </c>
      <c r="J27" s="22" t="str">
        <f xml:space="preserve"> "0x" &amp; RIGHT(DEC2HEX(INT(H27*(2^Sheet1!$B$31-1)), 4), 4)</f>
        <v>0x1711</v>
      </c>
      <c r="K27" s="22" t="str">
        <f t="shared" si="3"/>
        <v>0xFFFE</v>
      </c>
    </row>
    <row r="28" spans="1:11" x14ac:dyDescent="0.25">
      <c r="A28" s="3">
        <v>9</v>
      </c>
      <c r="B28" s="3">
        <v>0.6</v>
      </c>
      <c r="C28" s="3">
        <f t="shared" si="2"/>
        <v>8.4</v>
      </c>
      <c r="D28" s="15">
        <f xml:space="preserve"> INT(A28*Sheet1!$C$20/Sheet1!$B$28)</f>
        <v>1399</v>
      </c>
      <c r="E28" s="15">
        <f xml:space="preserve"> INT(B28*Sheet1!$B$20/Sheet1!$B$28)</f>
        <v>372</v>
      </c>
      <c r="F28" s="15">
        <f xml:space="preserve"> INT(D28*Sheet1!$C$21-Sheet2!E28)</f>
        <v>5210</v>
      </c>
      <c r="G28" s="3">
        <f>Sheet1!$G$5/Sheet2!F28</f>
        <v>0.67831094049904028</v>
      </c>
      <c r="H28" s="21">
        <f>G28/2^I28</f>
        <v>0.16957773512476007</v>
      </c>
      <c r="I28" s="21">
        <f>Sheet1!$F$13</f>
        <v>2</v>
      </c>
      <c r="J28" s="22" t="str">
        <f xml:space="preserve"> "0x" &amp; RIGHT(DEC2HEX(INT(H28*(2^Sheet1!$B$31-1)), 4), 4)</f>
        <v>0x15B4</v>
      </c>
      <c r="K28" s="22" t="str">
        <f t="shared" si="3"/>
        <v>0xFFFE</v>
      </c>
    </row>
    <row r="29" spans="1:11" x14ac:dyDescent="0.25">
      <c r="A29" s="3">
        <v>9.5</v>
      </c>
      <c r="B29" s="3">
        <v>0.6</v>
      </c>
      <c r="C29" s="3">
        <f t="shared" si="2"/>
        <v>8.9</v>
      </c>
      <c r="D29" s="15">
        <f xml:space="preserve"> INT(A29*Sheet1!$C$20/Sheet1!$B$28)</f>
        <v>1477</v>
      </c>
      <c r="E29" s="15">
        <f xml:space="preserve"> INT(B29*Sheet1!$B$20/Sheet1!$B$28)</f>
        <v>372</v>
      </c>
      <c r="F29" s="15">
        <f xml:space="preserve"> INT(D29*Sheet1!$C$21-Sheet2!E29)</f>
        <v>5521</v>
      </c>
      <c r="G29" s="3">
        <f>Sheet1!$G$5/Sheet2!F29</f>
        <v>0.64010143090019922</v>
      </c>
      <c r="H29" s="21">
        <f>G29/2^I29</f>
        <v>0.1600253577250498</v>
      </c>
      <c r="I29" s="21">
        <f>Sheet1!$F$13</f>
        <v>2</v>
      </c>
      <c r="J29" s="22" t="str">
        <f xml:space="preserve"> "0x" &amp; RIGHT(DEC2HEX(INT(H29*(2^Sheet1!$B$31-1)), 4), 4)</f>
        <v>0x147B</v>
      </c>
      <c r="K29" s="22" t="str">
        <f t="shared" si="3"/>
        <v>0xFFFE</v>
      </c>
    </row>
    <row r="30" spans="1:11" x14ac:dyDescent="0.25">
      <c r="A30" s="3">
        <v>10</v>
      </c>
      <c r="B30" s="3">
        <v>0.6</v>
      </c>
      <c r="C30" s="3">
        <f t="shared" si="2"/>
        <v>9.4</v>
      </c>
      <c r="D30" s="15">
        <f xml:space="preserve"> INT(A30*Sheet1!$C$20/Sheet1!$B$28)</f>
        <v>1555</v>
      </c>
      <c r="E30" s="15">
        <f xml:space="preserve"> INT(B30*Sheet1!$B$20/Sheet1!$B$28)</f>
        <v>372</v>
      </c>
      <c r="F30" s="15">
        <f xml:space="preserve"> INT(D30*Sheet1!$C$21-Sheet2!E30)</f>
        <v>5832</v>
      </c>
      <c r="G30" s="3">
        <f>Sheet1!$G$5/Sheet2!F30</f>
        <v>0.6059670781893004</v>
      </c>
      <c r="H30" s="21">
        <f>G30/2^I30</f>
        <v>0.1514917695473251</v>
      </c>
      <c r="I30" s="21">
        <f>Sheet1!$F$13</f>
        <v>2</v>
      </c>
      <c r="J30" s="22" t="str">
        <f xml:space="preserve"> "0x" &amp; RIGHT(DEC2HEX(INT(H30*(2^Sheet1!$B$31-1)), 4), 4)</f>
        <v>0x1363</v>
      </c>
      <c r="K30" s="22" t="str">
        <f t="shared" si="3"/>
        <v>0xFFFE</v>
      </c>
    </row>
    <row r="31" spans="1:11" x14ac:dyDescent="0.25">
      <c r="A31" s="3">
        <v>10.5</v>
      </c>
      <c r="B31" s="3">
        <v>0.6</v>
      </c>
      <c r="C31" s="3">
        <f t="shared" si="2"/>
        <v>9.9</v>
      </c>
      <c r="D31" s="15">
        <f xml:space="preserve"> INT(A31*Sheet1!$C$20/Sheet1!$B$28)</f>
        <v>1633</v>
      </c>
      <c r="E31" s="15">
        <f xml:space="preserve"> INT(B31*Sheet1!$B$20/Sheet1!$B$28)</f>
        <v>372</v>
      </c>
      <c r="F31" s="15">
        <f xml:space="preserve"> INT(D31*Sheet1!$C$21-Sheet2!E31)</f>
        <v>6143</v>
      </c>
      <c r="G31" s="3">
        <f>Sheet1!$G$5/Sheet2!F31</f>
        <v>0.57528894676867981</v>
      </c>
      <c r="H31" s="21">
        <f>G31/2^I31</f>
        <v>0.14382223669216995</v>
      </c>
      <c r="I31" s="21">
        <f>Sheet1!$F$13</f>
        <v>2</v>
      </c>
      <c r="J31" s="22" t="str">
        <f xml:space="preserve"> "0x" &amp; RIGHT(DEC2HEX(INT(H31*(2^Sheet1!$B$31-1)), 4), 4)</f>
        <v>0x1268</v>
      </c>
      <c r="K31" s="22" t="str">
        <f t="shared" si="3"/>
        <v>0xFFFE</v>
      </c>
    </row>
    <row r="32" spans="1:11" x14ac:dyDescent="0.25">
      <c r="A32" s="3">
        <v>11</v>
      </c>
      <c r="B32" s="3">
        <v>0.6</v>
      </c>
      <c r="C32" s="3">
        <f t="shared" si="2"/>
        <v>10.4</v>
      </c>
      <c r="D32" s="15">
        <f xml:space="preserve"> INT(A32*Sheet1!$C$20/Sheet1!$B$28)</f>
        <v>1710</v>
      </c>
      <c r="E32" s="15">
        <f xml:space="preserve"> INT(B32*Sheet1!$B$20/Sheet1!$B$28)</f>
        <v>372</v>
      </c>
      <c r="F32" s="15">
        <f xml:space="preserve"> INT(D32*Sheet1!$C$21-Sheet2!E32)</f>
        <v>6450</v>
      </c>
      <c r="G32" s="3">
        <f>Sheet1!$G$5/Sheet2!F32</f>
        <v>0.54790697674418609</v>
      </c>
      <c r="H32" s="21">
        <f>G32/2^I32</f>
        <v>0.13697674418604652</v>
      </c>
      <c r="I32" s="21">
        <f>Sheet1!$F$13</f>
        <v>2</v>
      </c>
      <c r="J32" s="22" t="str">
        <f xml:space="preserve"> "0x" &amp; RIGHT(DEC2HEX(INT(H32*(2^Sheet1!$B$31-1)), 4), 4)</f>
        <v>0x1188</v>
      </c>
      <c r="K32" s="22" t="str">
        <f t="shared" si="3"/>
        <v>0xFFFE</v>
      </c>
    </row>
    <row r="33" spans="1:11" x14ac:dyDescent="0.25">
      <c r="A33" s="3">
        <v>11.5</v>
      </c>
      <c r="B33" s="3">
        <v>0.6</v>
      </c>
      <c r="C33" s="3">
        <f t="shared" si="2"/>
        <v>10.9</v>
      </c>
      <c r="D33" s="15">
        <f xml:space="preserve"> INT(A33*Sheet1!$C$20/Sheet1!$B$28)</f>
        <v>1788</v>
      </c>
      <c r="E33" s="15">
        <f xml:space="preserve"> INT(B33*Sheet1!$B$20/Sheet1!$B$28)</f>
        <v>372</v>
      </c>
      <c r="F33" s="15">
        <f xml:space="preserve"> INT(D33*Sheet1!$C$21-Sheet2!E33)</f>
        <v>6762</v>
      </c>
      <c r="G33" s="3">
        <f>Sheet1!$G$5/Sheet2!F33</f>
        <v>0.5226264418811003</v>
      </c>
      <c r="H33" s="21">
        <f>G33/2^I33</f>
        <v>0.13065661047027508</v>
      </c>
      <c r="I33" s="21">
        <f>Sheet1!$F$13</f>
        <v>2</v>
      </c>
      <c r="J33" s="22" t="str">
        <f xml:space="preserve"> "0x" &amp; RIGHT(DEC2HEX(INT(H33*(2^Sheet1!$B$31-1)), 4), 4)</f>
        <v>0x10B9</v>
      </c>
      <c r="K33" s="22" t="str">
        <f t="shared" si="3"/>
        <v>0xFFFE</v>
      </c>
    </row>
    <row r="34" spans="1:11" x14ac:dyDescent="0.25">
      <c r="A34" s="3">
        <v>12</v>
      </c>
      <c r="B34" s="3">
        <v>0.6</v>
      </c>
      <c r="C34" s="3">
        <f t="shared" si="2"/>
        <v>11.4</v>
      </c>
      <c r="D34" s="15">
        <f xml:space="preserve"> INT(A34*Sheet1!$C$20/Sheet1!$B$28)</f>
        <v>1866</v>
      </c>
      <c r="E34" s="15">
        <f xml:space="preserve"> INT(B34*Sheet1!$B$20/Sheet1!$B$28)</f>
        <v>372</v>
      </c>
      <c r="F34" s="15">
        <f xml:space="preserve"> INT(D34*Sheet1!$C$21-Sheet2!E34)</f>
        <v>7073</v>
      </c>
      <c r="G34" s="3">
        <f>Sheet1!$G$5/Sheet2!F34</f>
        <v>0.49964654319242191</v>
      </c>
      <c r="H34" s="21">
        <f>G34/2^I34</f>
        <v>0.12491163579810548</v>
      </c>
      <c r="I34" s="21">
        <f>Sheet1!$F$13</f>
        <v>2</v>
      </c>
      <c r="J34" s="22" t="str">
        <f xml:space="preserve"> "0x" &amp; RIGHT(DEC2HEX(INT(H34*(2^Sheet1!$B$31-1)), 4), 4)</f>
        <v>0x0FFC</v>
      </c>
      <c r="K34" s="22" t="str">
        <f t="shared" si="3"/>
        <v>0xFFFE</v>
      </c>
    </row>
    <row r="35" spans="1:11" x14ac:dyDescent="0.25">
      <c r="A35" s="3">
        <v>12.5</v>
      </c>
      <c r="B35" s="3">
        <v>0.6</v>
      </c>
      <c r="C35" s="3">
        <f t="shared" si="2"/>
        <v>11.9</v>
      </c>
      <c r="D35" s="15">
        <f xml:space="preserve"> INT(A35*Sheet1!$C$20/Sheet1!$B$28)</f>
        <v>1944</v>
      </c>
      <c r="E35" s="15">
        <f xml:space="preserve"> INT(B35*Sheet1!$B$20/Sheet1!$B$28)</f>
        <v>372</v>
      </c>
      <c r="F35" s="15">
        <f xml:space="preserve"> INT(D35*Sheet1!$C$21-Sheet2!E35)</f>
        <v>7384</v>
      </c>
      <c r="G35" s="3">
        <f>Sheet1!$G$5/Sheet2!F35</f>
        <v>0.478602383531961</v>
      </c>
      <c r="H35" s="21">
        <f>G35/2^I35</f>
        <v>0.11965059588299025</v>
      </c>
      <c r="I35" s="21">
        <f>Sheet1!$F$13</f>
        <v>2</v>
      </c>
      <c r="J35" s="22" t="str">
        <f xml:space="preserve"> "0x" &amp; RIGHT(DEC2HEX(INT(H35*(2^Sheet1!$B$31-1)), 4), 4)</f>
        <v>0x0F50</v>
      </c>
      <c r="K35" s="22" t="str">
        <f t="shared" si="3"/>
        <v>0xFFFE</v>
      </c>
    </row>
    <row r="36" spans="1:11" x14ac:dyDescent="0.25">
      <c r="A36" s="3">
        <v>13</v>
      </c>
      <c r="B36" s="3">
        <v>0.6</v>
      </c>
      <c r="C36" s="3">
        <f t="shared" si="2"/>
        <v>12.4</v>
      </c>
      <c r="D36" s="15">
        <f xml:space="preserve"> INT(A36*Sheet1!$C$20/Sheet1!$B$28)</f>
        <v>2022</v>
      </c>
      <c r="E36" s="15">
        <f xml:space="preserve"> INT(B36*Sheet1!$B$20/Sheet1!$B$28)</f>
        <v>372</v>
      </c>
      <c r="F36" s="15">
        <f xml:space="preserve"> INT(D36*Sheet1!$C$21-Sheet2!E36)</f>
        <v>7695</v>
      </c>
      <c r="G36" s="3">
        <f>Sheet1!$G$5/Sheet2!F36</f>
        <v>0.45925925925925926</v>
      </c>
      <c r="H36" s="21">
        <f>G36/2^I36</f>
        <v>0.11481481481481481</v>
      </c>
      <c r="I36" s="21">
        <f>Sheet1!$F$13</f>
        <v>2</v>
      </c>
      <c r="J36" s="22" t="str">
        <f xml:space="preserve"> "0x" &amp; RIGHT(DEC2HEX(INT(H36*(2^Sheet1!$B$31-1)), 4), 4)</f>
        <v>0x0EB2</v>
      </c>
      <c r="K36" s="22" t="str">
        <f t="shared" si="3"/>
        <v>0xFFFE</v>
      </c>
    </row>
    <row r="37" spans="1:11" x14ac:dyDescent="0.25">
      <c r="A37" s="3">
        <v>13.5</v>
      </c>
      <c r="B37" s="3">
        <v>0.6</v>
      </c>
      <c r="C37" s="3">
        <f t="shared" si="2"/>
        <v>12.9</v>
      </c>
      <c r="D37" s="15">
        <f xml:space="preserve"> INT(A37*Sheet1!$C$20/Sheet1!$B$28)</f>
        <v>2099</v>
      </c>
      <c r="E37" s="15">
        <f xml:space="preserve"> INT(B37*Sheet1!$B$20/Sheet1!$B$28)</f>
        <v>372</v>
      </c>
      <c r="F37" s="15">
        <f xml:space="preserve"> INT(D37*Sheet1!$C$21-Sheet2!E37)</f>
        <v>8003</v>
      </c>
      <c r="G37" s="3">
        <f>Sheet1!$G$5/Sheet2!F37</f>
        <v>0.44158440584780706</v>
      </c>
      <c r="H37" s="21">
        <f>G37/2^I37</f>
        <v>0.11039610146195176</v>
      </c>
      <c r="I37" s="21">
        <f>Sheet1!$F$13</f>
        <v>2</v>
      </c>
      <c r="J37" s="22" t="str">
        <f xml:space="preserve"> "0x" &amp; RIGHT(DEC2HEX(INT(H37*(2^Sheet1!$B$31-1)), 4), 4)</f>
        <v>0x0E21</v>
      </c>
      <c r="K37" s="22" t="str">
        <f t="shared" si="3"/>
        <v>0xFFFE</v>
      </c>
    </row>
    <row r="38" spans="1:11" x14ac:dyDescent="0.25">
      <c r="A38" s="3">
        <v>14</v>
      </c>
      <c r="B38" s="3">
        <v>0.6</v>
      </c>
      <c r="C38" s="3">
        <f t="shared" si="2"/>
        <v>13.4</v>
      </c>
      <c r="D38" s="15">
        <f xml:space="preserve"> INT(A38*Sheet1!$C$20/Sheet1!$B$28)</f>
        <v>2177</v>
      </c>
      <c r="E38" s="15">
        <f xml:space="preserve"> INT(B38*Sheet1!$B$20/Sheet1!$B$28)</f>
        <v>372</v>
      </c>
      <c r="F38" s="15">
        <f xml:space="preserve"> INT(D38*Sheet1!$C$21-Sheet2!E38)</f>
        <v>8314</v>
      </c>
      <c r="G38" s="3">
        <f>Sheet1!$G$5/Sheet2!F38</f>
        <v>0.42506615347606447</v>
      </c>
      <c r="H38" s="21">
        <f>G38/2^I38</f>
        <v>0.10626653836901612</v>
      </c>
      <c r="I38" s="21">
        <f>Sheet1!$F$13</f>
        <v>2</v>
      </c>
      <c r="J38" s="22" t="str">
        <f xml:space="preserve"> "0x" &amp; RIGHT(DEC2HEX(INT(H38*(2^Sheet1!$B$31-1)), 4), 4)</f>
        <v>0x0D9A</v>
      </c>
      <c r="K38" s="22" t="str">
        <f t="shared" si="3"/>
        <v>0xFFFE</v>
      </c>
    </row>
    <row r="39" spans="1:11" x14ac:dyDescent="0.25">
      <c r="A39" s="3">
        <v>14.5</v>
      </c>
      <c r="B39" s="3">
        <v>0.6</v>
      </c>
      <c r="C39" s="3">
        <f t="shared" si="2"/>
        <v>13.9</v>
      </c>
      <c r="D39" s="15">
        <f xml:space="preserve"> INT(A39*Sheet1!$C$20/Sheet1!$B$28)</f>
        <v>2255</v>
      </c>
      <c r="E39" s="15">
        <f xml:space="preserve"> INT(B39*Sheet1!$B$20/Sheet1!$B$28)</f>
        <v>372</v>
      </c>
      <c r="F39" s="15">
        <f xml:space="preserve"> INT(D39*Sheet1!$C$21-Sheet2!E39)</f>
        <v>8625</v>
      </c>
      <c r="G39" s="3">
        <f>Sheet1!$G$5/Sheet2!F39</f>
        <v>0.40973913043478261</v>
      </c>
      <c r="H39" s="21">
        <f>G39/2^I39</f>
        <v>0.10243478260869565</v>
      </c>
      <c r="I39" s="21">
        <f>Sheet1!$F$13</f>
        <v>2</v>
      </c>
      <c r="J39" s="22" t="str">
        <f xml:space="preserve"> "0x" &amp; RIGHT(DEC2HEX(INT(H39*(2^Sheet1!$B$31-1)), 4), 4)</f>
        <v>0x0D1C</v>
      </c>
      <c r="K39" s="22" t="str">
        <f t="shared" si="3"/>
        <v>0xFFFE</v>
      </c>
    </row>
    <row r="41" spans="1:11" ht="18" x14ac:dyDescent="0.35">
      <c r="A41" s="16" t="s">
        <v>0</v>
      </c>
      <c r="B41" s="16" t="s">
        <v>1</v>
      </c>
      <c r="C41" s="16" t="s">
        <v>18</v>
      </c>
      <c r="D41" s="17" t="s">
        <v>48</v>
      </c>
      <c r="E41" s="17" t="s">
        <v>49</v>
      </c>
      <c r="F41" s="17" t="s">
        <v>50</v>
      </c>
      <c r="G41" s="4" t="s">
        <v>53</v>
      </c>
      <c r="H41" s="20" t="s">
        <v>28</v>
      </c>
      <c r="I41" s="20" t="s">
        <v>58</v>
      </c>
      <c r="J41" s="20" t="s">
        <v>57</v>
      </c>
      <c r="K41" s="20" t="s">
        <v>59</v>
      </c>
    </row>
    <row r="42" spans="1:11" x14ac:dyDescent="0.25">
      <c r="A42" s="3">
        <v>6</v>
      </c>
      <c r="B42" s="3">
        <v>4</v>
      </c>
      <c r="C42" s="3">
        <f>A42-B42</f>
        <v>2</v>
      </c>
      <c r="D42" s="15">
        <f xml:space="preserve"> INT(A42*Sheet1!$C$20/Sheet1!$B$28)</f>
        <v>933</v>
      </c>
      <c r="E42" s="15">
        <f xml:space="preserve"> INT(B42*Sheet1!$B$20/Sheet1!$B$28)</f>
        <v>2482</v>
      </c>
      <c r="F42" s="15">
        <f xml:space="preserve"> INT(D42*Sheet1!$C$21-Sheet2!E42)</f>
        <v>1240</v>
      </c>
      <c r="G42" s="3">
        <f>Sheet1!$G$5/Sheet2!F42</f>
        <v>2.85</v>
      </c>
      <c r="H42" s="21">
        <f>G42/2^I42</f>
        <v>0.71250000000000002</v>
      </c>
      <c r="I42" s="21">
        <f>Sheet1!$F$13</f>
        <v>2</v>
      </c>
      <c r="J42" s="22" t="str">
        <f xml:space="preserve"> "0x" &amp; RIGHT(DEC2HEX(INT(H42*(2^Sheet1!$B$31-1)), 4), 4)</f>
        <v>0x5B32</v>
      </c>
      <c r="K42" s="22" t="str">
        <f xml:space="preserve"> "0x" &amp; RIGHT(DEC2HEX(-I42, 4), 4)</f>
        <v>0xFFFE</v>
      </c>
    </row>
    <row r="43" spans="1:11" x14ac:dyDescent="0.25">
      <c r="A43" s="3">
        <v>6.5</v>
      </c>
      <c r="B43" s="3">
        <v>4</v>
      </c>
      <c r="C43" s="3">
        <f t="shared" ref="C43:C59" si="4">A43-B43</f>
        <v>2.5</v>
      </c>
      <c r="D43" s="15">
        <f xml:space="preserve"> INT(A43*Sheet1!$C$20/Sheet1!$B$28)</f>
        <v>1011</v>
      </c>
      <c r="E43" s="15">
        <f xml:space="preserve"> INT(B43*Sheet1!$B$20/Sheet1!$B$28)</f>
        <v>2482</v>
      </c>
      <c r="F43" s="15">
        <f xml:space="preserve"> INT(D43*Sheet1!$C$21-Sheet2!E43)</f>
        <v>1551</v>
      </c>
      <c r="G43" s="3">
        <f>Sheet1!$G$5/Sheet2!F43</f>
        <v>2.2785299806576402</v>
      </c>
      <c r="H43" s="21">
        <f>G43/2^I43</f>
        <v>0.56963249516441006</v>
      </c>
      <c r="I43" s="21">
        <f>Sheet1!$F$13</f>
        <v>2</v>
      </c>
      <c r="J43" s="22" t="str">
        <f xml:space="preserve"> "0x" &amp; RIGHT(DEC2HEX(INT(H43*(2^Sheet1!$B$31-1)), 4), 4)</f>
        <v>0x48E9</v>
      </c>
      <c r="K43" s="22" t="str">
        <f t="shared" ref="K43:K59" si="5" xml:space="preserve"> "0x" &amp; RIGHT(DEC2HEX(-I43, 4), 4)</f>
        <v>0xFFFE</v>
      </c>
    </row>
    <row r="44" spans="1:11" x14ac:dyDescent="0.25">
      <c r="A44" s="3">
        <v>7</v>
      </c>
      <c r="B44" s="3">
        <v>4</v>
      </c>
      <c r="C44" s="3">
        <f t="shared" si="4"/>
        <v>3</v>
      </c>
      <c r="D44" s="15">
        <f xml:space="preserve"> INT(A44*Sheet1!$C$20/Sheet1!$B$28)</f>
        <v>1088</v>
      </c>
      <c r="E44" s="15">
        <f xml:space="preserve"> INT(B44*Sheet1!$B$20/Sheet1!$B$28)</f>
        <v>2482</v>
      </c>
      <c r="F44" s="15">
        <f xml:space="preserve"> INT(D44*Sheet1!$C$21-Sheet2!E44)</f>
        <v>1859</v>
      </c>
      <c r="G44" s="3">
        <f>Sheet1!$G$5/Sheet2!F44</f>
        <v>1.9010220548682086</v>
      </c>
      <c r="H44" s="21">
        <f>G44/2^I44</f>
        <v>0.47525551371705216</v>
      </c>
      <c r="I44" s="21">
        <f>Sheet1!$F$13</f>
        <v>2</v>
      </c>
      <c r="J44" s="22" t="str">
        <f xml:space="preserve"> "0x" &amp; RIGHT(DEC2HEX(INT(H44*(2^Sheet1!$B$31-1)), 4), 4)</f>
        <v>0x3CD4</v>
      </c>
      <c r="K44" s="22" t="str">
        <f t="shared" si="5"/>
        <v>0xFFFE</v>
      </c>
    </row>
    <row r="45" spans="1:11" x14ac:dyDescent="0.25">
      <c r="A45" s="3">
        <v>7.5</v>
      </c>
      <c r="B45" s="3">
        <v>4</v>
      </c>
      <c r="C45" s="3">
        <f t="shared" si="4"/>
        <v>3.5</v>
      </c>
      <c r="D45" s="15">
        <f xml:space="preserve"> INT(A45*Sheet1!$C$20/Sheet1!$B$28)</f>
        <v>1166</v>
      </c>
      <c r="E45" s="15">
        <f xml:space="preserve"> INT(B45*Sheet1!$B$20/Sheet1!$B$28)</f>
        <v>2482</v>
      </c>
      <c r="F45" s="15">
        <f xml:space="preserve"> INT(D45*Sheet1!$C$21-Sheet2!E45)</f>
        <v>2170</v>
      </c>
      <c r="G45" s="3">
        <f>Sheet1!$G$5/Sheet2!F45</f>
        <v>1.6285714285714286</v>
      </c>
      <c r="H45" s="21">
        <f>G45/2^I45</f>
        <v>0.40714285714285714</v>
      </c>
      <c r="I45" s="21">
        <f>Sheet1!$F$13</f>
        <v>2</v>
      </c>
      <c r="J45" s="22" t="str">
        <f xml:space="preserve"> "0x" &amp; RIGHT(DEC2HEX(INT(H45*(2^Sheet1!$B$31-1)), 4), 4)</f>
        <v>0x341C</v>
      </c>
      <c r="K45" s="22" t="str">
        <f t="shared" si="5"/>
        <v>0xFFFE</v>
      </c>
    </row>
    <row r="46" spans="1:11" x14ac:dyDescent="0.25">
      <c r="A46" s="3">
        <v>8</v>
      </c>
      <c r="B46" s="3">
        <v>4</v>
      </c>
      <c r="C46" s="3">
        <f t="shared" si="4"/>
        <v>4</v>
      </c>
      <c r="D46" s="15">
        <f xml:space="preserve"> INT(A46*Sheet1!$C$20/Sheet1!$B$28)</f>
        <v>1244</v>
      </c>
      <c r="E46" s="15">
        <f xml:space="preserve"> INT(B46*Sheet1!$B$20/Sheet1!$B$28)</f>
        <v>2482</v>
      </c>
      <c r="F46" s="15">
        <f xml:space="preserve"> INT(D46*Sheet1!$C$21-Sheet2!E46)</f>
        <v>2481</v>
      </c>
      <c r="G46" s="3">
        <f>Sheet1!$G$5/Sheet2!F46</f>
        <v>1.4244256348246676</v>
      </c>
      <c r="H46" s="21">
        <f>G46/2^I46</f>
        <v>0.35610640870616689</v>
      </c>
      <c r="I46" s="21">
        <f>Sheet1!$F$13</f>
        <v>2</v>
      </c>
      <c r="J46" s="22" t="str">
        <f xml:space="preserve"> "0x" &amp; RIGHT(DEC2HEX(INT(H46*(2^Sheet1!$B$31-1)), 4), 4)</f>
        <v>0x2D94</v>
      </c>
      <c r="K46" s="22" t="str">
        <f t="shared" si="5"/>
        <v>0xFFFE</v>
      </c>
    </row>
    <row r="47" spans="1:11" x14ac:dyDescent="0.25">
      <c r="A47" s="3">
        <v>8.5</v>
      </c>
      <c r="B47" s="3">
        <v>4</v>
      </c>
      <c r="C47" s="3">
        <f t="shared" si="4"/>
        <v>4.5</v>
      </c>
      <c r="D47" s="15">
        <f xml:space="preserve"> INT(A47*Sheet1!$C$20/Sheet1!$B$28)</f>
        <v>1322</v>
      </c>
      <c r="E47" s="15">
        <f xml:space="preserve"> INT(B47*Sheet1!$B$20/Sheet1!$B$28)</f>
        <v>2482</v>
      </c>
      <c r="F47" s="15">
        <f xml:space="preserve"> INT(D47*Sheet1!$C$21-Sheet2!E47)</f>
        <v>2792</v>
      </c>
      <c r="G47" s="3">
        <f>Sheet1!$G$5/Sheet2!F47</f>
        <v>1.265759312320917</v>
      </c>
      <c r="H47" s="21">
        <f>G47/2^I47</f>
        <v>0.31643982808022925</v>
      </c>
      <c r="I47" s="21">
        <f>Sheet1!$F$13</f>
        <v>2</v>
      </c>
      <c r="J47" s="22" t="str">
        <f xml:space="preserve"> "0x" &amp; RIGHT(DEC2HEX(INT(H47*(2^Sheet1!$B$31-1)), 4), 4)</f>
        <v>0x2880</v>
      </c>
      <c r="K47" s="22" t="str">
        <f t="shared" si="5"/>
        <v>0xFFFE</v>
      </c>
    </row>
    <row r="48" spans="1:11" x14ac:dyDescent="0.25">
      <c r="A48" s="3">
        <v>9</v>
      </c>
      <c r="B48" s="3">
        <v>4</v>
      </c>
      <c r="C48" s="3">
        <f t="shared" si="4"/>
        <v>5</v>
      </c>
      <c r="D48" s="15">
        <f xml:space="preserve"> INT(A48*Sheet1!$C$20/Sheet1!$B$28)</f>
        <v>1399</v>
      </c>
      <c r="E48" s="15">
        <f xml:space="preserve"> INT(B48*Sheet1!$B$20/Sheet1!$B$28)</f>
        <v>2482</v>
      </c>
      <c r="F48" s="15">
        <f xml:space="preserve"> INT(D48*Sheet1!$C$21-Sheet2!E48)</f>
        <v>3100</v>
      </c>
      <c r="G48" s="3">
        <f>Sheet1!$G$5/Sheet2!F48</f>
        <v>1.1399999999999999</v>
      </c>
      <c r="H48" s="21">
        <f>G48/2^I48</f>
        <v>0.28499999999999998</v>
      </c>
      <c r="I48" s="21">
        <f>Sheet1!$F$13</f>
        <v>2</v>
      </c>
      <c r="J48" s="22" t="str">
        <f xml:space="preserve"> "0x" &amp; RIGHT(DEC2HEX(INT(H48*(2^Sheet1!$B$31-1)), 4), 4)</f>
        <v>0x247A</v>
      </c>
      <c r="K48" s="22" t="str">
        <f t="shared" si="5"/>
        <v>0xFFFE</v>
      </c>
    </row>
    <row r="49" spans="1:11" x14ac:dyDescent="0.25">
      <c r="A49" s="3">
        <v>9.5</v>
      </c>
      <c r="B49" s="3">
        <v>4</v>
      </c>
      <c r="C49" s="3">
        <f t="shared" si="4"/>
        <v>5.5</v>
      </c>
      <c r="D49" s="15">
        <f xml:space="preserve"> INT(A49*Sheet1!$C$20/Sheet1!$B$28)</f>
        <v>1477</v>
      </c>
      <c r="E49" s="15">
        <f xml:space="preserve"> INT(B49*Sheet1!$B$20/Sheet1!$B$28)</f>
        <v>2482</v>
      </c>
      <c r="F49" s="15">
        <f xml:space="preserve"> INT(D49*Sheet1!$C$21-Sheet2!E49)</f>
        <v>3411</v>
      </c>
      <c r="G49" s="3">
        <f>Sheet1!$G$5/Sheet2!F49</f>
        <v>1.0360598065083553</v>
      </c>
      <c r="H49" s="21">
        <f>G49/2^I49</f>
        <v>0.25901495162708882</v>
      </c>
      <c r="I49" s="21">
        <f>Sheet1!$F$13</f>
        <v>2</v>
      </c>
      <c r="J49" s="22" t="str">
        <f xml:space="preserve"> "0x" &amp; RIGHT(DEC2HEX(INT(H49*(2^Sheet1!$B$31-1)), 4), 4)</f>
        <v>0x2127</v>
      </c>
      <c r="K49" s="22" t="str">
        <f t="shared" si="5"/>
        <v>0xFFFE</v>
      </c>
    </row>
    <row r="50" spans="1:11" x14ac:dyDescent="0.25">
      <c r="A50" s="3">
        <v>10</v>
      </c>
      <c r="B50" s="3">
        <v>4</v>
      </c>
      <c r="C50" s="3">
        <f t="shared" si="4"/>
        <v>6</v>
      </c>
      <c r="D50" s="15">
        <f xml:space="preserve"> INT(A50*Sheet1!$C$20/Sheet1!$B$28)</f>
        <v>1555</v>
      </c>
      <c r="E50" s="15">
        <f xml:space="preserve"> INT(B50*Sheet1!$B$20/Sheet1!$B$28)</f>
        <v>2482</v>
      </c>
      <c r="F50" s="15">
        <f xml:space="preserve"> INT(D50*Sheet1!$C$21-Sheet2!E50)</f>
        <v>3722</v>
      </c>
      <c r="G50" s="3">
        <f>Sheet1!$G$5/Sheet2!F50</f>
        <v>0.94948952176249324</v>
      </c>
      <c r="H50" s="21">
        <f>G50/2^I50</f>
        <v>0.23737238044062331</v>
      </c>
      <c r="I50" s="21">
        <f>Sheet1!$F$13</f>
        <v>2</v>
      </c>
      <c r="J50" s="22" t="str">
        <f xml:space="preserve"> "0x" &amp; RIGHT(DEC2HEX(INT(H50*(2^Sheet1!$B$31-1)), 4), 4)</f>
        <v>0x1E61</v>
      </c>
      <c r="K50" s="22" t="str">
        <f t="shared" si="5"/>
        <v>0xFFFE</v>
      </c>
    </row>
    <row r="51" spans="1:11" x14ac:dyDescent="0.25">
      <c r="A51" s="3">
        <v>10.5</v>
      </c>
      <c r="B51" s="3">
        <v>4</v>
      </c>
      <c r="C51" s="3">
        <f t="shared" si="4"/>
        <v>6.5</v>
      </c>
      <c r="D51" s="15">
        <f xml:space="preserve"> INT(A51*Sheet1!$C$20/Sheet1!$B$28)</f>
        <v>1633</v>
      </c>
      <c r="E51" s="15">
        <f xml:space="preserve"> INT(B51*Sheet1!$B$20/Sheet1!$B$28)</f>
        <v>2482</v>
      </c>
      <c r="F51" s="15">
        <f xml:space="preserve"> INT(D51*Sheet1!$C$21-Sheet2!E51)</f>
        <v>4033</v>
      </c>
      <c r="G51" s="3">
        <f>Sheet1!$G$5/Sheet2!F51</f>
        <v>0.87627076617902311</v>
      </c>
      <c r="H51" s="21">
        <f>G51/2^I51</f>
        <v>0.21906769154475578</v>
      </c>
      <c r="I51" s="21">
        <f>Sheet1!$F$13</f>
        <v>2</v>
      </c>
      <c r="J51" s="22" t="str">
        <f xml:space="preserve"> "0x" &amp; RIGHT(DEC2HEX(INT(H51*(2^Sheet1!$B$31-1)), 4), 4)</f>
        <v>0x1C0A</v>
      </c>
      <c r="K51" s="22" t="str">
        <f t="shared" si="5"/>
        <v>0xFFFE</v>
      </c>
    </row>
    <row r="52" spans="1:11" x14ac:dyDescent="0.25">
      <c r="A52" s="3">
        <v>11</v>
      </c>
      <c r="B52" s="3">
        <v>4</v>
      </c>
      <c r="C52" s="3">
        <f t="shared" si="4"/>
        <v>7</v>
      </c>
      <c r="D52" s="15">
        <f xml:space="preserve"> INT(A52*Sheet1!$C$20/Sheet1!$B$28)</f>
        <v>1710</v>
      </c>
      <c r="E52" s="15">
        <f xml:space="preserve"> INT(B52*Sheet1!$B$20/Sheet1!$B$28)</f>
        <v>2482</v>
      </c>
      <c r="F52" s="15">
        <f xml:space="preserve"> INT(D52*Sheet1!$C$21-Sheet2!E52)</f>
        <v>4340</v>
      </c>
      <c r="G52" s="3">
        <f>Sheet1!$G$5/Sheet2!F52</f>
        <v>0.81428571428571428</v>
      </c>
      <c r="H52" s="21">
        <f>G52/2^I52</f>
        <v>0.20357142857142857</v>
      </c>
      <c r="I52" s="21">
        <f>Sheet1!$F$13</f>
        <v>2</v>
      </c>
      <c r="J52" s="22" t="str">
        <f xml:space="preserve"> "0x" &amp; RIGHT(DEC2HEX(INT(H52*(2^Sheet1!$B$31-1)), 4), 4)</f>
        <v>0x1A0E</v>
      </c>
      <c r="K52" s="22" t="str">
        <f t="shared" si="5"/>
        <v>0xFFFE</v>
      </c>
    </row>
    <row r="53" spans="1:11" x14ac:dyDescent="0.25">
      <c r="A53" s="3">
        <v>11.5</v>
      </c>
      <c r="B53" s="3">
        <v>4</v>
      </c>
      <c r="C53" s="3">
        <f t="shared" si="4"/>
        <v>7.5</v>
      </c>
      <c r="D53" s="15">
        <f xml:space="preserve"> INT(A53*Sheet1!$C$20/Sheet1!$B$28)</f>
        <v>1788</v>
      </c>
      <c r="E53" s="15">
        <f xml:space="preserve"> INT(B53*Sheet1!$B$20/Sheet1!$B$28)</f>
        <v>2482</v>
      </c>
      <c r="F53" s="15">
        <f xml:space="preserve"> INT(D53*Sheet1!$C$21-Sheet2!E53)</f>
        <v>4652</v>
      </c>
      <c r="G53" s="3">
        <f>Sheet1!$G$5/Sheet2!F53</f>
        <v>0.75967325881341363</v>
      </c>
      <c r="H53" s="21">
        <f>G53/2^I53</f>
        <v>0.18991831470335341</v>
      </c>
      <c r="I53" s="21">
        <f>Sheet1!$F$13</f>
        <v>2</v>
      </c>
      <c r="J53" s="22" t="str">
        <f xml:space="preserve"> "0x" &amp; RIGHT(DEC2HEX(INT(H53*(2^Sheet1!$B$31-1)), 4), 4)</f>
        <v>0x184F</v>
      </c>
      <c r="K53" s="22" t="str">
        <f t="shared" si="5"/>
        <v>0xFFFE</v>
      </c>
    </row>
    <row r="54" spans="1:11" x14ac:dyDescent="0.25">
      <c r="A54" s="3">
        <v>12</v>
      </c>
      <c r="B54" s="3">
        <v>4</v>
      </c>
      <c r="C54" s="3">
        <f t="shared" si="4"/>
        <v>8</v>
      </c>
      <c r="D54" s="15">
        <f xml:space="preserve"> INT(A54*Sheet1!$C$20/Sheet1!$B$28)</f>
        <v>1866</v>
      </c>
      <c r="E54" s="15">
        <f xml:space="preserve"> INT(B54*Sheet1!$B$20/Sheet1!$B$28)</f>
        <v>2482</v>
      </c>
      <c r="F54" s="15">
        <f xml:space="preserve"> INT(D54*Sheet1!$C$21-Sheet2!E54)</f>
        <v>4963</v>
      </c>
      <c r="G54" s="3">
        <f>Sheet1!$G$5/Sheet2!F54</f>
        <v>0.71206931291557529</v>
      </c>
      <c r="H54" s="21">
        <f>G54/2^I54</f>
        <v>0.17801732822889382</v>
      </c>
      <c r="I54" s="21">
        <f>Sheet1!$F$13</f>
        <v>2</v>
      </c>
      <c r="J54" s="22" t="str">
        <f xml:space="preserve"> "0x" &amp; RIGHT(DEC2HEX(INT(H54*(2^Sheet1!$B$31-1)), 4), 4)</f>
        <v>0x16C9</v>
      </c>
      <c r="K54" s="22" t="str">
        <f t="shared" si="5"/>
        <v>0xFFFE</v>
      </c>
    </row>
    <row r="55" spans="1:11" x14ac:dyDescent="0.25">
      <c r="A55" s="3">
        <v>12.5</v>
      </c>
      <c r="B55" s="3">
        <v>4</v>
      </c>
      <c r="C55" s="3">
        <f t="shared" si="4"/>
        <v>8.5</v>
      </c>
      <c r="D55" s="15">
        <f xml:space="preserve"> INT(A55*Sheet1!$C$20/Sheet1!$B$28)</f>
        <v>1944</v>
      </c>
      <c r="E55" s="15">
        <f xml:space="preserve"> INT(B55*Sheet1!$B$20/Sheet1!$B$28)</f>
        <v>2482</v>
      </c>
      <c r="F55" s="15">
        <f xml:space="preserve"> INT(D55*Sheet1!$C$21-Sheet2!E55)</f>
        <v>5274</v>
      </c>
      <c r="G55" s="3">
        <f>Sheet1!$G$5/Sheet2!F55</f>
        <v>0.67007963594994313</v>
      </c>
      <c r="H55" s="21">
        <f>G55/2^I55</f>
        <v>0.16751990898748578</v>
      </c>
      <c r="I55" s="21">
        <f>Sheet1!$F$13</f>
        <v>2</v>
      </c>
      <c r="J55" s="22" t="str">
        <f xml:space="preserve"> "0x" &amp; RIGHT(DEC2HEX(INT(H55*(2^Sheet1!$B$31-1)), 4), 4)</f>
        <v>0x1571</v>
      </c>
      <c r="K55" s="22" t="str">
        <f t="shared" si="5"/>
        <v>0xFFFE</v>
      </c>
    </row>
    <row r="56" spans="1:11" x14ac:dyDescent="0.25">
      <c r="A56" s="3">
        <v>13</v>
      </c>
      <c r="B56" s="3">
        <v>4</v>
      </c>
      <c r="C56" s="3">
        <f t="shared" si="4"/>
        <v>9</v>
      </c>
      <c r="D56" s="15">
        <f xml:space="preserve"> INT(A56*Sheet1!$C$20/Sheet1!$B$28)</f>
        <v>2022</v>
      </c>
      <c r="E56" s="15">
        <f xml:space="preserve"> INT(B56*Sheet1!$B$20/Sheet1!$B$28)</f>
        <v>2482</v>
      </c>
      <c r="F56" s="15">
        <f xml:space="preserve"> INT(D56*Sheet1!$C$21-Sheet2!E56)</f>
        <v>5585</v>
      </c>
      <c r="G56" s="3">
        <f>Sheet1!$G$5/Sheet2!F56</f>
        <v>0.63276633840644581</v>
      </c>
      <c r="H56" s="21">
        <f>G56/2^I56</f>
        <v>0.15819158460161145</v>
      </c>
      <c r="I56" s="21">
        <f>Sheet1!$F$13</f>
        <v>2</v>
      </c>
      <c r="J56" s="22" t="str">
        <f xml:space="preserve"> "0x" &amp; RIGHT(DEC2HEX(INT(H56*(2^Sheet1!$B$31-1)), 4), 4)</f>
        <v>0x143F</v>
      </c>
      <c r="K56" s="22" t="str">
        <f t="shared" si="5"/>
        <v>0xFFFE</v>
      </c>
    </row>
    <row r="57" spans="1:11" x14ac:dyDescent="0.25">
      <c r="A57" s="3">
        <v>13.5</v>
      </c>
      <c r="B57" s="3">
        <v>4</v>
      </c>
      <c r="C57" s="3">
        <f t="shared" si="4"/>
        <v>9.5</v>
      </c>
      <c r="D57" s="15">
        <f xml:space="preserve"> INT(A57*Sheet1!$C$20/Sheet1!$B$28)</f>
        <v>2099</v>
      </c>
      <c r="E57" s="15">
        <f xml:space="preserve"> INT(B57*Sheet1!$B$20/Sheet1!$B$28)</f>
        <v>2482</v>
      </c>
      <c r="F57" s="15">
        <f xml:space="preserve"> INT(D57*Sheet1!$C$21-Sheet2!E57)</f>
        <v>5893</v>
      </c>
      <c r="G57" s="3">
        <f>Sheet1!$G$5/Sheet2!F57</f>
        <v>0.5996945528593246</v>
      </c>
      <c r="H57" s="21">
        <f>G57/2^I57</f>
        <v>0.14992363821483115</v>
      </c>
      <c r="I57" s="21">
        <f>Sheet1!$F$13</f>
        <v>2</v>
      </c>
      <c r="J57" s="22" t="str">
        <f xml:space="preserve"> "0x" &amp; RIGHT(DEC2HEX(INT(H57*(2^Sheet1!$B$31-1)), 4), 4)</f>
        <v>0x1330</v>
      </c>
      <c r="K57" s="22" t="str">
        <f t="shared" si="5"/>
        <v>0xFFFE</v>
      </c>
    </row>
    <row r="58" spans="1:11" x14ac:dyDescent="0.25">
      <c r="A58" s="3">
        <v>14</v>
      </c>
      <c r="B58" s="3">
        <v>4</v>
      </c>
      <c r="C58" s="3">
        <f t="shared" si="4"/>
        <v>10</v>
      </c>
      <c r="D58" s="15">
        <f xml:space="preserve"> INT(A58*Sheet1!$C$20/Sheet1!$B$28)</f>
        <v>2177</v>
      </c>
      <c r="E58" s="15">
        <f xml:space="preserve"> INT(B58*Sheet1!$B$20/Sheet1!$B$28)</f>
        <v>2482</v>
      </c>
      <c r="F58" s="15">
        <f xml:space="preserve"> INT(D58*Sheet1!$C$21-Sheet2!E58)</f>
        <v>6204</v>
      </c>
      <c r="G58" s="3">
        <f>Sheet1!$G$5/Sheet2!F58</f>
        <v>0.56963249516441006</v>
      </c>
      <c r="H58" s="21">
        <f>G58/2^I58</f>
        <v>0.14240812379110251</v>
      </c>
      <c r="I58" s="21">
        <f>Sheet1!$F$13</f>
        <v>2</v>
      </c>
      <c r="J58" s="22" t="str">
        <f xml:space="preserve"> "0x" &amp; RIGHT(DEC2HEX(INT(H58*(2^Sheet1!$B$31-1)), 4), 4)</f>
        <v>0x123A</v>
      </c>
      <c r="K58" s="22" t="str">
        <f t="shared" si="5"/>
        <v>0xFFFE</v>
      </c>
    </row>
    <row r="59" spans="1:11" x14ac:dyDescent="0.25">
      <c r="A59" s="3">
        <v>14.5</v>
      </c>
      <c r="B59" s="3">
        <v>4</v>
      </c>
      <c r="C59" s="3">
        <f t="shared" si="4"/>
        <v>10.5</v>
      </c>
      <c r="D59" s="15">
        <f xml:space="preserve"> INT(A59*Sheet1!$C$20/Sheet1!$B$28)</f>
        <v>2255</v>
      </c>
      <c r="E59" s="15">
        <f xml:space="preserve"> INT(B59*Sheet1!$B$20/Sheet1!$B$28)</f>
        <v>2482</v>
      </c>
      <c r="F59" s="15">
        <f xml:space="preserve"> INT(D59*Sheet1!$C$21-Sheet2!E59)</f>
        <v>6515</v>
      </c>
      <c r="G59" s="3">
        <f>Sheet1!$G$5/Sheet2!F59</f>
        <v>0.54244052187260172</v>
      </c>
      <c r="H59" s="21">
        <f>G59/2^I59</f>
        <v>0.13561013046815043</v>
      </c>
      <c r="I59" s="21">
        <f>Sheet1!$F$13</f>
        <v>2</v>
      </c>
      <c r="J59" s="22" t="str">
        <f xml:space="preserve"> "0x" &amp; RIGHT(DEC2HEX(INT(H59*(2^Sheet1!$B$31-1)), 4), 4)</f>
        <v>0x115B</v>
      </c>
      <c r="K59" s="22" t="str">
        <f t="shared" si="5"/>
        <v>0xFFFE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2021-02-23T11:19:55Z</dcterms:created>
  <dcterms:modified xsi:type="dcterms:W3CDTF">2021-03-09T00:01:55Z</dcterms:modified>
</cp:coreProperties>
</file>