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_D\CE_Release\BitBucket\mchv230vac1.5kw-33ck256mp508-acim-an1206-foc-pll-ce\project\docs\"/>
    </mc:Choice>
  </mc:AlternateContent>
  <xr:revisionPtr revIDLastSave="0" documentId="13_ncr:1_{89A619A0-9344-4A04-9700-F02A99726FB2}" xr6:coauthVersionLast="47" xr6:coauthVersionMax="47" xr10:uidLastSave="{00000000-0000-0000-0000-000000000000}"/>
  <bookViews>
    <workbookView xWindow="-108" yWindow="-108" windowWidth="23256" windowHeight="12456" xr2:uid="{B2002F51-A475-4A03-975C-2D7513E29250}"/>
  </bookViews>
  <sheets>
    <sheet name="ACIM_FO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C26" i="2"/>
  <c r="C27" i="2" s="1"/>
  <c r="D4" i="2"/>
  <c r="C4" i="2"/>
  <c r="D31" i="2"/>
  <c r="C31" i="2"/>
  <c r="D30" i="2"/>
  <c r="C30" i="2"/>
  <c r="C28" i="2"/>
  <c r="D20" i="2"/>
  <c r="C20" i="2"/>
  <c r="D17" i="2"/>
  <c r="D21" i="2" s="1"/>
  <c r="C11" i="2"/>
  <c r="C22" i="2" s="1"/>
  <c r="C24" i="2" s="1"/>
  <c r="D29" i="2" l="1"/>
  <c r="D35" i="2" s="1"/>
  <c r="C29" i="2"/>
  <c r="C35" i="2" s="1"/>
  <c r="C41" i="2"/>
  <c r="D41" i="2"/>
  <c r="C43" i="2"/>
  <c r="C45" i="2"/>
  <c r="D48" i="2"/>
  <c r="C42" i="2"/>
  <c r="C21" i="2"/>
  <c r="C44" i="2"/>
  <c r="D45" i="2"/>
  <c r="D19" i="2"/>
  <c r="D22" i="2" s="1"/>
  <c r="D24" i="2" s="1"/>
  <c r="C48" i="2"/>
  <c r="D44" i="2"/>
  <c r="D32" i="2" l="1"/>
  <c r="D39" i="2"/>
  <c r="C32" i="2"/>
  <c r="C39" i="2"/>
  <c r="D42" i="2"/>
  <c r="C23" i="2"/>
  <c r="D23" i="2"/>
  <c r="D43" i="2"/>
  <c r="D37" i="2" l="1"/>
  <c r="C37" i="2"/>
</calcChain>
</file>

<file path=xl/sharedStrings.xml><?xml version="1.0" encoding="utf-8"?>
<sst xmlns="http://schemas.openxmlformats.org/spreadsheetml/2006/main" count="82" uniqueCount="59">
  <si>
    <t>Board Peak current</t>
  </si>
  <si>
    <t>PWM Frequency (Hz)</t>
  </si>
  <si>
    <t>PWM Period (Ts)</t>
  </si>
  <si>
    <t>Deat time</t>
  </si>
  <si>
    <t>Units</t>
  </si>
  <si>
    <t>LEESON</t>
  </si>
  <si>
    <t>ZD ACIM</t>
  </si>
  <si>
    <t>Pole pairs</t>
  </si>
  <si>
    <t>-</t>
  </si>
  <si>
    <t>Stator resistance (Rs)</t>
  </si>
  <si>
    <t>Ohm</t>
  </si>
  <si>
    <t>Magnetising Inductance (Lm,Lo)</t>
  </si>
  <si>
    <t>H</t>
  </si>
  <si>
    <t>Nominal Speed</t>
  </si>
  <si>
    <t>rpm</t>
  </si>
  <si>
    <t>Maximum Speed</t>
  </si>
  <si>
    <t>Nominal Voltage</t>
  </si>
  <si>
    <t>V</t>
  </si>
  <si>
    <t>NORM_RS</t>
  </si>
  <si>
    <t>Rated Phase Current</t>
  </si>
  <si>
    <t>A(RMS)</t>
  </si>
  <si>
    <t>NORM_RS_QVALUE</t>
  </si>
  <si>
    <t>Magnetizing Current (Im)</t>
  </si>
  <si>
    <t>NORM_SIGMALSDT</t>
  </si>
  <si>
    <t>Stator leakage inductance (Lls)</t>
  </si>
  <si>
    <t>NORM_SIGMALSDT_QVALUE</t>
  </si>
  <si>
    <t>Rotor Resistance (Rr)</t>
  </si>
  <si>
    <t>NORM_INVLMSQRBYLR</t>
  </si>
  <si>
    <t>Rotor Leakage Inductance(Llr)</t>
  </si>
  <si>
    <t>NORM_INVLMSQRBYLR_QVALUE</t>
  </si>
  <si>
    <t xml:space="preserve"> IQ _rated</t>
  </si>
  <si>
    <t>Stator Inductance (Ls)</t>
  </si>
  <si>
    <t>KFILTER_IMRESTIM</t>
  </si>
  <si>
    <t>NORM_DELTAT</t>
  </si>
  <si>
    <t>Rotor Inductance (Lr)</t>
  </si>
  <si>
    <t>NORM_INVTR</t>
  </si>
  <si>
    <t>SigmaLs</t>
  </si>
  <si>
    <t>D_ILIMIT_HS</t>
  </si>
  <si>
    <t>LmSquareByLr</t>
  </si>
  <si>
    <t>D_ILIMIT_LS</t>
  </si>
  <si>
    <t>VBYF_CONSTANT</t>
  </si>
  <si>
    <t>A</t>
  </si>
  <si>
    <t>VBYF_CONSTANT_SHIFT</t>
  </si>
  <si>
    <t>rad/sec(ele)</t>
  </si>
  <si>
    <t>RPM</t>
  </si>
  <si>
    <t>Q15</t>
  </si>
  <si>
    <t>Board parameters</t>
  </si>
  <si>
    <t>Hz</t>
  </si>
  <si>
    <t>sec</t>
  </si>
  <si>
    <t>Motor_ID</t>
  </si>
  <si>
    <t>Machine Parameters</t>
  </si>
  <si>
    <t>Open loop VBF control parameters</t>
  </si>
  <si>
    <t>Estimator parameters</t>
  </si>
  <si>
    <t>Vdcbase(DC link base voltage)</t>
  </si>
  <si>
    <t>Voltage Base</t>
  </si>
  <si>
    <t>Current Base</t>
  </si>
  <si>
    <t>Z_base</t>
  </si>
  <si>
    <t>L_base</t>
  </si>
  <si>
    <t>Speed base(2.5*Nominal 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</si>
</sst>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1DD7-844E-4B97-9BAC-E538F2BDFA1F}">
  <dimension ref="A1:M51"/>
  <sheetViews>
    <sheetView tabSelected="1" topLeftCell="A35" zoomScale="119" zoomScaleNormal="110" workbookViewId="0">
      <selection activeCell="G62" sqref="G62"/>
    </sheetView>
  </sheetViews>
  <sheetFormatPr defaultRowHeight="14.4" x14ac:dyDescent="0.3"/>
  <cols>
    <col min="1" max="1" width="31" customWidth="1"/>
    <col min="2" max="2" width="10.5546875" bestFit="1" customWidth="1"/>
    <col min="3" max="3" width="17" customWidth="1"/>
    <col min="4" max="4" width="18.21875" customWidth="1"/>
    <col min="7" max="7" width="22.77734375" customWidth="1"/>
    <col min="11" max="11" width="10.33203125" bestFit="1" customWidth="1"/>
    <col min="12" max="12" width="29.6640625" customWidth="1"/>
  </cols>
  <sheetData>
    <row r="1" spans="1:9" x14ac:dyDescent="0.3">
      <c r="A1" s="13" t="s">
        <v>46</v>
      </c>
      <c r="B1" s="14" t="s">
        <v>4</v>
      </c>
      <c r="C1" s="15"/>
      <c r="D1" s="15"/>
    </row>
    <row r="2" spans="1:9" x14ac:dyDescent="0.3">
      <c r="A2" s="16" t="s">
        <v>0</v>
      </c>
      <c r="B2" s="17" t="s">
        <v>41</v>
      </c>
      <c r="C2" s="18">
        <v>5</v>
      </c>
      <c r="D2" s="18">
        <v>5</v>
      </c>
    </row>
    <row r="3" spans="1:9" x14ac:dyDescent="0.3">
      <c r="A3" s="16" t="s">
        <v>1</v>
      </c>
      <c r="B3" s="17" t="s">
        <v>47</v>
      </c>
      <c r="C3" s="18">
        <v>20000</v>
      </c>
      <c r="D3" s="18">
        <v>20000</v>
      </c>
    </row>
    <row r="4" spans="1:9" x14ac:dyDescent="0.3">
      <c r="A4" s="16" t="s">
        <v>2</v>
      </c>
      <c r="B4" s="17" t="s">
        <v>48</v>
      </c>
      <c r="C4" s="18">
        <f t="shared" ref="C4:D4" si="0">1/C3</f>
        <v>5.0000000000000002E-5</v>
      </c>
      <c r="D4" s="18">
        <f t="shared" si="0"/>
        <v>5.0000000000000002E-5</v>
      </c>
    </row>
    <row r="5" spans="1:9" x14ac:dyDescent="0.3">
      <c r="A5" s="16" t="s">
        <v>3</v>
      </c>
      <c r="B5" s="19" t="s">
        <v>48</v>
      </c>
      <c r="C5" s="20">
        <v>1.5E-6</v>
      </c>
      <c r="D5" s="20">
        <v>1.5E-6</v>
      </c>
    </row>
    <row r="7" spans="1:9" x14ac:dyDescent="0.3">
      <c r="A7" s="22" t="s">
        <v>50</v>
      </c>
      <c r="B7" s="23"/>
      <c r="C7" s="24" t="s">
        <v>5</v>
      </c>
      <c r="D7" s="24" t="s">
        <v>6</v>
      </c>
    </row>
    <row r="8" spans="1:9" x14ac:dyDescent="0.3">
      <c r="A8" s="1" t="s">
        <v>49</v>
      </c>
      <c r="B8" s="2" t="s">
        <v>8</v>
      </c>
      <c r="C8" s="3" t="s">
        <v>5</v>
      </c>
      <c r="D8" s="3" t="s">
        <v>6</v>
      </c>
    </row>
    <row r="9" spans="1:9" x14ac:dyDescent="0.3">
      <c r="A9" s="1" t="s">
        <v>7</v>
      </c>
      <c r="B9" s="2" t="s">
        <v>8</v>
      </c>
      <c r="C9" s="25">
        <v>1</v>
      </c>
      <c r="D9" s="25">
        <v>2</v>
      </c>
    </row>
    <row r="10" spans="1:9" x14ac:dyDescent="0.3">
      <c r="A10" s="1" t="s">
        <v>9</v>
      </c>
      <c r="B10" s="2" t="s">
        <v>10</v>
      </c>
      <c r="C10" s="25">
        <v>7.5</v>
      </c>
      <c r="D10" s="25">
        <v>128</v>
      </c>
    </row>
    <row r="11" spans="1:9" x14ac:dyDescent="0.3">
      <c r="A11" s="1" t="s">
        <v>11</v>
      </c>
      <c r="B11" s="2" t="s">
        <v>12</v>
      </c>
      <c r="C11" s="25">
        <f>0.439</f>
        <v>0.439</v>
      </c>
      <c r="D11" s="25">
        <v>2.8</v>
      </c>
    </row>
    <row r="12" spans="1:9" x14ac:dyDescent="0.3">
      <c r="A12" s="1" t="s">
        <v>13</v>
      </c>
      <c r="B12" s="2" t="s">
        <v>14</v>
      </c>
      <c r="C12" s="25">
        <v>3450</v>
      </c>
      <c r="D12" s="25">
        <v>1300</v>
      </c>
    </row>
    <row r="13" spans="1:9" x14ac:dyDescent="0.3">
      <c r="A13" s="1" t="s">
        <v>15</v>
      </c>
      <c r="B13" s="2" t="s">
        <v>14</v>
      </c>
      <c r="C13" s="25">
        <v>3450</v>
      </c>
      <c r="D13" s="25">
        <v>1300</v>
      </c>
    </row>
    <row r="14" spans="1:9" x14ac:dyDescent="0.3">
      <c r="A14" s="1" t="s">
        <v>16</v>
      </c>
      <c r="B14" s="2" t="s">
        <v>17</v>
      </c>
      <c r="C14" s="25">
        <v>230</v>
      </c>
      <c r="D14" s="25">
        <v>230</v>
      </c>
    </row>
    <row r="15" spans="1:9" x14ac:dyDescent="0.3">
      <c r="A15" s="1" t="s">
        <v>19</v>
      </c>
      <c r="B15" s="2" t="s">
        <v>20</v>
      </c>
      <c r="C15" s="26">
        <v>1.4</v>
      </c>
      <c r="D15" s="26">
        <v>0.25</v>
      </c>
      <c r="I15" s="4"/>
    </row>
    <row r="16" spans="1:9" x14ac:dyDescent="0.3">
      <c r="A16" s="1" t="s">
        <v>22</v>
      </c>
      <c r="B16" s="2" t="s">
        <v>20</v>
      </c>
      <c r="C16" s="27">
        <v>0.79085000000000005</v>
      </c>
      <c r="D16" s="27">
        <v>0.14000000000000001</v>
      </c>
      <c r="I16" s="4"/>
    </row>
    <row r="17" spans="1:13" x14ac:dyDescent="0.3">
      <c r="A17" s="1" t="s">
        <v>24</v>
      </c>
      <c r="B17" s="2" t="s">
        <v>12</v>
      </c>
      <c r="C17" s="27">
        <v>1.5959999999999998E-2</v>
      </c>
      <c r="D17" s="27">
        <f>0.1*D11</f>
        <v>0.27999999999999997</v>
      </c>
      <c r="I17" s="4"/>
    </row>
    <row r="18" spans="1:13" x14ac:dyDescent="0.3">
      <c r="A18" s="1" t="s">
        <v>26</v>
      </c>
      <c r="B18" s="2" t="s">
        <v>10</v>
      </c>
      <c r="C18" s="27">
        <v>3.87765</v>
      </c>
      <c r="D18" s="27">
        <v>128</v>
      </c>
      <c r="I18" s="4"/>
    </row>
    <row r="19" spans="1:13" x14ac:dyDescent="0.3">
      <c r="A19" s="1" t="s">
        <v>28</v>
      </c>
      <c r="B19" s="2" t="s">
        <v>12</v>
      </c>
      <c r="C19" s="5">
        <v>1.5959999999999998E-2</v>
      </c>
      <c r="D19" s="5">
        <f>D17</f>
        <v>0.27999999999999997</v>
      </c>
      <c r="I19" s="4"/>
    </row>
    <row r="20" spans="1:13" x14ac:dyDescent="0.3">
      <c r="A20" s="7" t="s">
        <v>30</v>
      </c>
      <c r="B20" s="2" t="s">
        <v>20</v>
      </c>
      <c r="C20" s="6">
        <f t="shared" ref="C20" si="1">(SQRT((C15^2)-(C16^2)))</f>
        <v>1.1552299673658053</v>
      </c>
      <c r="D20" s="11">
        <f>(SQRT((D15^2)-(D16^2)))</f>
        <v>0.20712315177207977</v>
      </c>
      <c r="I20" s="4"/>
    </row>
    <row r="21" spans="1:13" x14ac:dyDescent="0.3">
      <c r="A21" s="7" t="s">
        <v>31</v>
      </c>
      <c r="B21" s="2" t="s">
        <v>12</v>
      </c>
      <c r="C21" s="6">
        <f t="shared" ref="C21:D21" si="2">C11+C17</f>
        <v>0.45495999999999998</v>
      </c>
      <c r="D21" s="6">
        <f t="shared" si="2"/>
        <v>3.0799999999999996</v>
      </c>
      <c r="I21" s="4"/>
    </row>
    <row r="22" spans="1:13" x14ac:dyDescent="0.3">
      <c r="A22" s="7" t="s">
        <v>34</v>
      </c>
      <c r="B22" s="8" t="s">
        <v>12</v>
      </c>
      <c r="C22" s="6">
        <f t="shared" ref="C22:D22" si="3">C11+C19</f>
        <v>0.45495999999999998</v>
      </c>
      <c r="D22" s="6">
        <f t="shared" si="3"/>
        <v>3.0799999999999996</v>
      </c>
      <c r="I22" s="4"/>
    </row>
    <row r="23" spans="1:13" x14ac:dyDescent="0.3">
      <c r="A23" s="7" t="s">
        <v>36</v>
      </c>
      <c r="B23" s="8" t="s">
        <v>12</v>
      </c>
      <c r="C23" s="6">
        <f t="shared" ref="C23:D23" si="4" xml:space="preserve"> C21 - (C11*C11)/C22</f>
        <v>3.1360123087743941E-2</v>
      </c>
      <c r="D23" s="6">
        <f t="shared" si="4"/>
        <v>0.53454545454545421</v>
      </c>
      <c r="H23" s="4"/>
      <c r="M23" s="4"/>
    </row>
    <row r="24" spans="1:13" x14ac:dyDescent="0.3">
      <c r="A24" s="7" t="s">
        <v>38</v>
      </c>
      <c r="B24" s="8" t="s">
        <v>12</v>
      </c>
      <c r="C24" s="6">
        <f t="shared" ref="C24:D24" si="5">C11^2/C22</f>
        <v>0.42359987691225603</v>
      </c>
      <c r="D24" s="6">
        <f t="shared" si="5"/>
        <v>2.5454545454545454</v>
      </c>
      <c r="H24" s="4"/>
      <c r="M24" s="4"/>
    </row>
    <row r="25" spans="1:13" x14ac:dyDescent="0.3">
      <c r="A25" s="7"/>
      <c r="B25" s="8"/>
      <c r="C25" s="6"/>
      <c r="D25" s="6"/>
      <c r="H25" s="4"/>
      <c r="M25" s="4"/>
    </row>
    <row r="26" spans="1:13" x14ac:dyDescent="0.3">
      <c r="A26" s="7" t="s">
        <v>53</v>
      </c>
      <c r="B26" s="8" t="s">
        <v>17</v>
      </c>
      <c r="C26" s="28">
        <f>C14*1.414</f>
        <v>325.21999999999997</v>
      </c>
      <c r="D26" s="28">
        <v>325</v>
      </c>
      <c r="H26" s="4"/>
    </row>
    <row r="27" spans="1:13" x14ac:dyDescent="0.3">
      <c r="A27" s="7" t="s">
        <v>54</v>
      </c>
      <c r="B27" s="8" t="s">
        <v>17</v>
      </c>
      <c r="C27" s="21">
        <f>C26</f>
        <v>325.21999999999997</v>
      </c>
      <c r="D27" s="21">
        <f>D26</f>
        <v>325</v>
      </c>
      <c r="H27" s="4"/>
    </row>
    <row r="28" spans="1:13" x14ac:dyDescent="0.3">
      <c r="A28" s="7" t="s">
        <v>55</v>
      </c>
      <c r="B28" s="8" t="s">
        <v>41</v>
      </c>
      <c r="C28" s="6">
        <f>C2</f>
        <v>5</v>
      </c>
      <c r="D28" s="6">
        <f>D2</f>
        <v>5</v>
      </c>
      <c r="H28" s="4"/>
    </row>
    <row r="29" spans="1:13" x14ac:dyDescent="0.3">
      <c r="A29" s="7" t="s">
        <v>56</v>
      </c>
      <c r="B29" s="8" t="s">
        <v>10</v>
      </c>
      <c r="C29" s="6">
        <f t="shared" ref="C29:D29" si="6">C27/C28</f>
        <v>65.043999999999997</v>
      </c>
      <c r="D29" s="6">
        <f t="shared" si="6"/>
        <v>65</v>
      </c>
      <c r="H29" s="4"/>
    </row>
    <row r="30" spans="1:13" x14ac:dyDescent="0.3">
      <c r="A30" s="31" t="s">
        <v>58</v>
      </c>
      <c r="B30" s="8" t="s">
        <v>43</v>
      </c>
      <c r="C30" s="6">
        <f>2.5*(2*PI()*C12*C9/60)</f>
        <v>903.20788790706547</v>
      </c>
      <c r="D30" s="6">
        <f>2.5*(2*PI()*D12*D9/60)</f>
        <v>680.67840827778855</v>
      </c>
      <c r="H30" s="4"/>
      <c r="M30" s="4"/>
    </row>
    <row r="31" spans="1:13" x14ac:dyDescent="0.3">
      <c r="A31" s="32"/>
      <c r="B31" s="8" t="s">
        <v>44</v>
      </c>
      <c r="C31" s="6">
        <f>2.5*C12</f>
        <v>8625</v>
      </c>
      <c r="D31" s="6">
        <f>2.5*D12</f>
        <v>3250</v>
      </c>
      <c r="H31" s="4"/>
      <c r="M31" s="4"/>
    </row>
    <row r="32" spans="1:13" x14ac:dyDescent="0.3">
      <c r="A32" s="9" t="s">
        <v>57</v>
      </c>
      <c r="B32" s="8" t="s">
        <v>12</v>
      </c>
      <c r="C32" s="6">
        <f t="shared" ref="C32:D32" si="7">C29/C30</f>
        <v>7.2014428650220799E-2</v>
      </c>
      <c r="D32" s="6">
        <f t="shared" si="7"/>
        <v>9.5492965855137196E-2</v>
      </c>
      <c r="H32" s="4"/>
      <c r="M32" s="4"/>
    </row>
    <row r="33" spans="1:13" x14ac:dyDescent="0.3">
      <c r="A33" s="9"/>
      <c r="B33" s="8"/>
      <c r="C33" s="6"/>
      <c r="D33" s="6"/>
      <c r="H33" s="4"/>
      <c r="M33" s="4"/>
    </row>
    <row r="34" spans="1:13" x14ac:dyDescent="0.3">
      <c r="A34" s="30" t="s">
        <v>52</v>
      </c>
      <c r="B34" s="8"/>
      <c r="C34" s="6"/>
      <c r="D34" s="6"/>
      <c r="H34" s="4"/>
    </row>
    <row r="35" spans="1:13" x14ac:dyDescent="0.3">
      <c r="A35" s="7" t="s">
        <v>18</v>
      </c>
      <c r="B35" s="8"/>
      <c r="C35" s="12">
        <f>(C10/C29)*2^C36</f>
        <v>3778.3654141811699</v>
      </c>
      <c r="D35" s="12">
        <f>(D10/D29)*2^D36</f>
        <v>16131.938461538462</v>
      </c>
      <c r="H35" s="4"/>
    </row>
    <row r="36" spans="1:13" x14ac:dyDescent="0.3">
      <c r="A36" s="7" t="s">
        <v>21</v>
      </c>
      <c r="B36" s="8"/>
      <c r="C36" s="12">
        <v>15</v>
      </c>
      <c r="D36" s="12">
        <v>13</v>
      </c>
      <c r="H36" s="4"/>
    </row>
    <row r="37" spans="1:13" x14ac:dyDescent="0.3">
      <c r="A37" s="7" t="s">
        <v>23</v>
      </c>
      <c r="B37" s="8"/>
      <c r="C37" s="12">
        <f>C23/(C4*C29)*2^C38</f>
        <v>19748.334076532683</v>
      </c>
      <c r="D37" s="12">
        <f>D23/(D4*D29)*2^D38</f>
        <v>10526.433566433559</v>
      </c>
      <c r="H37" s="4"/>
    </row>
    <row r="38" spans="1:13" x14ac:dyDescent="0.3">
      <c r="A38" s="7" t="s">
        <v>25</v>
      </c>
      <c r="B38" s="8"/>
      <c r="C38" s="12">
        <v>11</v>
      </c>
      <c r="D38" s="12">
        <v>6</v>
      </c>
      <c r="H38" s="4"/>
    </row>
    <row r="39" spans="1:13" x14ac:dyDescent="0.3">
      <c r="A39" s="7" t="s">
        <v>27</v>
      </c>
      <c r="B39" s="8"/>
      <c r="C39" s="12">
        <f>(1/C24)*(C29/C30)*2^C40</f>
        <v>5570.7494893801277</v>
      </c>
      <c r="D39" s="12">
        <f>(1/D24)*(D29/D30)*2^D40</f>
        <v>1229.2945913054461</v>
      </c>
      <c r="H39" s="4"/>
    </row>
    <row r="40" spans="1:13" x14ac:dyDescent="0.3">
      <c r="A40" s="7" t="s">
        <v>29</v>
      </c>
      <c r="B40" s="8"/>
      <c r="C40" s="12">
        <v>15</v>
      </c>
      <c r="D40" s="12">
        <v>15</v>
      </c>
      <c r="H40" s="4"/>
    </row>
    <row r="41" spans="1:13" x14ac:dyDescent="0.3">
      <c r="A41" s="7" t="s">
        <v>33</v>
      </c>
      <c r="B41" s="8" t="s">
        <v>45</v>
      </c>
      <c r="C41" s="12">
        <f>C4*C30/PI()*2^15</f>
        <v>471.04</v>
      </c>
      <c r="D41" s="12">
        <f>D4*D30/PI()*2^15</f>
        <v>354.98666666666674</v>
      </c>
      <c r="H41" s="4"/>
    </row>
    <row r="42" spans="1:13" x14ac:dyDescent="0.3">
      <c r="A42" s="7" t="s">
        <v>32</v>
      </c>
      <c r="B42" s="8" t="s">
        <v>45</v>
      </c>
      <c r="C42" s="12">
        <f>C4*C18/C22*2^15</f>
        <v>13.964176542992792</v>
      </c>
      <c r="D42" s="12">
        <f>D4*D18/D22*2^15</f>
        <v>68.089350649350664</v>
      </c>
      <c r="H42" s="4"/>
    </row>
    <row r="43" spans="1:13" x14ac:dyDescent="0.3">
      <c r="A43" s="7" t="s">
        <v>35</v>
      </c>
      <c r="B43" s="8" t="s">
        <v>45</v>
      </c>
      <c r="C43" s="12">
        <f>(1/C30)*(1/(C22/C18))*2^15</f>
        <v>309.21290059481009</v>
      </c>
      <c r="D43" s="12">
        <f>(1/D30)*(1/(D22/D18))*2^15</f>
        <v>2000.6320112790481</v>
      </c>
    </row>
    <row r="44" spans="1:13" x14ac:dyDescent="0.3">
      <c r="A44" s="7" t="s">
        <v>37</v>
      </c>
      <c r="B44" s="8" t="s">
        <v>45</v>
      </c>
      <c r="C44" s="12">
        <f>2/60*C4*C12*C9*2^15</f>
        <v>188.416</v>
      </c>
      <c r="D44" s="12">
        <f>2/60*D4*D12*D9*2^15</f>
        <v>141.99466666666666</v>
      </c>
    </row>
    <row r="45" spans="1:13" x14ac:dyDescent="0.3">
      <c r="A45" s="7" t="s">
        <v>39</v>
      </c>
      <c r="B45" s="8" t="s">
        <v>45</v>
      </c>
      <c r="C45" s="12">
        <f>2*8/60*C4*C12*C9*2^15</f>
        <v>1507.328</v>
      </c>
      <c r="D45" s="12">
        <f>2*8/60*D4*D12*D9*2^15</f>
        <v>1135.9573333333333</v>
      </c>
    </row>
    <row r="46" spans="1:13" x14ac:dyDescent="0.3">
      <c r="A46" s="7"/>
      <c r="B46" s="8"/>
      <c r="C46" s="10"/>
      <c r="D46" s="10"/>
    </row>
    <row r="47" spans="1:13" x14ac:dyDescent="0.3">
      <c r="A47" s="29" t="s">
        <v>51</v>
      </c>
      <c r="B47" s="8"/>
      <c r="C47" s="10"/>
      <c r="D47" s="10"/>
    </row>
    <row r="48" spans="1:13" x14ac:dyDescent="0.3">
      <c r="A48" s="7" t="s">
        <v>40</v>
      </c>
      <c r="B48" s="8"/>
      <c r="C48" s="12">
        <f>(C30/C27)*(SQRT(2)/SQRT(3))*(C14-0)/(2*PI()*C12*C9/60)*2^C49</f>
        <v>23651.838723337816</v>
      </c>
      <c r="D48" s="12">
        <f>(D30/D27)*(SQRT(2)/SQRT(3))*(D14-0)/(2*PI()*D12*D9/60)*2^D49</f>
        <v>23667.849198781303</v>
      </c>
    </row>
    <row r="49" spans="1:4" x14ac:dyDescent="0.3">
      <c r="A49" s="7" t="s">
        <v>42</v>
      </c>
      <c r="B49" s="8"/>
      <c r="C49" s="12">
        <v>14</v>
      </c>
      <c r="D49" s="12">
        <v>14</v>
      </c>
    </row>
    <row r="50" spans="1:4" x14ac:dyDescent="0.3">
      <c r="C50" s="4"/>
    </row>
    <row r="51" spans="1:4" x14ac:dyDescent="0.3">
      <c r="C51" s="4"/>
    </row>
  </sheetData>
  <mergeCells count="1">
    <mergeCell ref="A30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5493-E763-4FE8-A4A9-F97F301D18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ACIM_FOC</vt:lpstr>
      <vt:lpstr>Sheet1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 Mohandas V M - I73849</dc:creator>
  <cp:lastModifiedBy>Gopu Mohandas V M - I73849</cp:lastModifiedBy>
  <dcterms:created xsi:type="dcterms:W3CDTF">2024-09-16T08:25:50Z</dcterms:created>
  <dcterms:modified xsi:type="dcterms:W3CDTF">2025-02-10T09:17:00Z</dcterms:modified>
</cp:coreProperties>
</file>