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_D\CE_Release\BitBucket\mchv230vac1.5kw-33ck256mp508-acim-pump-foc-pll-ce\project\docs\"/>
    </mc:Choice>
  </mc:AlternateContent>
  <xr:revisionPtr revIDLastSave="0" documentId="13_ncr:1_{67F8E321-FB06-4F32-93F9-BEEBDE5B2B4E}" xr6:coauthVersionLast="47" xr6:coauthVersionMax="47" xr10:uidLastSave="{00000000-0000-0000-0000-000000000000}"/>
  <bookViews>
    <workbookView xWindow="-108" yWindow="-13068" windowWidth="23256" windowHeight="12456" xr2:uid="{B2002F51-A475-4A03-975C-2D7513E29250}"/>
  </bookViews>
  <sheets>
    <sheet name="ACIM_FO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44" i="2"/>
  <c r="C30" i="2"/>
  <c r="C29" i="2"/>
  <c r="C27" i="2"/>
  <c r="C26" i="2"/>
  <c r="C20" i="2"/>
  <c r="C19" i="2"/>
  <c r="C18" i="2"/>
  <c r="C21" i="2" s="1"/>
  <c r="C23" i="2" s="1"/>
  <c r="C4" i="2"/>
  <c r="C28" i="2" l="1"/>
  <c r="C31" i="2" s="1"/>
  <c r="C22" i="2"/>
  <c r="C42" i="2"/>
  <c r="C41" i="2"/>
  <c r="C47" i="2"/>
  <c r="C40" i="2"/>
  <c r="C38" i="2" l="1"/>
  <c r="C34" i="2"/>
  <c r="C36" i="2"/>
</calcChain>
</file>

<file path=xl/sharedStrings.xml><?xml version="1.0" encoding="utf-8"?>
<sst xmlns="http://schemas.openxmlformats.org/spreadsheetml/2006/main" count="77" uniqueCount="57">
  <si>
    <t>Board Peak current</t>
  </si>
  <si>
    <t>PWM Frequency (Hz)</t>
  </si>
  <si>
    <t>PWM Period (Ts)</t>
  </si>
  <si>
    <t>Deat time</t>
  </si>
  <si>
    <t>Units</t>
  </si>
  <si>
    <t>Pole pairs</t>
  </si>
  <si>
    <t>-</t>
  </si>
  <si>
    <t>Stator resistance (Rs)</t>
  </si>
  <si>
    <t>Ohm</t>
  </si>
  <si>
    <t>Magnetising Inductance (Lm,Lo)</t>
  </si>
  <si>
    <t>H</t>
  </si>
  <si>
    <t>Nominal Speed</t>
  </si>
  <si>
    <t>rpm</t>
  </si>
  <si>
    <t>Maximum Speed</t>
  </si>
  <si>
    <t>Nominal Voltage</t>
  </si>
  <si>
    <t>V</t>
  </si>
  <si>
    <t>NORM_RS</t>
  </si>
  <si>
    <t>Rated Phase Current</t>
  </si>
  <si>
    <t>A(RMS)</t>
  </si>
  <si>
    <t>NORM_RS_QVALUE</t>
  </si>
  <si>
    <t>Magnetizing Current (Im)</t>
  </si>
  <si>
    <t>NORM_SIGMALSDT</t>
  </si>
  <si>
    <t>Stator leakage inductance (Lls)</t>
  </si>
  <si>
    <t>NORM_SIGMALSDT_QVALUE</t>
  </si>
  <si>
    <t>Rotor Resistance (Rr)</t>
  </si>
  <si>
    <t>NORM_INVLMSQRBYLR</t>
  </si>
  <si>
    <t>Rotor Leakage Inductance(Llr)</t>
  </si>
  <si>
    <t>NORM_INVLMSQRBYLR_QVALUE</t>
  </si>
  <si>
    <t xml:space="preserve"> IQ _rated</t>
  </si>
  <si>
    <t>Stator Inductance (Ls)</t>
  </si>
  <si>
    <t>KFILTER_IMRESTIM</t>
  </si>
  <si>
    <t>NORM_DELTAT</t>
  </si>
  <si>
    <t>Rotor Inductance (Lr)</t>
  </si>
  <si>
    <t>NORM_INVTR</t>
  </si>
  <si>
    <t>SigmaLs</t>
  </si>
  <si>
    <t>D_ILIMIT_HS</t>
  </si>
  <si>
    <t>LmSquareByLr</t>
  </si>
  <si>
    <t>D_ILIMIT_LS</t>
  </si>
  <si>
    <t>VBYF_CONSTANT</t>
  </si>
  <si>
    <t>A</t>
  </si>
  <si>
    <t>VBYF_CONSTANT_SHIFT</t>
  </si>
  <si>
    <t>rad/sec(ele)</t>
  </si>
  <si>
    <t>RPM</t>
  </si>
  <si>
    <t>Q15</t>
  </si>
  <si>
    <t>Board parameters</t>
  </si>
  <si>
    <t>Hz</t>
  </si>
  <si>
    <t>sec</t>
  </si>
  <si>
    <t>Machine Parameters</t>
  </si>
  <si>
    <t>Open loop VBF control parameters</t>
  </si>
  <si>
    <t>Estimator parameters</t>
  </si>
  <si>
    <t>Pump Motor 1</t>
  </si>
  <si>
    <t>Z_base</t>
  </si>
  <si>
    <t>L_base</t>
  </si>
  <si>
    <t>Vdcbase(DC link base voltage)</t>
  </si>
  <si>
    <t>Voltage Base</t>
  </si>
  <si>
    <t>Current Base</t>
  </si>
  <si>
    <t>Speed base(2.5*rated speed)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</si>
</sst>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1DD7-844E-4B97-9BAC-E538F2BDFA1F}">
  <dimension ref="A1:L48"/>
  <sheetViews>
    <sheetView tabSelected="1" topLeftCell="A35" zoomScale="136" zoomScaleNormal="110" workbookViewId="0">
      <selection activeCell="D44" sqref="D44"/>
    </sheetView>
  </sheetViews>
  <sheetFormatPr defaultRowHeight="14.4" x14ac:dyDescent="0.3"/>
  <cols>
    <col min="1" max="1" width="31" customWidth="1"/>
    <col min="2" max="2" width="10.5546875" bestFit="1" customWidth="1"/>
    <col min="3" max="3" width="18.21875" customWidth="1"/>
    <col min="6" max="6" width="22.77734375" customWidth="1"/>
    <col min="10" max="10" width="10.33203125" bestFit="1" customWidth="1"/>
    <col min="11" max="11" width="29.6640625" customWidth="1"/>
  </cols>
  <sheetData>
    <row r="1" spans="1:8" x14ac:dyDescent="0.3">
      <c r="A1" s="12" t="s">
        <v>44</v>
      </c>
      <c r="B1" s="13" t="s">
        <v>4</v>
      </c>
      <c r="C1" s="14"/>
    </row>
    <row r="2" spans="1:8" x14ac:dyDescent="0.3">
      <c r="A2" s="15" t="s">
        <v>0</v>
      </c>
      <c r="B2" s="16" t="s">
        <v>39</v>
      </c>
      <c r="C2" s="17">
        <v>22</v>
      </c>
    </row>
    <row r="3" spans="1:8" x14ac:dyDescent="0.3">
      <c r="A3" s="15" t="s">
        <v>1</v>
      </c>
      <c r="B3" s="16" t="s">
        <v>45</v>
      </c>
      <c r="C3" s="17">
        <v>20000</v>
      </c>
    </row>
    <row r="4" spans="1:8" x14ac:dyDescent="0.3">
      <c r="A4" s="15" t="s">
        <v>2</v>
      </c>
      <c r="B4" s="16" t="s">
        <v>46</v>
      </c>
      <c r="C4" s="17">
        <f t="shared" ref="C4" si="0">1/C3</f>
        <v>5.0000000000000002E-5</v>
      </c>
    </row>
    <row r="5" spans="1:8" x14ac:dyDescent="0.3">
      <c r="A5" s="15" t="s">
        <v>3</v>
      </c>
      <c r="B5" s="18" t="s">
        <v>46</v>
      </c>
      <c r="C5" s="19">
        <v>1.5E-6</v>
      </c>
    </row>
    <row r="7" spans="1:8" x14ac:dyDescent="0.3">
      <c r="A7" s="21" t="s">
        <v>47</v>
      </c>
      <c r="B7" s="22"/>
      <c r="C7" s="23" t="s">
        <v>50</v>
      </c>
    </row>
    <row r="8" spans="1:8" x14ac:dyDescent="0.3">
      <c r="A8" s="1" t="s">
        <v>5</v>
      </c>
      <c r="B8" s="2" t="s">
        <v>6</v>
      </c>
      <c r="C8" s="24">
        <v>1</v>
      </c>
    </row>
    <row r="9" spans="1:8" x14ac:dyDescent="0.3">
      <c r="A9" s="1" t="s">
        <v>7</v>
      </c>
      <c r="B9" s="2" t="s">
        <v>8</v>
      </c>
      <c r="C9" s="24">
        <v>2.1</v>
      </c>
    </row>
    <row r="10" spans="1:8" x14ac:dyDescent="0.3">
      <c r="A10" s="1" t="s">
        <v>9</v>
      </c>
      <c r="B10" s="2" t="s">
        <v>10</v>
      </c>
      <c r="C10" s="24">
        <v>0.1487</v>
      </c>
    </row>
    <row r="11" spans="1:8" x14ac:dyDescent="0.3">
      <c r="A11" s="1" t="s">
        <v>11</v>
      </c>
      <c r="B11" s="2" t="s">
        <v>12</v>
      </c>
      <c r="C11" s="24">
        <v>3450</v>
      </c>
    </row>
    <row r="12" spans="1:8" x14ac:dyDescent="0.3">
      <c r="A12" s="1" t="s">
        <v>13</v>
      </c>
      <c r="B12" s="2" t="s">
        <v>12</v>
      </c>
      <c r="C12" s="24">
        <v>3600</v>
      </c>
    </row>
    <row r="13" spans="1:8" x14ac:dyDescent="0.3">
      <c r="A13" s="1" t="s">
        <v>14</v>
      </c>
      <c r="B13" s="2" t="s">
        <v>15</v>
      </c>
      <c r="C13" s="24">
        <v>230</v>
      </c>
    </row>
    <row r="14" spans="1:8" x14ac:dyDescent="0.3">
      <c r="A14" s="1" t="s">
        <v>17</v>
      </c>
      <c r="B14" s="2" t="s">
        <v>18</v>
      </c>
      <c r="C14" s="25">
        <v>7</v>
      </c>
    </row>
    <row r="15" spans="1:8" x14ac:dyDescent="0.3">
      <c r="A15" s="1" t="s">
        <v>20</v>
      </c>
      <c r="B15" s="2" t="s">
        <v>18</v>
      </c>
      <c r="C15" s="26">
        <v>2</v>
      </c>
      <c r="H15" s="3"/>
    </row>
    <row r="16" spans="1:8" x14ac:dyDescent="0.3">
      <c r="A16" s="1" t="s">
        <v>22</v>
      </c>
      <c r="B16" s="2" t="s">
        <v>10</v>
      </c>
      <c r="C16" s="26">
        <v>4.7400000000000003E-3</v>
      </c>
      <c r="H16" s="3"/>
    </row>
    <row r="17" spans="1:12" x14ac:dyDescent="0.3">
      <c r="A17" s="1" t="s">
        <v>24</v>
      </c>
      <c r="B17" s="2" t="s">
        <v>8</v>
      </c>
      <c r="C17" s="26">
        <v>1.49</v>
      </c>
      <c r="H17" s="3"/>
    </row>
    <row r="18" spans="1:12" x14ac:dyDescent="0.3">
      <c r="A18" s="1" t="s">
        <v>26</v>
      </c>
      <c r="B18" s="2" t="s">
        <v>10</v>
      </c>
      <c r="C18" s="4">
        <f>C16</f>
        <v>4.7400000000000003E-3</v>
      </c>
      <c r="H18" s="3"/>
    </row>
    <row r="19" spans="1:12" x14ac:dyDescent="0.3">
      <c r="A19" s="6" t="s">
        <v>28</v>
      </c>
      <c r="B19" s="2" t="s">
        <v>18</v>
      </c>
      <c r="C19" s="10">
        <f>(SQRT((C14^2)-(C15^2)))</f>
        <v>6.7082039324993694</v>
      </c>
      <c r="H19" s="3"/>
    </row>
    <row r="20" spans="1:12" x14ac:dyDescent="0.3">
      <c r="A20" s="6" t="s">
        <v>29</v>
      </c>
      <c r="B20" s="2" t="s">
        <v>10</v>
      </c>
      <c r="C20" s="5">
        <f t="shared" ref="C20" si="1">C10+C16</f>
        <v>0.15343999999999999</v>
      </c>
      <c r="H20" s="3"/>
    </row>
    <row r="21" spans="1:12" x14ac:dyDescent="0.3">
      <c r="A21" s="6" t="s">
        <v>32</v>
      </c>
      <c r="B21" s="7" t="s">
        <v>10</v>
      </c>
      <c r="C21" s="5">
        <f t="shared" ref="C21" si="2">C10+C18</f>
        <v>0.15343999999999999</v>
      </c>
      <c r="H21" s="3"/>
    </row>
    <row r="22" spans="1:12" x14ac:dyDescent="0.3">
      <c r="A22" s="6" t="s">
        <v>34</v>
      </c>
      <c r="B22" s="7" t="s">
        <v>10</v>
      </c>
      <c r="C22" s="5">
        <f t="shared" ref="C22" si="3" xml:space="preserve"> C20 - (C10*C10)/C21</f>
        <v>9.3335740354535957E-3</v>
      </c>
      <c r="H22" s="3"/>
    </row>
    <row r="23" spans="1:12" x14ac:dyDescent="0.3">
      <c r="A23" s="6" t="s">
        <v>36</v>
      </c>
      <c r="B23" s="7" t="s">
        <v>10</v>
      </c>
      <c r="C23" s="5">
        <f t="shared" ref="C23" si="4">C10^2/C21</f>
        <v>0.1441064259645464</v>
      </c>
      <c r="G23" s="3"/>
      <c r="L23" s="3"/>
    </row>
    <row r="24" spans="1:12" x14ac:dyDescent="0.3">
      <c r="A24" s="6"/>
      <c r="B24" s="7"/>
      <c r="C24" s="5"/>
      <c r="G24" s="3"/>
      <c r="L24" s="3"/>
    </row>
    <row r="25" spans="1:12" x14ac:dyDescent="0.3">
      <c r="A25" s="6" t="s">
        <v>53</v>
      </c>
      <c r="B25" s="7" t="s">
        <v>15</v>
      </c>
      <c r="C25" s="27">
        <v>325</v>
      </c>
      <c r="G25" s="3"/>
      <c r="L25" s="3"/>
    </row>
    <row r="26" spans="1:12" x14ac:dyDescent="0.3">
      <c r="A26" s="6" t="s">
        <v>54</v>
      </c>
      <c r="B26" s="7" t="s">
        <v>15</v>
      </c>
      <c r="C26" s="20">
        <f>C25</f>
        <v>325</v>
      </c>
      <c r="G26" s="3"/>
    </row>
    <row r="27" spans="1:12" x14ac:dyDescent="0.3">
      <c r="A27" s="6" t="s">
        <v>55</v>
      </c>
      <c r="B27" s="7" t="s">
        <v>39</v>
      </c>
      <c r="C27" s="5">
        <f>C2</f>
        <v>22</v>
      </c>
      <c r="G27" s="3"/>
    </row>
    <row r="28" spans="1:12" x14ac:dyDescent="0.3">
      <c r="A28" s="6" t="s">
        <v>51</v>
      </c>
      <c r="B28" s="7" t="s">
        <v>8</v>
      </c>
      <c r="C28" s="5">
        <f t="shared" ref="C28" si="5">C26/C27</f>
        <v>14.772727272727273</v>
      </c>
      <c r="G28" s="3"/>
    </row>
    <row r="29" spans="1:12" x14ac:dyDescent="0.3">
      <c r="A29" s="30" t="s">
        <v>56</v>
      </c>
      <c r="B29" s="7" t="s">
        <v>41</v>
      </c>
      <c r="C29" s="5">
        <f>2.5*(2*PI()*C11*C8/60)</f>
        <v>903.20788790706547</v>
      </c>
      <c r="G29" s="3"/>
    </row>
    <row r="30" spans="1:12" x14ac:dyDescent="0.3">
      <c r="A30" s="31"/>
      <c r="B30" s="7" t="s">
        <v>42</v>
      </c>
      <c r="C30" s="5">
        <f>2.5*C11</f>
        <v>8625</v>
      </c>
      <c r="G30" s="3"/>
      <c r="L30" s="3"/>
    </row>
    <row r="31" spans="1:12" x14ac:dyDescent="0.3">
      <c r="A31" s="8" t="s">
        <v>52</v>
      </c>
      <c r="B31" s="7" t="s">
        <v>10</v>
      </c>
      <c r="C31" s="5">
        <f t="shared" ref="C31" si="6">C28/C29</f>
        <v>1.6355843954107822E-2</v>
      </c>
      <c r="G31" s="3"/>
      <c r="L31" s="3"/>
    </row>
    <row r="32" spans="1:12" x14ac:dyDescent="0.3">
      <c r="A32" s="8"/>
      <c r="B32" s="7"/>
      <c r="C32" s="5"/>
      <c r="G32" s="3"/>
      <c r="L32" s="3"/>
    </row>
    <row r="33" spans="1:12" x14ac:dyDescent="0.3">
      <c r="A33" s="29" t="s">
        <v>49</v>
      </c>
      <c r="B33" s="7"/>
      <c r="C33" s="5"/>
      <c r="G33" s="3"/>
      <c r="L33" s="3"/>
    </row>
    <row r="34" spans="1:12" x14ac:dyDescent="0.3">
      <c r="A34" s="6" t="s">
        <v>16</v>
      </c>
      <c r="B34" s="7"/>
      <c r="C34" s="11">
        <f>(C9/C28)*2^C35</f>
        <v>4658.0972307692309</v>
      </c>
      <c r="G34" s="3"/>
    </row>
    <row r="35" spans="1:12" x14ac:dyDescent="0.3">
      <c r="A35" s="6" t="s">
        <v>19</v>
      </c>
      <c r="B35" s="7"/>
      <c r="C35" s="11">
        <v>15</v>
      </c>
      <c r="G35" s="3"/>
    </row>
    <row r="36" spans="1:12" x14ac:dyDescent="0.3">
      <c r="A36" s="6" t="s">
        <v>21</v>
      </c>
      <c r="B36" s="7"/>
      <c r="C36" s="11">
        <f>C22/(C4*C28)*2^C37</f>
        <v>25878.985337932132</v>
      </c>
      <c r="G36" s="3"/>
    </row>
    <row r="37" spans="1:12" x14ac:dyDescent="0.3">
      <c r="A37" s="6" t="s">
        <v>23</v>
      </c>
      <c r="B37" s="7"/>
      <c r="C37" s="11">
        <v>11</v>
      </c>
      <c r="G37" s="3"/>
    </row>
    <row r="38" spans="1:12" x14ac:dyDescent="0.3">
      <c r="A38" s="6" t="s">
        <v>25</v>
      </c>
      <c r="B38" s="7"/>
      <c r="C38" s="11">
        <f>(1/C23)*(C28/C29)*2^C39</f>
        <v>3719.1144746040759</v>
      </c>
      <c r="G38" s="3"/>
    </row>
    <row r="39" spans="1:12" x14ac:dyDescent="0.3">
      <c r="A39" s="6" t="s">
        <v>27</v>
      </c>
      <c r="B39" s="7"/>
      <c r="C39" s="11">
        <v>15</v>
      </c>
      <c r="G39" s="3"/>
    </row>
    <row r="40" spans="1:12" x14ac:dyDescent="0.3">
      <c r="A40" s="6" t="s">
        <v>31</v>
      </c>
      <c r="B40" s="7" t="s">
        <v>43</v>
      </c>
      <c r="C40" s="11">
        <f>C4*C29/PI()*2^15</f>
        <v>471.04</v>
      </c>
      <c r="G40" s="3"/>
    </row>
    <row r="41" spans="1:12" x14ac:dyDescent="0.3">
      <c r="A41" s="6" t="s">
        <v>30</v>
      </c>
      <c r="B41" s="7" t="s">
        <v>43</v>
      </c>
      <c r="C41" s="11">
        <f>C4*C17/C21*2^15</f>
        <v>15.909906152241922</v>
      </c>
      <c r="G41" s="3"/>
    </row>
    <row r="42" spans="1:12" x14ac:dyDescent="0.3">
      <c r="A42" s="6" t="s">
        <v>33</v>
      </c>
      <c r="B42" s="7" t="s">
        <v>43</v>
      </c>
      <c r="C42" s="11">
        <f>(1/C29)*(1/(C21/C17))*2^15</f>
        <v>352.2977681053855</v>
      </c>
      <c r="G42" s="3"/>
    </row>
    <row r="43" spans="1:12" x14ac:dyDescent="0.3">
      <c r="A43" s="6" t="s">
        <v>35</v>
      </c>
      <c r="B43" s="7" t="s">
        <v>43</v>
      </c>
      <c r="C43" s="11">
        <f>2/60*C4*C11*C8*2^15</f>
        <v>188.416</v>
      </c>
    </row>
    <row r="44" spans="1:12" x14ac:dyDescent="0.3">
      <c r="A44" s="6" t="s">
        <v>37</v>
      </c>
      <c r="B44" s="7" t="s">
        <v>43</v>
      </c>
      <c r="C44" s="11">
        <f>2*8/60*C4*C11*C8*2^15</f>
        <v>1507.328</v>
      </c>
    </row>
    <row r="45" spans="1:12" x14ac:dyDescent="0.3">
      <c r="A45" s="6"/>
      <c r="B45" s="7"/>
      <c r="C45" s="9"/>
    </row>
    <row r="46" spans="1:12" x14ac:dyDescent="0.3">
      <c r="A46" s="28" t="s">
        <v>48</v>
      </c>
      <c r="B46" s="7"/>
      <c r="C46" s="9"/>
    </row>
    <row r="47" spans="1:12" x14ac:dyDescent="0.3">
      <c r="A47" s="6" t="s">
        <v>38</v>
      </c>
      <c r="B47" s="7"/>
      <c r="C47" s="11">
        <f>(C29/C26)*(SQRT(2)/SQRT(3))*(C13-0)/(2*PI()*C11*C8/60)*2^C48</f>
        <v>23667.849198781303</v>
      </c>
    </row>
    <row r="48" spans="1:12" x14ac:dyDescent="0.3">
      <c r="A48" s="6" t="s">
        <v>40</v>
      </c>
      <c r="B48" s="7"/>
      <c r="C48" s="11">
        <v>14</v>
      </c>
    </row>
  </sheetData>
  <mergeCells count="1">
    <mergeCell ref="A29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5493-E763-4FE8-A4A9-F97F301D18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ACIM_FOC</vt:lpstr>
      <vt:lpstr>Sheet1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 Mohandas V M - I73849</dc:creator>
  <cp:lastModifiedBy>Gopu Mohandas V M - I73849</cp:lastModifiedBy>
  <dcterms:created xsi:type="dcterms:W3CDTF">2024-09-16T08:25:50Z</dcterms:created>
  <dcterms:modified xsi:type="dcterms:W3CDTF">2025-02-10T04:57:42Z</dcterms:modified>
</cp:coreProperties>
</file>