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305" windowHeight="12225"/>
  </bookViews>
  <sheets>
    <sheet name="Breakdown" sheetId="1" r:id="rId1"/>
    <sheet name="Foods" sheetId="2" r:id="rId2"/>
    <sheet name="Weight Tracking" sheetId="7" r:id="rId3"/>
    <sheet name="Calorie Alterations" sheetId="3" r:id="rId4"/>
    <sheet name="Calorie Calculator" sheetId="5" r:id="rId5"/>
    <sheet name="Potassium" sheetId="8" r:id="rId6"/>
  </sheets>
  <calcPr calcId="144525"/>
</workbook>
</file>

<file path=xl/comments1.xml><?xml version="1.0" encoding="utf-8"?>
<comments xmlns="http://schemas.openxmlformats.org/spreadsheetml/2006/main">
  <authors>
    <author>Kris</author>
  </authors>
  <commentList>
    <comment ref="G7" authorId="0">
      <text>
        <r>
          <rPr>
            <b/>
            <sz val="9"/>
            <rFont val="Tahoma"/>
            <charset val="134"/>
          </rPr>
          <t>Calories from thermic effect of food</t>
        </r>
      </text>
    </comment>
  </commentList>
</comments>
</file>

<file path=xl/comments2.xml><?xml version="1.0" encoding="utf-8"?>
<comments xmlns="http://schemas.openxmlformats.org/spreadsheetml/2006/main">
  <authors>
    <author>Kris</author>
  </authors>
  <commentList>
    <comment ref="I2" authorId="0">
      <text>
        <r>
          <rPr>
            <b/>
            <sz val="9"/>
            <rFont val="Tahoma"/>
            <charset val="134"/>
          </rPr>
          <t>A suggested weight change would be 0.5. This means losing/gaining 0.5kg over the course of a week.</t>
        </r>
      </text>
    </comment>
    <comment ref="I5" authorId="0">
      <text>
        <r>
          <rPr>
            <b/>
            <sz val="9"/>
            <rFont val="Tahoma"/>
            <charset val="134"/>
          </rPr>
          <t xml:space="preserve">Amount of calories to be added/deducted for every kg deviating from the weekly goal weight change. E.g. with a weekly goal weight of 85kg, but a recorded weight change of 86kg suggests an additional 200 calories to be burned via activity or reduced in calories. </t>
        </r>
      </text>
    </comment>
  </commentList>
</comments>
</file>

<file path=xl/comments3.xml><?xml version="1.0" encoding="utf-8"?>
<comments xmlns="http://schemas.openxmlformats.org/spreadsheetml/2006/main">
  <authors>
    <author>Kris</author>
  </authors>
  <commentList>
    <comment ref="I3" authorId="0">
      <text>
        <r>
          <rPr>
            <b/>
            <sz val="9"/>
            <rFont val="Tahoma"/>
            <charset val="134"/>
          </rPr>
          <t>If checkbox is ticked, the value inputted will override and be your TDEE.</t>
        </r>
      </text>
    </comment>
    <comment ref="K3" authorId="0">
      <text>
        <r>
          <rPr>
            <b/>
            <sz val="9"/>
            <rFont val="Tahoma"/>
            <charset val="134"/>
          </rPr>
          <t>Based on per pound of body weight. E.g. a 150 pound person with an upper limit of 100% will have an upper limit suggested protein intake of 150g.</t>
        </r>
      </text>
    </comment>
    <comment ref="C5" authorId="0">
      <text>
        <r>
          <rPr>
            <b/>
            <sz val="9"/>
            <rFont val="Tahoma"/>
            <charset val="134"/>
          </rPr>
          <t>The amount of calories burned per day via physical activity</t>
        </r>
      </text>
    </comment>
    <comment ref="D5" authorId="0">
      <text>
        <r>
          <rPr>
            <b/>
            <sz val="9"/>
            <rFont val="Tahoma"/>
            <charset val="134"/>
          </rPr>
          <t>The amount of calories to be deducted from maintenance calories</t>
        </r>
      </text>
    </comment>
    <comment ref="B12" authorId="0">
      <text>
        <r>
          <rPr>
            <b/>
            <sz val="9"/>
            <rFont val="Tahoma"/>
            <charset val="134"/>
          </rPr>
          <t>Calculated using the Harris–Benedict equation revised by Mifflin and St Jeor</t>
        </r>
      </text>
    </comment>
    <comment ref="C12" authorId="0">
      <text>
        <r>
          <rPr>
            <b/>
            <sz val="9"/>
            <rFont val="Tahoma"/>
            <charset val="134"/>
          </rPr>
          <t>Calories from thermic effect of food</t>
        </r>
      </text>
    </comment>
    <comment ref="D12" authorId="0">
      <text>
        <r>
          <rPr>
            <b/>
            <sz val="9"/>
            <rFont val="Tahoma"/>
            <charset val="134"/>
          </rPr>
          <t>Total daily energy expenditure, AKA, the amount of calories you burn per day to maintain current weight</t>
        </r>
      </text>
    </comment>
    <comment ref="E12" authorId="0">
      <text>
        <r>
          <rPr>
            <b/>
            <sz val="9"/>
            <rFont val="Tahoma"/>
            <charset val="134"/>
          </rPr>
          <t>The amount of calories to consume per day to burn fat based on your deficit</t>
        </r>
      </text>
    </comment>
    <comment ref="X16" authorId="0">
      <text>
        <r>
          <rPr>
            <b/>
            <sz val="9"/>
            <rFont val="Tahoma"/>
            <charset val="134"/>
          </rPr>
          <t>Based on limits inputted</t>
        </r>
      </text>
    </comment>
  </commentList>
</comments>
</file>

<file path=xl/sharedStrings.xml><?xml version="1.0" encoding="utf-8"?>
<sst xmlns="http://schemas.openxmlformats.org/spreadsheetml/2006/main" count="662" uniqueCount="287">
  <si>
    <t>Protein</t>
  </si>
  <si>
    <t>Fats</t>
  </si>
  <si>
    <t>Carbs</t>
  </si>
  <si>
    <t>Fiber</t>
  </si>
  <si>
    <t>INPUT VALUES</t>
  </si>
  <si>
    <t>grams (g)</t>
  </si>
  <si>
    <t>Daily kCalorie Intake</t>
  </si>
  <si>
    <t>kCal</t>
  </si>
  <si>
    <t>split %</t>
  </si>
  <si>
    <t>Physical Activity (kCals)</t>
  </si>
  <si>
    <t>TOTAL</t>
  </si>
  <si>
    <t>kCals to add or remove</t>
  </si>
  <si>
    <t>TEF</t>
  </si>
  <si>
    <t>Meal 1</t>
  </si>
  <si>
    <t>Meal 2</t>
  </si>
  <si>
    <t>Food Name</t>
  </si>
  <si>
    <t>Multiplier</t>
  </si>
  <si>
    <t>Amount/Unit</t>
  </si>
  <si>
    <t>Protein (g)</t>
  </si>
  <si>
    <t>Fats (g)</t>
  </si>
  <si>
    <t>Carbs (g)</t>
  </si>
  <si>
    <t>Fiber (g)</t>
  </si>
  <si>
    <t>Eggs X-Large</t>
  </si>
  <si>
    <t>Aminoz Protein Powder</t>
  </si>
  <si>
    <t>Seaweed</t>
  </si>
  <si>
    <t>Blueberries</t>
  </si>
  <si>
    <t>Avocado</t>
  </si>
  <si>
    <t>Dark chocolate coconut</t>
  </si>
  <si>
    <t>Low fat cheese</t>
  </si>
  <si>
    <t>Yoghurt (High protein)</t>
  </si>
  <si>
    <t>Banana</t>
  </si>
  <si>
    <t>Chicken Stock</t>
  </si>
  <si>
    <t>Apple</t>
  </si>
  <si>
    <t>Pasta Sauce</t>
  </si>
  <si>
    <t>Oats (steel cut)</t>
  </si>
  <si>
    <t>Fish Oil CN</t>
  </si>
  <si>
    <t>Coconut Water</t>
  </si>
  <si>
    <t>Drinking Chocolate</t>
  </si>
  <si>
    <t>kCalories</t>
  </si>
  <si>
    <t>Dark chocolate bites</t>
  </si>
  <si>
    <t>Meal 3</t>
  </si>
  <si>
    <t>Meal 4</t>
  </si>
  <si>
    <t>Mackerel</t>
  </si>
  <si>
    <t>Tuna Avocado Roll</t>
  </si>
  <si>
    <t>Potato fries</t>
  </si>
  <si>
    <t>Salmon Sandwich</t>
  </si>
  <si>
    <t>Instant Gravy</t>
  </si>
  <si>
    <t>Rib Eye Steak</t>
  </si>
  <si>
    <t>Chicken Tenderloins</t>
  </si>
  <si>
    <t>Peri Peri Chicken</t>
  </si>
  <si>
    <t>Mayonnaise</t>
  </si>
  <si>
    <t>Crab Stick Inari</t>
  </si>
  <si>
    <t>Peanut Satay Chicken</t>
  </si>
  <si>
    <t>Vodka</t>
  </si>
  <si>
    <t>Chicken Kebab bbq</t>
  </si>
  <si>
    <t>Salmon wild pink</t>
  </si>
  <si>
    <t>Chicken drumstick</t>
  </si>
  <si>
    <t>Mackerel in tomato</t>
  </si>
  <si>
    <t>Burger pickles</t>
  </si>
  <si>
    <t>Meal 5</t>
  </si>
  <si>
    <t>Meal 6</t>
  </si>
  <si>
    <t>FOOD NAME (unique)</t>
  </si>
  <si>
    <t>Amount</t>
  </si>
  <si>
    <t>Unit</t>
  </si>
  <si>
    <t>Sugar (g)</t>
  </si>
  <si>
    <t>Outlet</t>
  </si>
  <si>
    <t>Brand</t>
  </si>
  <si>
    <t>Food Category</t>
  </si>
  <si>
    <t>ml</t>
  </si>
  <si>
    <t>Alcohol</t>
  </si>
  <si>
    <t>g</t>
  </si>
  <si>
    <t>Woolworths</t>
  </si>
  <si>
    <t>Sea Friend</t>
  </si>
  <si>
    <t>Algae</t>
  </si>
  <si>
    <t>Beef sausage</t>
  </si>
  <si>
    <t>Coles</t>
  </si>
  <si>
    <t>Cleavers</t>
  </si>
  <si>
    <t>Beef</t>
  </si>
  <si>
    <t>Grass-Fed Mince</t>
  </si>
  <si>
    <t>Grass-Fed Mince Coles</t>
  </si>
  <si>
    <t xml:space="preserve">Grass-Fed Mince Patties </t>
  </si>
  <si>
    <t>Beef Broth</t>
  </si>
  <si>
    <t>Butcher</t>
  </si>
  <si>
    <t>Beverages</t>
  </si>
  <si>
    <t>Sourdough</t>
  </si>
  <si>
    <t>Bread</t>
  </si>
  <si>
    <t>Honey</t>
  </si>
  <si>
    <t>Nature Nate</t>
  </si>
  <si>
    <t>Condiments</t>
  </si>
  <si>
    <t>Coconut Cream</t>
  </si>
  <si>
    <t>Ayam</t>
  </si>
  <si>
    <t>Creams</t>
  </si>
  <si>
    <t>Cheese (Cheddar)</t>
  </si>
  <si>
    <t>slice(s)</t>
  </si>
  <si>
    <t>Dairy</t>
  </si>
  <si>
    <t>Tasty Shredded Cheese</t>
  </si>
  <si>
    <t>Sour Cream</t>
  </si>
  <si>
    <t>Dairy Farmers</t>
  </si>
  <si>
    <t>Natural yoghurt</t>
  </si>
  <si>
    <t>Jalna</t>
  </si>
  <si>
    <t>Cheddar cheese slices</t>
  </si>
  <si>
    <t>Dairyworks</t>
  </si>
  <si>
    <t>Tasty Cheese</t>
  </si>
  <si>
    <t>Mozzarella</t>
  </si>
  <si>
    <t>Cheer</t>
  </si>
  <si>
    <t>Natural Greek yoghurt</t>
  </si>
  <si>
    <t>Tasty Grated Cheese</t>
  </si>
  <si>
    <t>Halloumi</t>
  </si>
  <si>
    <t>Feta</t>
  </si>
  <si>
    <t>Fruits</t>
  </si>
  <si>
    <t>Creative Gourmet</t>
  </si>
  <si>
    <t>Orange Juice</t>
  </si>
  <si>
    <t>Pomegranate</t>
  </si>
  <si>
    <t>Almonds</t>
  </si>
  <si>
    <t>Nuts</t>
  </si>
  <si>
    <t>Almond Cacao Butter</t>
  </si>
  <si>
    <t>Macadamia Nuts</t>
  </si>
  <si>
    <t>Walnuts</t>
  </si>
  <si>
    <t>Brazil Nuts</t>
  </si>
  <si>
    <t>Coconut Oil</t>
  </si>
  <si>
    <t>Oils</t>
  </si>
  <si>
    <t>Fish Oil</t>
  </si>
  <si>
    <t>capsule(s)</t>
  </si>
  <si>
    <t>Sports Research</t>
  </si>
  <si>
    <t>MCT Oil</t>
  </si>
  <si>
    <t>Coco Earth</t>
  </si>
  <si>
    <t>Olive Oil</t>
  </si>
  <si>
    <t>Butter</t>
  </si>
  <si>
    <t>Mainland</t>
  </si>
  <si>
    <t>pieces</t>
  </si>
  <si>
    <t>Well Naturally</t>
  </si>
  <si>
    <t>Other foods</t>
  </si>
  <si>
    <t>Dominos</t>
  </si>
  <si>
    <t>Pizza</t>
  </si>
  <si>
    <t>Chicken Breast</t>
  </si>
  <si>
    <t>Poultry</t>
  </si>
  <si>
    <t>eggs</t>
  </si>
  <si>
    <t>Manning Valley</t>
  </si>
  <si>
    <t>Eggs Jumbo</t>
  </si>
  <si>
    <t>Nixon</t>
  </si>
  <si>
    <t>Chicken tenderloins crumbed</t>
  </si>
  <si>
    <t>Chicken schnitzel crumbed</t>
  </si>
  <si>
    <t>Chicken Tenders Mild</t>
  </si>
  <si>
    <t>Macro</t>
  </si>
  <si>
    <t>Mayonnaise - fat</t>
  </si>
  <si>
    <t>Processed Foods</t>
  </si>
  <si>
    <t>Protein (Gold Standard)</t>
  </si>
  <si>
    <t>Optimum Nutrition</t>
  </si>
  <si>
    <t>Protein Powders</t>
  </si>
  <si>
    <t>Protein (Sierra Fit)</t>
  </si>
  <si>
    <t>scoop(s)</t>
  </si>
  <si>
    <t>iHerb</t>
  </si>
  <si>
    <t>Sierra Fit</t>
  </si>
  <si>
    <t>Aminoz</t>
  </si>
  <si>
    <t>Sauce</t>
  </si>
  <si>
    <t>Salmon wild (springwater)</t>
  </si>
  <si>
    <t>drained</t>
  </si>
  <si>
    <t>Seafood</t>
  </si>
  <si>
    <t>Smoked Oysters</t>
  </si>
  <si>
    <t>Tuna (springwater)</t>
  </si>
  <si>
    <t>packet</t>
  </si>
  <si>
    <t>John West</t>
  </si>
  <si>
    <t>Prawns</t>
  </si>
  <si>
    <t>Hoki Fillets Crumbed</t>
  </si>
  <si>
    <t>Salmon</t>
  </si>
  <si>
    <t>Mayo (Good Fat Mayo)</t>
  </si>
  <si>
    <t>Undivided Food</t>
  </si>
  <si>
    <t>Spreads</t>
  </si>
  <si>
    <t>roll</t>
  </si>
  <si>
    <t>Sushi hub</t>
  </si>
  <si>
    <t>Sushi</t>
  </si>
  <si>
    <t>sandwich</t>
  </si>
  <si>
    <t>Inari</t>
  </si>
  <si>
    <t>Broccoli</t>
  </si>
  <si>
    <t>Vegetables</t>
  </si>
  <si>
    <t>Carrot</t>
  </si>
  <si>
    <t>Cauliflower</t>
  </si>
  <si>
    <t>Peas</t>
  </si>
  <si>
    <t>Sweet Potato (boiled)</t>
  </si>
  <si>
    <t>Wasabi peas</t>
  </si>
  <si>
    <t>Savour</t>
  </si>
  <si>
    <t>California Gold Nutrition</t>
  </si>
  <si>
    <t>Supplements</t>
  </si>
  <si>
    <t>Chuck Steak</t>
  </si>
  <si>
    <t>Tuna Chilli</t>
  </si>
  <si>
    <t>tin</t>
  </si>
  <si>
    <t>Yellowfin Tuna</t>
  </si>
  <si>
    <t>Soups</t>
  </si>
  <si>
    <t>BBQ Sauce</t>
  </si>
  <si>
    <t>Tomato Sauce</t>
  </si>
  <si>
    <t>Bacon</t>
  </si>
  <si>
    <t>Chicken breast chili</t>
  </si>
  <si>
    <t>Turkey Tenders</t>
  </si>
  <si>
    <t>Garlic Chicken Fillets</t>
  </si>
  <si>
    <t>Bega</t>
  </si>
  <si>
    <t>Chicken Kebab</t>
  </si>
  <si>
    <t>Ocean Rise</t>
  </si>
  <si>
    <t>Deep Cove</t>
  </si>
  <si>
    <t>Bryne co</t>
  </si>
  <si>
    <t>YoPro caramel</t>
  </si>
  <si>
    <t>Danone</t>
  </si>
  <si>
    <t>Aldi</t>
  </si>
  <si>
    <t>Noshu</t>
  </si>
  <si>
    <t>Avalanche</t>
  </si>
  <si>
    <t>Grains</t>
  </si>
  <si>
    <t>Starting Date</t>
  </si>
  <si>
    <t>Week</t>
  </si>
  <si>
    <t>Weight</t>
  </si>
  <si>
    <t>Mon</t>
  </si>
  <si>
    <t>kCal intake</t>
  </si>
  <si>
    <t>weight</t>
  </si>
  <si>
    <t>activity</t>
  </si>
  <si>
    <t>Tue</t>
  </si>
  <si>
    <t>Wed</t>
  </si>
  <si>
    <t>Thur</t>
  </si>
  <si>
    <t>Fri</t>
  </si>
  <si>
    <t>Sat</t>
  </si>
  <si>
    <t>Sun</t>
  </si>
  <si>
    <t>Avg kCal intake</t>
  </si>
  <si>
    <t>Avg weight</t>
  </si>
  <si>
    <t>Avg activity</t>
  </si>
  <si>
    <t>Weekly intake - activity</t>
  </si>
  <si>
    <t>Avg intake - activity</t>
  </si>
  <si>
    <t>Weight difference</t>
  </si>
  <si>
    <t>Avg Weight diff</t>
  </si>
  <si>
    <t>Comments</t>
  </si>
  <si>
    <t>For cal deficit, aim for 1250 (intake - activity)</t>
  </si>
  <si>
    <t>For cal maintence, aim for 1750 (intake - activity)</t>
  </si>
  <si>
    <t>For cal surplus, aim for 2250 (intake - activity)</t>
  </si>
  <si>
    <t>Started creatine</t>
  </si>
  <si>
    <t>snow week</t>
  </si>
  <si>
    <t>Last Weeks Weight (kg)</t>
  </si>
  <si>
    <t>Goal weight change/week (kg)</t>
  </si>
  <si>
    <t>I should be consuming 2400 calories with 400cal physical exercise for fatloss.</t>
  </si>
  <si>
    <t>This Weeks Weight (kg)</t>
  </si>
  <si>
    <t>Cal alterations per kg</t>
  </si>
  <si>
    <t>Goal weight change</t>
  </si>
  <si>
    <t>Current Daily kCalorie Intake</t>
  </si>
  <si>
    <t>Fat Loss</t>
  </si>
  <si>
    <t>Current kCalorie Deficit</t>
  </si>
  <si>
    <t>Result</t>
  </si>
  <si>
    <t>difference</t>
  </si>
  <si>
    <t>Weight gain</t>
  </si>
  <si>
    <t>Maintenance</t>
  </si>
  <si>
    <t>Alter Calories</t>
  </si>
  <si>
    <t>Alter Activity</t>
  </si>
  <si>
    <t>steps</t>
  </si>
  <si>
    <t>Lose</t>
  </si>
  <si>
    <t>Gain</t>
  </si>
  <si>
    <t>Enter the following values:</t>
  </si>
  <si>
    <t>Custom TDEE</t>
  </si>
  <si>
    <t>Protein Intake</t>
  </si>
  <si>
    <t>Steps</t>
  </si>
  <si>
    <t>Lower Limit</t>
  </si>
  <si>
    <t>Upper Limit</t>
  </si>
  <si>
    <t>Activity (kCal)</t>
  </si>
  <si>
    <t>Deficit (kCal)</t>
  </si>
  <si>
    <t>Weight (kg)</t>
  </si>
  <si>
    <t>Breakdown</t>
  </si>
  <si>
    <t>Height (cm)</t>
  </si>
  <si>
    <t>Age</t>
  </si>
  <si>
    <t xml:space="preserve"> Male    Female</t>
  </si>
  <si>
    <t>BMR</t>
  </si>
  <si>
    <t>TDEE</t>
  </si>
  <si>
    <t>Daily kCal Intake</t>
  </si>
  <si>
    <t>Pounds to kg converter</t>
  </si>
  <si>
    <t>pounds</t>
  </si>
  <si>
    <t>kg</t>
  </si>
  <si>
    <t>Water Intake</t>
  </si>
  <si>
    <t>Inches to cm converter</t>
  </si>
  <si>
    <t>inches</t>
  </si>
  <si>
    <t>cm</t>
  </si>
  <si>
    <t>Feet to cm converter</t>
  </si>
  <si>
    <t>feet</t>
  </si>
  <si>
    <t>food</t>
  </si>
  <si>
    <t>potassium (mg)</t>
  </si>
  <si>
    <t>total</t>
  </si>
  <si>
    <t>yoghurt 300g</t>
  </si>
  <si>
    <t>frozen potato 200g</t>
  </si>
  <si>
    <t>frozen spinach 250g</t>
  </si>
  <si>
    <t>mackerel 425g</t>
  </si>
  <si>
    <t>Champignon Mushroom 225g</t>
  </si>
  <si>
    <t>coconut water 500ml</t>
  </si>
  <si>
    <t>large eggs x4</t>
  </si>
  <si>
    <t>blueberries 100g</t>
  </si>
  <si>
    <t>chicken 350g</t>
  </si>
  <si>
    <t xml:space="preserve">dark chocolate 6 pieces </t>
  </si>
</sst>
</file>

<file path=xl/styles.xml><?xml version="1.0" encoding="utf-8"?>
<styleSheet xmlns="http://schemas.openxmlformats.org/spreadsheetml/2006/main">
  <numFmts count="9">
    <numFmt numFmtId="42" formatCode="_-&quot;$&quot;* #,##0_-;\-&quot;$&quot;* #,##0_-;_-&quot;$&quot;* &quot;-&quot;_-;_-@_-"/>
    <numFmt numFmtId="41" formatCode="_-* #,##0_-;\-* #,##0_-;_-* &quot;-&quot;_-;_-@_-"/>
    <numFmt numFmtId="176" formatCode="0.0\ &quot;grams&quot;"/>
    <numFmt numFmtId="177" formatCode="_(&quot;$&quot;* #,##0.00_);_(&quot;$&quot;* \(#,##0.00\);_(&quot;$&quot;* &quot;-&quot;??_);_(@_)"/>
    <numFmt numFmtId="43" formatCode="_-* #,##0.00_-;\-* #,##0.00_-;_-* &quot;-&quot;??_-;_-@_-"/>
    <numFmt numFmtId="178" formatCode="0\ &quot;ml&quot;"/>
    <numFmt numFmtId="179" formatCode="0\ &quot;years&quot;"/>
    <numFmt numFmtId="180" formatCode="0&quot; kCal&quot;"/>
    <numFmt numFmtId="181" formatCode="0.0"/>
  </numFmts>
  <fonts count="35">
    <font>
      <sz val="11"/>
      <color theme="1"/>
      <name val="Calibri"/>
      <charset val="134"/>
      <scheme val="minor"/>
    </font>
    <font>
      <b/>
      <sz val="16"/>
      <color theme="0"/>
      <name val="Calibri"/>
      <charset val="134"/>
      <scheme val="minor"/>
    </font>
    <font>
      <b/>
      <sz val="11"/>
      <color theme="1"/>
      <name val="Calibri"/>
      <charset val="134"/>
      <scheme val="minor"/>
    </font>
    <font>
      <b/>
      <sz val="12"/>
      <color theme="1"/>
      <name val="Calibri"/>
      <charset val="134"/>
      <scheme val="minor"/>
    </font>
    <font>
      <b/>
      <sz val="20"/>
      <color theme="1"/>
      <name val="Calibri"/>
      <charset val="134"/>
      <scheme val="minor"/>
    </font>
    <font>
      <sz val="13"/>
      <color theme="1"/>
      <name val="Calibri"/>
      <charset val="134"/>
      <scheme val="minor"/>
    </font>
    <font>
      <b/>
      <sz val="11"/>
      <color theme="0"/>
      <name val="Calibri"/>
      <charset val="134"/>
      <scheme val="minor"/>
    </font>
    <font>
      <b/>
      <sz val="11"/>
      <name val="Calibri"/>
      <charset val="134"/>
      <scheme val="minor"/>
    </font>
    <font>
      <sz val="11"/>
      <color theme="0"/>
      <name val="Calibri"/>
      <charset val="134"/>
      <scheme val="minor"/>
    </font>
    <font>
      <sz val="11"/>
      <name val="Calibri"/>
      <charset val="134"/>
      <scheme val="minor"/>
    </font>
    <font>
      <sz val="14"/>
      <color theme="1"/>
      <name val="Calibri"/>
      <charset val="134"/>
      <scheme val="minor"/>
    </font>
    <font>
      <b/>
      <sz val="14"/>
      <color theme="0"/>
      <name val="Calibri"/>
      <charset val="134"/>
      <scheme val="minor"/>
    </font>
    <font>
      <b/>
      <sz val="12"/>
      <color theme="1"/>
      <name val="Arial Rounded MT Bold"/>
      <charset val="134"/>
    </font>
    <font>
      <sz val="12"/>
      <color theme="1"/>
      <name val="Calibri"/>
      <charset val="134"/>
      <scheme val="minor"/>
    </font>
    <font>
      <b/>
      <sz val="12"/>
      <color theme="0"/>
      <name val="Calibri"/>
      <charset val="134"/>
      <scheme val="minor"/>
    </font>
    <font>
      <sz val="11"/>
      <color theme="1"/>
      <name val="Calibri"/>
      <charset val="0"/>
      <scheme val="minor"/>
    </font>
    <font>
      <u/>
      <sz val="11"/>
      <color rgb="FF0000FF"/>
      <name val="Calibri"/>
      <charset val="0"/>
      <scheme val="minor"/>
    </font>
    <font>
      <b/>
      <sz val="11"/>
      <color rgb="FF3F3F3F"/>
      <name val="Calibri"/>
      <charset val="0"/>
      <scheme val="minor"/>
    </font>
    <font>
      <sz val="11"/>
      <color theme="0"/>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9"/>
      <name val="Tahoma"/>
      <charset val="134"/>
    </font>
  </fonts>
  <fills count="45">
    <fill>
      <patternFill patternType="none"/>
    </fill>
    <fill>
      <patternFill patternType="gray125"/>
    </fill>
    <fill>
      <patternFill patternType="solid">
        <fgColor theme="0"/>
        <bgColor indexed="64"/>
      </patternFill>
    </fill>
    <fill>
      <gradientFill degree="90">
        <stop position="0">
          <color rgb="FF00B0F0"/>
        </stop>
        <stop position="1">
          <color theme="4"/>
        </stop>
      </gradientFill>
    </fill>
    <fill>
      <patternFill patternType="solid">
        <fgColor rgb="FF0070C0"/>
        <bgColor indexed="64"/>
      </patternFill>
    </fill>
    <fill>
      <patternFill patternType="solid">
        <fgColor theme="9" tint="0.799981688894314"/>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92D050"/>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tint="-0.499984740745262"/>
        <bgColor indexed="64"/>
      </patternFill>
    </fill>
    <fill>
      <patternFill patternType="solid">
        <fgColor theme="7"/>
        <bgColor indexed="64"/>
      </patternFill>
    </fill>
    <fill>
      <patternFill patternType="solid">
        <fgColor rgb="FFFF0000"/>
        <bgColor indexed="64"/>
      </patternFill>
    </fill>
    <fill>
      <patternFill patternType="solid">
        <fgColor theme="5" tint="0.799981688894314"/>
        <bgColor indexed="64"/>
      </patternFill>
    </fill>
    <fill>
      <patternFill patternType="solid">
        <fgColor theme="0" tint="-0.149998474074526"/>
        <bgColor indexed="64"/>
      </patternFill>
    </fill>
    <fill>
      <patternFill patternType="solid">
        <fgColor theme="7" tint="0.399975585192419"/>
        <bgColor indexed="64"/>
      </patternFill>
    </fill>
    <fill>
      <patternFill patternType="solid">
        <fgColor theme="2"/>
        <bgColor indexed="64"/>
      </patternFill>
    </fill>
    <fill>
      <gradientFill degree="90">
        <stop position="0">
          <color theme="5"/>
        </stop>
        <stop position="1">
          <color rgb="FFFFC000"/>
        </stop>
      </gradientFill>
    </fill>
    <fill>
      <patternFill patternType="solid">
        <fgColor theme="8"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theme="8"/>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9"/>
        <bgColor indexed="64"/>
      </patternFill>
    </fill>
    <fill>
      <patternFill patternType="solid">
        <fgColor rgb="FFFFC7CE"/>
        <bgColor indexed="64"/>
      </patternFill>
    </fill>
    <fill>
      <patternFill patternType="solid">
        <fgColor theme="9" tint="0.399975585192419"/>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s>
  <borders count="2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5" fillId="24"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177" fontId="0" fillId="0" borderId="0" applyFont="0" applyFill="0" applyBorder="0" applyAlignment="0" applyProtection="0"/>
    <xf numFmtId="9" fontId="0" fillId="0" borderId="0" applyFont="0" applyFill="0" applyBorder="0" applyAlignment="0" applyProtection="0"/>
    <xf numFmtId="0" fontId="16" fillId="0" borderId="0" applyNumberFormat="0" applyFill="0" applyBorder="0" applyAlignment="0" applyProtection="0">
      <alignment vertical="center"/>
    </xf>
    <xf numFmtId="0" fontId="18" fillId="20" borderId="0" applyNumberFormat="0" applyBorder="0" applyAlignment="0" applyProtection="0">
      <alignment vertical="center"/>
    </xf>
    <xf numFmtId="0" fontId="19" fillId="0" borderId="0" applyNumberFormat="0" applyFill="0" applyBorder="0" applyAlignment="0" applyProtection="0">
      <alignment vertical="center"/>
    </xf>
    <xf numFmtId="0" fontId="20" fillId="27" borderId="16" applyNumberFormat="0" applyAlignment="0" applyProtection="0">
      <alignment vertical="center"/>
    </xf>
    <xf numFmtId="0" fontId="21" fillId="0" borderId="17" applyNumberFormat="0" applyFill="0" applyAlignment="0" applyProtection="0">
      <alignment vertical="center"/>
    </xf>
    <xf numFmtId="0" fontId="0" fillId="28" borderId="18" applyNumberFormat="0" applyFont="0" applyAlignment="0" applyProtection="0">
      <alignment vertical="center"/>
    </xf>
    <xf numFmtId="0" fontId="15" fillId="29" borderId="0" applyNumberFormat="0" applyBorder="0" applyAlignment="0" applyProtection="0">
      <alignment vertical="center"/>
    </xf>
    <xf numFmtId="0" fontId="22" fillId="0" borderId="0" applyNumberFormat="0" applyFill="0" applyBorder="0" applyAlignment="0" applyProtection="0">
      <alignment vertical="center"/>
    </xf>
    <xf numFmtId="0" fontId="15" fillId="30"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7" applyNumberFormat="0" applyFill="0" applyAlignment="0" applyProtection="0">
      <alignment vertical="center"/>
    </xf>
    <xf numFmtId="0" fontId="26" fillId="0" borderId="19" applyNumberFormat="0" applyFill="0" applyAlignment="0" applyProtection="0">
      <alignment vertical="center"/>
    </xf>
    <xf numFmtId="0" fontId="26" fillId="0" borderId="0" applyNumberFormat="0" applyFill="0" applyBorder="0" applyAlignment="0" applyProtection="0">
      <alignment vertical="center"/>
    </xf>
    <xf numFmtId="0" fontId="27" fillId="31" borderId="20" applyNumberFormat="0" applyAlignment="0" applyProtection="0">
      <alignment vertical="center"/>
    </xf>
    <xf numFmtId="0" fontId="18" fillId="32" borderId="0" applyNumberFormat="0" applyBorder="0" applyAlignment="0" applyProtection="0">
      <alignment vertical="center"/>
    </xf>
    <xf numFmtId="0" fontId="28" fillId="33" borderId="0" applyNumberFormat="0" applyBorder="0" applyAlignment="0" applyProtection="0">
      <alignment vertical="center"/>
    </xf>
    <xf numFmtId="0" fontId="17" fillId="25" borderId="15" applyNumberFormat="0" applyAlignment="0" applyProtection="0">
      <alignment vertical="center"/>
    </xf>
    <xf numFmtId="0" fontId="15" fillId="34" borderId="0" applyNumberFormat="0" applyBorder="0" applyAlignment="0" applyProtection="0">
      <alignment vertical="center"/>
    </xf>
    <xf numFmtId="0" fontId="29" fillId="25" borderId="20" applyNumberFormat="0" applyAlignment="0" applyProtection="0">
      <alignment vertical="center"/>
    </xf>
    <xf numFmtId="0" fontId="30" fillId="0" borderId="21" applyNumberFormat="0" applyFill="0" applyAlignment="0" applyProtection="0">
      <alignment vertical="center"/>
    </xf>
    <xf numFmtId="0" fontId="31" fillId="0" borderId="22" applyNumberFormat="0" applyFill="0" applyAlignment="0" applyProtection="0">
      <alignment vertical="center"/>
    </xf>
    <xf numFmtId="0" fontId="32" fillId="36" borderId="0" applyNumberFormat="0" applyBorder="0" applyAlignment="0" applyProtection="0">
      <alignment vertical="center"/>
    </xf>
    <xf numFmtId="0" fontId="33" fillId="38" borderId="0" applyNumberFormat="0" applyBorder="0" applyAlignment="0" applyProtection="0">
      <alignment vertical="center"/>
    </xf>
    <xf numFmtId="0" fontId="18" fillId="39" borderId="0" applyNumberFormat="0" applyBorder="0" applyAlignment="0" applyProtection="0">
      <alignment vertical="center"/>
    </xf>
    <xf numFmtId="0" fontId="15" fillId="9" borderId="0" applyNumberFormat="0" applyBorder="0" applyAlignment="0" applyProtection="0">
      <alignment vertical="center"/>
    </xf>
    <xf numFmtId="0" fontId="18" fillId="40" borderId="0" applyNumberFormat="0" applyBorder="0" applyAlignment="0" applyProtection="0">
      <alignment vertical="center"/>
    </xf>
    <xf numFmtId="0" fontId="18" fillId="41" borderId="0" applyNumberFormat="0" applyBorder="0" applyAlignment="0" applyProtection="0">
      <alignment vertical="center"/>
    </xf>
    <xf numFmtId="0" fontId="15" fillId="18" borderId="0" applyNumberFormat="0" applyBorder="0" applyAlignment="0" applyProtection="0">
      <alignment vertical="center"/>
    </xf>
    <xf numFmtId="0" fontId="15" fillId="5" borderId="0" applyNumberFormat="0" applyBorder="0" applyAlignment="0" applyProtection="0">
      <alignment vertical="center"/>
    </xf>
    <xf numFmtId="0" fontId="18" fillId="42" borderId="0" applyNumberFormat="0" applyBorder="0" applyAlignment="0" applyProtection="0">
      <alignment vertical="center"/>
    </xf>
    <xf numFmtId="0" fontId="18" fillId="43" borderId="0" applyNumberFormat="0" applyBorder="0" applyAlignment="0" applyProtection="0">
      <alignment vertical="center"/>
    </xf>
    <xf numFmtId="0" fontId="15" fillId="44" borderId="0" applyNumberFormat="0" applyBorder="0" applyAlignment="0" applyProtection="0">
      <alignment vertical="center"/>
    </xf>
    <xf numFmtId="0" fontId="18" fillId="16" borderId="0" applyNumberFormat="0" applyBorder="0" applyAlignment="0" applyProtection="0">
      <alignment vertical="center"/>
    </xf>
    <xf numFmtId="0" fontId="15" fillId="14" borderId="0" applyNumberFormat="0" applyBorder="0" applyAlignment="0" applyProtection="0">
      <alignment vertical="center"/>
    </xf>
    <xf numFmtId="0" fontId="15" fillId="10" borderId="0" applyNumberFormat="0" applyBorder="0" applyAlignment="0" applyProtection="0">
      <alignment vertical="center"/>
    </xf>
    <xf numFmtId="0" fontId="18" fillId="26" borderId="0" applyNumberFormat="0" applyBorder="0" applyAlignment="0" applyProtection="0">
      <alignment vertical="center"/>
    </xf>
    <xf numFmtId="0" fontId="15" fillId="13" borderId="0" applyNumberFormat="0" applyBorder="0" applyAlignment="0" applyProtection="0">
      <alignment vertical="center"/>
    </xf>
    <xf numFmtId="0" fontId="18" fillId="23" borderId="0" applyNumberFormat="0" applyBorder="0" applyAlignment="0" applyProtection="0">
      <alignment vertical="center"/>
    </xf>
    <xf numFmtId="0" fontId="18" fillId="35" borderId="0" applyNumberFormat="0" applyBorder="0" applyAlignment="0" applyProtection="0">
      <alignment vertical="center"/>
    </xf>
    <xf numFmtId="0" fontId="15" fillId="12" borderId="0" applyNumberFormat="0" applyBorder="0" applyAlignment="0" applyProtection="0">
      <alignment vertical="center"/>
    </xf>
    <xf numFmtId="0" fontId="18" fillId="37" borderId="0" applyNumberFormat="0" applyBorder="0" applyAlignment="0" applyProtection="0">
      <alignment vertical="center"/>
    </xf>
  </cellStyleXfs>
  <cellXfs count="131">
    <xf numFmtId="0" fontId="0" fillId="0" borderId="0" xfId="0"/>
    <xf numFmtId="0" fontId="0" fillId="0" borderId="0" xfId="0" applyNumberFormat="1"/>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0" fillId="4" borderId="4" xfId="0" applyFill="1" applyBorder="1" applyAlignment="1">
      <alignment horizontal="center" vertical="center"/>
    </xf>
    <xf numFmtId="0" fontId="0" fillId="4" borderId="0" xfId="0" applyFill="1" applyBorder="1" applyAlignment="1">
      <alignment horizontal="center" vertical="center"/>
    </xf>
    <xf numFmtId="0" fontId="0" fillId="4" borderId="5" xfId="0" applyFill="1" applyBorder="1" applyAlignment="1">
      <alignment horizontal="center" vertical="center"/>
    </xf>
    <xf numFmtId="0" fontId="2" fillId="5" borderId="6" xfId="0" applyFont="1" applyFill="1" applyBorder="1" applyAlignment="1">
      <alignment horizontal="center" vertical="center"/>
    </xf>
    <xf numFmtId="0" fontId="2" fillId="6" borderId="6" xfId="0" applyFont="1" applyFill="1" applyBorder="1" applyAlignment="1">
      <alignment horizontal="center" vertical="center"/>
    </xf>
    <xf numFmtId="0" fontId="0" fillId="7" borderId="6" xfId="0" applyFont="1" applyFill="1" applyBorder="1" applyAlignment="1" applyProtection="1">
      <alignment horizontal="center" vertical="center"/>
      <protection locked="0"/>
    </xf>
    <xf numFmtId="0" fontId="0" fillId="7" borderId="6" xfId="0" applyNumberFormat="1" applyFill="1" applyBorder="1" applyAlignment="1" applyProtection="1">
      <alignment horizontal="center" vertical="center"/>
      <protection locked="0"/>
    </xf>
    <xf numFmtId="0" fontId="0" fillId="7" borderId="0" xfId="0" applyFill="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2" borderId="0" xfId="0" applyFill="1" applyAlignment="1">
      <alignment horizontal="center" vertical="center"/>
    </xf>
    <xf numFmtId="0" fontId="2" fillId="6" borderId="6" xfId="0" applyFont="1" applyFill="1" applyBorder="1" applyAlignment="1">
      <alignment horizontal="center" vertical="center" wrapText="1"/>
    </xf>
    <xf numFmtId="0" fontId="0" fillId="8" borderId="6" xfId="0" applyFill="1" applyBorder="1" applyAlignment="1">
      <alignment horizontal="center" vertical="center"/>
    </xf>
    <xf numFmtId="1" fontId="2" fillId="8" borderId="6" xfId="0" applyNumberFormat="1"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11"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horizontal="center" vertical="center" wrapText="1"/>
    </xf>
    <xf numFmtId="0" fontId="0" fillId="7" borderId="6" xfId="0" applyFill="1" applyBorder="1" applyAlignment="1" applyProtection="1">
      <alignment horizontal="center" vertical="center"/>
      <protection locked="0"/>
    </xf>
    <xf numFmtId="1" fontId="0" fillId="8" borderId="6" xfId="0" applyNumberFormat="1" applyFill="1" applyBorder="1" applyAlignment="1">
      <alignment horizontal="center" vertical="center"/>
    </xf>
    <xf numFmtId="0" fontId="0" fillId="2" borderId="6" xfId="0" applyFill="1" applyBorder="1" applyAlignment="1">
      <alignment horizontal="center" vertical="center"/>
    </xf>
    <xf numFmtId="9" fontId="0" fillId="7" borderId="6" xfId="6" applyFont="1" applyFill="1" applyBorder="1" applyAlignment="1" applyProtection="1">
      <alignment horizontal="center" vertical="center"/>
      <protection locked="0"/>
    </xf>
    <xf numFmtId="0" fontId="4" fillId="9" borderId="0" xfId="0" applyFont="1" applyFill="1" applyAlignment="1">
      <alignment horizontal="center" vertical="center"/>
    </xf>
    <xf numFmtId="0" fontId="5" fillId="10" borderId="0" xfId="0" applyFont="1" applyFill="1" applyAlignment="1">
      <alignment horizontal="center" vertical="center" wrapText="1"/>
    </xf>
    <xf numFmtId="0" fontId="5" fillId="9" borderId="0" xfId="0" applyFont="1" applyFill="1" applyAlignment="1">
      <alignment horizontal="center" vertical="center" wrapText="1"/>
    </xf>
    <xf numFmtId="177" fontId="0" fillId="2" borderId="0" xfId="5" applyFont="1" applyFill="1" applyAlignment="1">
      <alignment horizontal="center" vertical="center"/>
    </xf>
    <xf numFmtId="0" fontId="5" fillId="5" borderId="0" xfId="0" applyFont="1" applyFill="1" applyAlignment="1">
      <alignment horizontal="center" vertical="center" wrapText="1"/>
    </xf>
    <xf numFmtId="0" fontId="0" fillId="2" borderId="0" xfId="0" applyFill="1" applyProtection="1">
      <protection locked="0"/>
    </xf>
    <xf numFmtId="176" fontId="0" fillId="8" borderId="6" xfId="0" applyNumberFormat="1" applyFill="1" applyBorder="1" applyAlignment="1">
      <alignment horizontal="center" vertical="center" wrapText="1"/>
    </xf>
    <xf numFmtId="0" fontId="0" fillId="8" borderId="6" xfId="0" applyNumberFormat="1" applyFill="1" applyBorder="1" applyAlignment="1">
      <alignment horizontal="center" vertical="center"/>
    </xf>
    <xf numFmtId="0" fontId="6" fillId="3" borderId="6" xfId="0" applyFont="1" applyFill="1" applyBorder="1" applyAlignment="1">
      <alignment horizontal="center" vertical="center"/>
    </xf>
    <xf numFmtId="0" fontId="0" fillId="2" borderId="0" xfId="0" applyFont="1" applyFill="1"/>
    <xf numFmtId="2" fontId="0" fillId="7" borderId="6" xfId="0" applyNumberFormat="1" applyFont="1" applyFill="1" applyBorder="1" applyAlignment="1" applyProtection="1">
      <alignment horizontal="center"/>
      <protection locked="0"/>
    </xf>
    <xf numFmtId="0" fontId="6" fillId="11" borderId="6" xfId="0" applyFont="1" applyFill="1" applyBorder="1" applyAlignment="1">
      <alignment horizontal="center" vertical="center"/>
    </xf>
    <xf numFmtId="0" fontId="7" fillId="12" borderId="6" xfId="0" applyFont="1" applyFill="1" applyBorder="1" applyAlignment="1">
      <alignment horizontal="center" vertical="center"/>
    </xf>
    <xf numFmtId="0" fontId="3" fillId="13" borderId="0" xfId="0" applyFont="1" applyFill="1" applyAlignment="1">
      <alignment horizontal="center"/>
    </xf>
    <xf numFmtId="1" fontId="0" fillId="7" borderId="6" xfId="0" applyNumberFormat="1" applyFont="1" applyFill="1" applyBorder="1" applyAlignment="1">
      <alignment horizontal="center"/>
    </xf>
    <xf numFmtId="0" fontId="5" fillId="14" borderId="0" xfId="0" applyFont="1" applyFill="1" applyBorder="1" applyAlignment="1">
      <alignment horizontal="center" vertical="center" wrapText="1"/>
    </xf>
    <xf numFmtId="0" fontId="5" fillId="14" borderId="0" xfId="0" applyFont="1" applyFill="1" applyAlignment="1">
      <alignment horizontal="center" vertical="center" wrapText="1"/>
    </xf>
    <xf numFmtId="0" fontId="8" fillId="15" borderId="6" xfId="0" applyFont="1" applyFill="1" applyBorder="1" applyAlignment="1">
      <alignment horizontal="center"/>
    </xf>
    <xf numFmtId="0" fontId="9" fillId="14" borderId="6" xfId="0" applyFont="1" applyFill="1" applyBorder="1" applyAlignment="1">
      <alignment horizontal="center" vertical="center"/>
    </xf>
    <xf numFmtId="0" fontId="0" fillId="7" borderId="6" xfId="0" applyFill="1" applyBorder="1" applyAlignment="1" applyProtection="1">
      <alignment horizontal="center"/>
      <protection locked="0"/>
    </xf>
    <xf numFmtId="0" fontId="0" fillId="6" borderId="6" xfId="0" applyFill="1" applyBorder="1" applyAlignment="1">
      <alignment horizontal="center" vertical="center" wrapText="1"/>
    </xf>
    <xf numFmtId="1" fontId="0" fillId="7" borderId="6" xfId="0" applyNumberFormat="1" applyFont="1" applyFill="1" applyBorder="1" applyAlignment="1" applyProtection="1">
      <alignment horizontal="center"/>
      <protection locked="0"/>
    </xf>
    <xf numFmtId="2" fontId="0" fillId="7" borderId="6" xfId="0" applyNumberFormat="1" applyFont="1" applyFill="1" applyBorder="1" applyAlignment="1">
      <alignment horizontal="center"/>
    </xf>
    <xf numFmtId="0" fontId="0" fillId="0" borderId="0" xfId="0" applyProtection="1">
      <protection locked="0"/>
    </xf>
    <xf numFmtId="0" fontId="0" fillId="0" borderId="6" xfId="0" applyBorder="1" applyAlignment="1">
      <alignment horizontal="center"/>
    </xf>
    <xf numFmtId="0" fontId="8" fillId="15" borderId="0" xfId="0" applyFont="1" applyFill="1" applyAlignment="1">
      <alignment horizontal="center"/>
    </xf>
    <xf numFmtId="2" fontId="0" fillId="0" borderId="6" xfId="0" applyNumberFormat="1" applyBorder="1" applyAlignment="1">
      <alignment horizontal="center"/>
    </xf>
    <xf numFmtId="0" fontId="7" fillId="12" borderId="1" xfId="0" applyFont="1" applyFill="1" applyBorder="1" applyAlignment="1">
      <alignment horizontal="center" vertical="center"/>
    </xf>
    <xf numFmtId="1" fontId="0" fillId="16" borderId="6" xfId="0" applyNumberFormat="1" applyFont="1" applyFill="1" applyBorder="1" applyAlignment="1">
      <alignment horizontal="center"/>
    </xf>
    <xf numFmtId="0" fontId="6" fillId="17" borderId="0" xfId="0" applyFont="1" applyFill="1" applyAlignment="1">
      <alignment horizontal="center"/>
    </xf>
    <xf numFmtId="0" fontId="2" fillId="11" borderId="0" xfId="0" applyFont="1" applyFill="1" applyAlignment="1">
      <alignment horizontal="center"/>
    </xf>
    <xf numFmtId="0" fontId="0" fillId="0" borderId="0" xfId="0" applyAlignment="1">
      <alignment horizontal="center"/>
    </xf>
    <xf numFmtId="58" fontId="0" fillId="0" borderId="0" xfId="0" applyNumberFormat="1" applyAlignment="1">
      <alignment horizontal="center"/>
    </xf>
    <xf numFmtId="0" fontId="0" fillId="6" borderId="12" xfId="0" applyFill="1" applyBorder="1" applyAlignment="1">
      <alignment horizontal="center"/>
    </xf>
    <xf numFmtId="0" fontId="0" fillId="18" borderId="0" xfId="0" applyFill="1"/>
    <xf numFmtId="0" fontId="2" fillId="18" borderId="0" xfId="0" applyFont="1" applyFill="1" applyAlignment="1">
      <alignment horizontal="center"/>
    </xf>
    <xf numFmtId="0" fontId="0" fillId="7" borderId="0" xfId="0" applyFill="1" applyAlignment="1">
      <alignment horizontal="center"/>
    </xf>
    <xf numFmtId="0" fontId="0" fillId="19" borderId="0" xfId="0" applyFill="1" applyAlignment="1">
      <alignment horizontal="center"/>
    </xf>
    <xf numFmtId="0" fontId="0" fillId="11" borderId="0" xfId="0" applyFill="1" applyAlignment="1">
      <alignment horizontal="center"/>
    </xf>
    <xf numFmtId="0" fontId="0" fillId="5" borderId="0" xfId="0" applyFill="1" applyAlignment="1">
      <alignment horizontal="center"/>
    </xf>
    <xf numFmtId="0" fontId="0" fillId="16" borderId="0" xfId="0" applyFill="1" applyAlignment="1">
      <alignment horizontal="center"/>
    </xf>
    <xf numFmtId="0" fontId="0" fillId="18" borderId="0" xfId="0" applyFill="1" applyAlignment="1">
      <alignment horizontal="center"/>
    </xf>
    <xf numFmtId="2" fontId="0" fillId="0" borderId="0" xfId="0" applyNumberFormat="1"/>
    <xf numFmtId="1" fontId="0" fillId="0" borderId="0" xfId="0" applyNumberFormat="1"/>
    <xf numFmtId="0" fontId="0" fillId="0" borderId="0" xfId="0" applyAlignment="1">
      <alignment horizontal="left"/>
    </xf>
    <xf numFmtId="0" fontId="0" fillId="0" borderId="0" xfId="0" applyAlignment="1" applyProtection="1">
      <alignment horizontal="center"/>
      <protection locked="0"/>
    </xf>
    <xf numFmtId="0" fontId="0" fillId="0" borderId="4" xfId="0" applyBorder="1" applyProtection="1">
      <protection locked="0"/>
    </xf>
    <xf numFmtId="0" fontId="7" fillId="20" borderId="0" xfId="0" applyFont="1" applyFill="1" applyAlignment="1" applyProtection="1">
      <alignment horizontal="center"/>
      <protection locked="0"/>
    </xf>
    <xf numFmtId="0" fontId="7" fillId="12" borderId="6" xfId="0" applyFont="1" applyFill="1" applyBorder="1" applyAlignment="1" applyProtection="1">
      <alignment horizontal="center"/>
      <protection locked="0"/>
    </xf>
    <xf numFmtId="178" fontId="0" fillId="0" borderId="0" xfId="0" applyNumberFormat="1" applyAlignment="1" applyProtection="1">
      <alignment horizontal="center"/>
      <protection locked="0"/>
    </xf>
    <xf numFmtId="0" fontId="0" fillId="7" borderId="6" xfId="0" applyFont="1" applyFill="1" applyBorder="1" applyAlignment="1" applyProtection="1">
      <alignment horizontal="center"/>
      <protection locked="0"/>
    </xf>
    <xf numFmtId="0" fontId="0" fillId="0" borderId="0" xfId="0" applyFont="1" applyAlignment="1" applyProtection="1">
      <alignment horizontal="center"/>
      <protection locked="0"/>
    </xf>
    <xf numFmtId="0" fontId="7" fillId="12" borderId="1" xfId="0" applyFont="1" applyFill="1" applyBorder="1" applyAlignment="1" applyProtection="1">
      <alignment horizontal="center"/>
      <protection locked="0"/>
    </xf>
    <xf numFmtId="0" fontId="7" fillId="12" borderId="4" xfId="0" applyFont="1" applyFill="1" applyBorder="1" applyAlignment="1" applyProtection="1">
      <alignment horizontal="center"/>
      <protection locked="0"/>
    </xf>
    <xf numFmtId="0" fontId="0" fillId="0" borderId="0" xfId="0" applyBorder="1" applyProtection="1">
      <protection locked="0"/>
    </xf>
    <xf numFmtId="0" fontId="0" fillId="7" borderId="6" xfId="0" applyFont="1" applyFill="1" applyBorder="1" applyAlignment="1">
      <alignment horizontal="center"/>
    </xf>
    <xf numFmtId="0" fontId="10" fillId="0" borderId="0" xfId="0" applyFont="1"/>
    <xf numFmtId="0" fontId="0" fillId="0" borderId="0" xfId="0" applyAlignment="1">
      <alignment horizontal="center" vertical="center" wrapText="1"/>
    </xf>
    <xf numFmtId="0" fontId="0" fillId="0" borderId="0" xfId="0" applyAlignment="1">
      <alignment horizontal="center" vertical="center"/>
    </xf>
    <xf numFmtId="177" fontId="0" fillId="0" borderId="0" xfId="5" applyFont="1" applyAlignment="1">
      <alignment horizontal="center" vertical="center"/>
    </xf>
    <xf numFmtId="0" fontId="0" fillId="2" borderId="0" xfId="0" applyFill="1" applyAlignment="1">
      <alignment horizontal="center" vertical="center" wrapText="1"/>
    </xf>
    <xf numFmtId="179" fontId="0" fillId="2" borderId="0" xfId="0" applyNumberFormat="1" applyFill="1" applyAlignment="1">
      <alignment horizontal="center" vertical="center"/>
    </xf>
    <xf numFmtId="1" fontId="9" fillId="8" borderId="6" xfId="0" applyNumberFormat="1" applyFont="1" applyFill="1" applyBorder="1" applyAlignment="1">
      <alignment horizontal="center" vertical="center"/>
    </xf>
    <xf numFmtId="9" fontId="0" fillId="8" borderId="6" xfId="6" applyFont="1" applyFill="1" applyBorder="1" applyAlignment="1">
      <alignment horizontal="center" vertical="center"/>
    </xf>
    <xf numFmtId="0" fontId="0" fillId="21" borderId="13" xfId="0" applyFill="1" applyBorder="1" applyAlignment="1">
      <alignment horizontal="center" vertical="center"/>
    </xf>
    <xf numFmtId="0" fontId="2" fillId="13" borderId="13" xfId="0" applyFont="1" applyFill="1" applyBorder="1" applyAlignment="1">
      <alignment horizontal="center" vertical="center"/>
    </xf>
    <xf numFmtId="180" fontId="0" fillId="18" borderId="13" xfId="0" applyNumberFormat="1" applyFill="1" applyBorder="1" applyAlignment="1">
      <alignment horizontal="center" vertical="center" wrapText="1"/>
    </xf>
    <xf numFmtId="0" fontId="2" fillId="13" borderId="13" xfId="0" applyFont="1" applyFill="1" applyBorder="1" applyAlignment="1">
      <alignment horizontal="center" vertical="center" wrapText="1"/>
    </xf>
    <xf numFmtId="0" fontId="0" fillId="2" borderId="13" xfId="0" applyFill="1" applyBorder="1" applyAlignment="1">
      <alignment horizontal="center" vertical="center" wrapText="1"/>
    </xf>
    <xf numFmtId="0" fontId="2" fillId="13" borderId="14" xfId="0" applyFont="1" applyFill="1" applyBorder="1" applyAlignment="1">
      <alignment horizontal="center" vertical="center"/>
    </xf>
    <xf numFmtId="180" fontId="0" fillId="18" borderId="14" xfId="0" applyNumberFormat="1" applyFill="1" applyBorder="1" applyAlignment="1">
      <alignment horizontal="center" vertical="center" wrapText="1"/>
    </xf>
    <xf numFmtId="0" fontId="2" fillId="13"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2" fillId="2" borderId="0" xfId="0" applyFont="1" applyFill="1" applyAlignment="1">
      <alignment horizontal="center" vertical="center"/>
    </xf>
    <xf numFmtId="0" fontId="10" fillId="2" borderId="0" xfId="0" applyFont="1" applyFill="1"/>
    <xf numFmtId="0" fontId="11" fillId="3" borderId="6" xfId="0" applyFont="1" applyFill="1" applyBorder="1" applyAlignment="1">
      <alignment horizontal="center" vertical="center"/>
    </xf>
    <xf numFmtId="0" fontId="2" fillId="21" borderId="6" xfId="0" applyFont="1" applyFill="1" applyBorder="1" applyAlignment="1">
      <alignment horizontal="center" vertical="center" wrapText="1"/>
    </xf>
    <xf numFmtId="0" fontId="2" fillId="21" borderId="6" xfId="0" applyFont="1" applyFill="1" applyBorder="1" applyAlignment="1">
      <alignment horizontal="center" vertical="center"/>
    </xf>
    <xf numFmtId="0" fontId="2" fillId="0" borderId="6" xfId="0" applyFont="1" applyBorder="1" applyAlignment="1">
      <alignment horizontal="center" vertical="center"/>
    </xf>
    <xf numFmtId="0" fontId="0" fillId="7" borderId="6" xfId="0" applyFill="1" applyBorder="1" applyAlignment="1" applyProtection="1">
      <alignment horizontal="center" vertical="center" wrapText="1"/>
      <protection locked="0"/>
    </xf>
    <xf numFmtId="2" fontId="0" fillId="7" borderId="6" xfId="0" applyNumberFormat="1" applyFill="1" applyBorder="1" applyAlignment="1" applyProtection="1">
      <alignment horizontal="center" vertical="center"/>
      <protection locked="0"/>
    </xf>
    <xf numFmtId="0" fontId="0" fillId="19" borderId="6" xfId="0" applyFill="1" applyBorder="1" applyAlignment="1">
      <alignment horizontal="center" vertical="center"/>
    </xf>
    <xf numFmtId="181" fontId="0" fillId="19" borderId="6" xfId="0" applyNumberFormat="1" applyFill="1" applyBorder="1" applyAlignment="1">
      <alignment horizontal="center" vertical="center"/>
    </xf>
    <xf numFmtId="0" fontId="0" fillId="7" borderId="6" xfId="0" applyFont="1" applyFill="1" applyBorder="1" applyAlignment="1">
      <alignment horizontal="center" vertical="center" wrapText="1"/>
    </xf>
    <xf numFmtId="2" fontId="0" fillId="7" borderId="6" xfId="0" applyNumberFormat="1" applyFont="1" applyFill="1" applyBorder="1" applyAlignment="1" applyProtection="1">
      <alignment horizontal="center" vertical="center"/>
      <protection locked="0"/>
    </xf>
    <xf numFmtId="2" fontId="0" fillId="7" borderId="6" xfId="0" applyNumberFormat="1" applyFont="1" applyFill="1" applyBorder="1" applyAlignment="1" applyProtection="1">
      <alignment horizontal="center" vertical="center" wrapText="1"/>
      <protection locked="0"/>
    </xf>
    <xf numFmtId="0" fontId="0" fillId="7" borderId="6" xfId="0" applyFont="1" applyFill="1" applyBorder="1" applyAlignment="1" applyProtection="1">
      <alignment horizontal="center"/>
      <protection locked="0"/>
    </xf>
    <xf numFmtId="0" fontId="0" fillId="7" borderId="6" xfId="0" applyFont="1" applyFill="1" applyBorder="1" applyAlignment="1">
      <alignment horizontal="center" vertical="center"/>
    </xf>
    <xf numFmtId="0" fontId="0" fillId="7" borderId="6" xfId="0" applyFill="1" applyBorder="1" applyAlignment="1" applyProtection="1">
      <alignment horizontal="center" wrapText="1"/>
      <protection locked="0"/>
    </xf>
    <xf numFmtId="2" fontId="0" fillId="7" borderId="6" xfId="0" applyNumberFormat="1" applyFill="1" applyBorder="1" applyAlignment="1" applyProtection="1">
      <alignment horizontal="center" vertical="center" wrapText="1"/>
      <protection locked="0"/>
    </xf>
    <xf numFmtId="0" fontId="12" fillId="22" borderId="6" xfId="0" applyFont="1" applyFill="1" applyBorder="1" applyAlignment="1">
      <alignment horizontal="center" vertical="center"/>
    </xf>
    <xf numFmtId="0" fontId="13" fillId="14" borderId="6" xfId="0" applyFont="1" applyFill="1" applyBorder="1" applyAlignment="1">
      <alignment horizontal="center" vertical="center" wrapText="1"/>
    </xf>
    <xf numFmtId="0" fontId="14" fillId="3" borderId="6" xfId="0" applyFont="1" applyFill="1" applyBorder="1" applyAlignment="1">
      <alignment horizontal="center" vertical="center"/>
    </xf>
    <xf numFmtId="177" fontId="10" fillId="2" borderId="0" xfId="5" applyFont="1" applyFill="1" applyAlignment="1">
      <alignment horizontal="center" vertical="center"/>
    </xf>
    <xf numFmtId="181" fontId="0" fillId="23" borderId="6" xfId="0" applyNumberFormat="1" applyFill="1" applyBorder="1" applyAlignment="1">
      <alignment horizontal="center" vertical="center"/>
    </xf>
    <xf numFmtId="9" fontId="0" fillId="0" borderId="6" xfId="6" applyNumberFormat="1" applyFont="1" applyBorder="1" applyAlignment="1">
      <alignment horizontal="center" vertical="center"/>
    </xf>
    <xf numFmtId="181" fontId="0" fillId="0" borderId="6" xfId="0" applyNumberFormat="1" applyBorder="1" applyAlignment="1">
      <alignment horizontal="center" vertical="center"/>
    </xf>
    <xf numFmtId="0" fontId="0" fillId="7" borderId="6" xfId="0" applyFont="1" applyFill="1" applyBorder="1" applyAlignment="1" applyProtection="1">
      <alignment horizontal="center" vertical="center" wrapText="1"/>
      <protection locked="0"/>
    </xf>
    <xf numFmtId="2" fontId="0" fillId="23" borderId="6" xfId="0" applyNumberFormat="1" applyFill="1" applyBorder="1" applyAlignment="1">
      <alignment horizontal="center" vertical="center"/>
    </xf>
    <xf numFmtId="1" fontId="0" fillId="0" borderId="6" xfId="0" applyNumberForma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6">
    <dxf>
      <font>
        <color rgb="FF9C5700"/>
      </font>
      <fill>
        <patternFill patternType="solid">
          <bgColor rgb="FFFFEB9C"/>
        </patternFill>
      </fill>
    </dxf>
    <dxf>
      <font>
        <color rgb="FF9C0006"/>
      </font>
      <fill>
        <patternFill patternType="solid">
          <bgColor rgb="FFFFC7CE"/>
        </patternFill>
      </fill>
    </dxf>
    <dxf>
      <fill>
        <patternFill patternType="solid">
          <bgColor theme="7" tint="0.599963377788629"/>
        </patternFill>
      </fill>
    </dxf>
    <dxf>
      <font>
        <color theme="0"/>
      </font>
      <fill>
        <patternFill patternType="solid">
          <bgColor rgb="FFFF0000"/>
        </patternFill>
      </fill>
    </dxf>
    <dxf>
      <fill>
        <patternFill patternType="solid">
          <bgColor rgb="FFFFFF00"/>
        </patternFill>
      </fill>
      <alignment horizontal="center"/>
      <border>
        <left style="thin">
          <color auto="1"/>
        </left>
        <right style="thin">
          <color auto="1"/>
        </right>
        <top style="thin">
          <color auto="1"/>
        </top>
        <bottom style="thin">
          <color auto="1"/>
        </bottom>
      </border>
      <protection locked="0"/>
    </dxf>
    <dxf>
      <alignment horizontal="center"/>
      <protection locked="0"/>
    </dxf>
    <dxf>
      <alignment horizontal="center"/>
      <protection locked="0"/>
    </dxf>
    <dxf>
      <alignment horizontal="center"/>
      <protection locked="0"/>
    </dxf>
    <dxf>
      <alignment horizontal="center"/>
      <protection locked="0"/>
    </dxf>
    <dxf>
      <alignment horizontal="center"/>
      <protection locked="0"/>
    </dxf>
    <dxf>
      <alignment horizontal="center"/>
      <protection locked="0"/>
    </dxf>
    <dxf>
      <alignment horizontal="center"/>
      <protection locked="0"/>
    </dxf>
    <dxf>
      <alignment horizontal="center"/>
      <protection locked="0"/>
    </dxf>
    <dxf>
      <alignment horizontal="center"/>
      <protection locked="0"/>
    </dxf>
    <dxf>
      <alignment horizontal="center"/>
      <protection locked="0"/>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AU"/>
              <a:t>Average Weight</a:t>
            </a:r>
            <a:endParaRPr lang="en-AU"/>
          </a:p>
        </c:rich>
      </c:tx>
      <c:layout/>
      <c:overlay val="0"/>
      <c:spPr>
        <a:noFill/>
        <a:ln>
          <a:noFill/>
        </a:ln>
        <a:effectLst/>
      </c:sp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'Weight Tracking'!$B$2:$B$23</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numCache>
            </c:numRef>
          </c:xVal>
          <c:yVal>
            <c:numRef>
              <c:f>'Weight Tracking'!$AI$2:$AI$26</c:f>
              <c:numCache>
                <c:formatCode>0.00</c:formatCode>
                <c:ptCount val="25"/>
                <c:pt idx="0">
                  <c:v>85.5285714285714</c:v>
                </c:pt>
                <c:pt idx="1">
                  <c:v>84.9857142857143</c:v>
                </c:pt>
                <c:pt idx="2">
                  <c:v>84.4571428571429</c:v>
                </c:pt>
                <c:pt idx="3">
                  <c:v>83.8285714285714</c:v>
                </c:pt>
                <c:pt idx="4">
                  <c:v>83.3</c:v>
                </c:pt>
                <c:pt idx="5">
                  <c:v>82.8428571428572</c:v>
                </c:pt>
                <c:pt idx="6">
                  <c:v>82.7571428571429</c:v>
                </c:pt>
                <c:pt idx="7">
                  <c:v>82.1857142857143</c:v>
                </c:pt>
                <c:pt idx="8">
                  <c:v>82.0428571428571</c:v>
                </c:pt>
                <c:pt idx="9">
                  <c:v>81.7</c:v>
                </c:pt>
                <c:pt idx="10">
                  <c:v>81.2</c:v>
                </c:pt>
                <c:pt idx="11">
                  <c:v>80.7285714285714</c:v>
                </c:pt>
                <c:pt idx="12">
                  <c:v>80.7428571428571</c:v>
                </c:pt>
                <c:pt idx="13">
                  <c:v>80.6714285714286</c:v>
                </c:pt>
                <c:pt idx="14">
                  <c:v>80.8571428571429</c:v>
                </c:pt>
                <c:pt idx="15">
                  <c:v>81.3714285714286</c:v>
                </c:pt>
                <c:pt idx="16">
                  <c:v>81.3857142857143</c:v>
                </c:pt>
                <c:pt idx="17">
                  <c:v>80.6714285714286</c:v>
                </c:pt>
                <c:pt idx="18">
                  <c:v>80.4428571428572</c:v>
                </c:pt>
                <c:pt idx="19">
                  <c:v>79.6142857142857</c:v>
                </c:pt>
                <c:pt idx="20">
                  <c:v>80.0428571428571</c:v>
                </c:pt>
                <c:pt idx="21">
                  <c:v>79.8714285714286</c:v>
                </c:pt>
                <c:pt idx="22">
                  <c:v>79.7428571428571</c:v>
                </c:pt>
                <c:pt idx="23">
                  <c:v>80.7428571428571</c:v>
                </c:pt>
                <c:pt idx="24">
                  <c:v>80.4714285714286</c:v>
                </c:pt>
              </c:numCache>
            </c:numRef>
          </c:yVal>
          <c:smooth val="0"/>
        </c:ser>
        <c:dLbls>
          <c:showLegendKey val="0"/>
          <c:showVal val="0"/>
          <c:showCatName val="0"/>
          <c:showSerName val="0"/>
          <c:showPercent val="0"/>
          <c:showBubbleSize val="0"/>
        </c:dLbls>
        <c:axId val="571040984"/>
        <c:axId val="571040656"/>
      </c:scatterChart>
      <c:valAx>
        <c:axId val="571040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AU"/>
                  <a:t>Week</a:t>
                </a:r>
                <a:endParaRPr lang="en-AU"/>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1040656"/>
        <c:crosses val="autoZero"/>
        <c:crossBetween val="midCat"/>
      </c:valAx>
      <c:valAx>
        <c:axId val="57104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AU"/>
                  <a:t>Weight (kg)</a:t>
                </a:r>
                <a:endParaRPr lang="en-AU"/>
              </a:p>
            </c:rich>
          </c:tx>
          <c:layout/>
          <c:overlay val="0"/>
          <c:spPr>
            <a:noFill/>
            <a:ln>
              <a:noFill/>
            </a:ln>
            <a:effectLst/>
          </c:sp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1040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AU"/>
              <a:t>Average Intake - Activity</a:t>
            </a:r>
            <a:endParaRPr lang="en-AU"/>
          </a:p>
        </c:rich>
      </c:tx>
      <c:layout/>
      <c:overlay val="0"/>
      <c:spPr>
        <a:noFill/>
        <a:ln>
          <a:noFill/>
        </a:ln>
        <a:effectLst/>
      </c:spPr>
    </c:title>
    <c:autoTitleDeleted val="0"/>
    <c:plotArea>
      <c:layout/>
      <c:scatterChart>
        <c:scatterStyle val="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elete val="1"/>
          </c:dLbls>
          <c:xVal>
            <c:numRef>
              <c:f>'Weight Tracking'!$B$2:$B$22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'Weight Tracking'!$AL$2:$AL$26</c:f>
              <c:numCache>
                <c:formatCode>General</c:formatCode>
                <c:ptCount val="25"/>
                <c:pt idx="0">
                  <c:v>1483</c:v>
                </c:pt>
                <c:pt idx="1">
                  <c:v>1338</c:v>
                </c:pt>
                <c:pt idx="2">
                  <c:v>1302</c:v>
                </c:pt>
                <c:pt idx="3">
                  <c:v>1319</c:v>
                </c:pt>
                <c:pt idx="4">
                  <c:v>1589</c:v>
                </c:pt>
                <c:pt idx="5">
                  <c:v>1426</c:v>
                </c:pt>
                <c:pt idx="6">
                  <c:v>1437</c:v>
                </c:pt>
                <c:pt idx="7">
                  <c:v>1476</c:v>
                </c:pt>
                <c:pt idx="8">
                  <c:v>1389</c:v>
                </c:pt>
                <c:pt idx="9">
                  <c:v>1523</c:v>
                </c:pt>
                <c:pt idx="10">
                  <c:v>1347</c:v>
                </c:pt>
                <c:pt idx="11">
                  <c:v>1454</c:v>
                </c:pt>
                <c:pt idx="12">
                  <c:v>1286</c:v>
                </c:pt>
                <c:pt idx="13">
                  <c:v>1354</c:v>
                </c:pt>
                <c:pt idx="14">
                  <c:v>1517</c:v>
                </c:pt>
                <c:pt idx="15">
                  <c:v>1393</c:v>
                </c:pt>
                <c:pt idx="16">
                  <c:v>1489</c:v>
                </c:pt>
                <c:pt idx="17">
                  <c:v>1429</c:v>
                </c:pt>
                <c:pt idx="18">
                  <c:v>1521</c:v>
                </c:pt>
                <c:pt idx="19">
                  <c:v>1379</c:v>
                </c:pt>
                <c:pt idx="20">
                  <c:v>1386</c:v>
                </c:pt>
                <c:pt idx="21">
                  <c:v>1364</c:v>
                </c:pt>
                <c:pt idx="22">
                  <c:v>1514</c:v>
                </c:pt>
                <c:pt idx="23">
                  <c:v>1900</c:v>
                </c:pt>
                <c:pt idx="24">
                  <c:v>1586</c:v>
                </c:pt>
              </c:numCache>
            </c:numRef>
          </c:yVal>
          <c:smooth val="0"/>
        </c:ser>
        <c:dLbls>
          <c:showLegendKey val="0"/>
          <c:showVal val="0"/>
          <c:showCatName val="0"/>
          <c:showSerName val="0"/>
          <c:showPercent val="0"/>
          <c:showBubbleSize val="0"/>
        </c:dLbls>
        <c:axId val="571040984"/>
        <c:axId val="571040656"/>
      </c:scatterChart>
      <c:valAx>
        <c:axId val="571040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AU"/>
                  <a:t>Week</a:t>
                </a:r>
                <a:endParaRPr lang="en-AU"/>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1040656"/>
        <c:crosses val="autoZero"/>
        <c:crossBetween val="midCat"/>
      </c:valAx>
      <c:valAx>
        <c:axId val="57104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AU"/>
                  <a:t>Weight (kg)</a:t>
                </a:r>
                <a:endParaRPr lang="en-AU"/>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1040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X$11" noThreeD="1" val="0"/>
</file>

<file path=xl/ctrlProps/ctrlProp2.xml><?xml version="1.0" encoding="utf-8"?>
<formControlPr xmlns="http://schemas.microsoft.com/office/spreadsheetml/2009/9/main" objectType="CheckBox" fmlaLink="$X$12" noThreeD="1" val="0"/>
</file>

<file path=xl/ctrlProps/ctrlProp3.xml><?xml version="1.0" encoding="utf-8"?>
<formControlPr xmlns="http://schemas.microsoft.com/office/spreadsheetml/2009/9/main" objectType="CheckBox" fmlaLink="$X$13" noThreeD="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42</xdr:col>
      <xdr:colOff>9525</xdr:colOff>
      <xdr:row>5</xdr:row>
      <xdr:rowOff>0</xdr:rowOff>
    </xdr:from>
    <xdr:to>
      <xdr:col>45</xdr:col>
      <xdr:colOff>371475</xdr:colOff>
      <xdr:row>19</xdr:row>
      <xdr:rowOff>76200</xdr:rowOff>
    </xdr:to>
    <xdr:graphicFrame>
      <xdr:nvGraphicFramePr>
        <xdr:cNvPr id="2" name="Chart 1"/>
        <xdr:cNvGraphicFramePr/>
      </xdr:nvGraphicFramePr>
      <xdr:xfrm>
        <a:off x="29146500" y="952500"/>
        <a:ext cx="455295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9525</xdr:colOff>
      <xdr:row>20</xdr:row>
      <xdr:rowOff>9525</xdr:rowOff>
    </xdr:from>
    <xdr:to>
      <xdr:col>45</xdr:col>
      <xdr:colOff>371475</xdr:colOff>
      <xdr:row>34</xdr:row>
      <xdr:rowOff>85725</xdr:rowOff>
    </xdr:to>
    <xdr:graphicFrame>
      <xdr:nvGraphicFramePr>
        <xdr:cNvPr id="3" name="Chart 2"/>
        <xdr:cNvGraphicFramePr/>
      </xdr:nvGraphicFramePr>
      <xdr:xfrm>
        <a:off x="29146500" y="3819525"/>
        <a:ext cx="455295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4</xdr:col>
          <xdr:colOff>133350</xdr:colOff>
          <xdr:row>8</xdr:row>
          <xdr:rowOff>0</xdr:rowOff>
        </xdr:from>
        <xdr:to>
          <xdr:col>4</xdr:col>
          <xdr:colOff>419100</xdr:colOff>
          <xdr:row>9</xdr:row>
          <xdr:rowOff>0</xdr:rowOff>
        </xdr:to>
        <xdr:sp>
          <xdr:nvSpPr>
            <xdr:cNvPr id="5127" name="Check Box 7" hidden="1">
              <a:extLst>
                <a:ext uri="{63B3BB69-23CF-44E3-9099-C40C66FF867C}">
                  <a14:compatExt spid="_x0000_s5127"/>
                </a:ext>
              </a:extLst>
            </xdr:cNvPr>
            <xdr:cNvSpPr/>
          </xdr:nvSpPr>
          <xdr:spPr>
            <a:xfrm>
              <a:off x="3286125" y="1600200"/>
              <a:ext cx="285750" cy="1905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619125</xdr:colOff>
          <xdr:row>8</xdr:row>
          <xdr:rowOff>0</xdr:rowOff>
        </xdr:from>
        <xdr:to>
          <xdr:col>4</xdr:col>
          <xdr:colOff>866775</xdr:colOff>
          <xdr:row>9</xdr:row>
          <xdr:rowOff>0</xdr:rowOff>
        </xdr:to>
        <xdr:sp>
          <xdr:nvSpPr>
            <xdr:cNvPr id="5128" name="Check Box 8" hidden="1">
              <a:extLst>
                <a:ext uri="{63B3BB69-23CF-44E3-9099-C40C66FF867C}">
                  <a14:compatExt spid="_x0000_s5128"/>
                </a:ext>
              </a:extLst>
            </xdr:cNvPr>
            <xdr:cNvSpPr/>
          </xdr:nvSpPr>
          <xdr:spPr>
            <a:xfrm>
              <a:off x="3771900" y="1600200"/>
              <a:ext cx="247650" cy="19050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xdr:row>
          <xdr:rowOff>257175</xdr:rowOff>
        </xdr:from>
        <xdr:to>
          <xdr:col>8</xdr:col>
          <xdr:colOff>581025</xdr:colOff>
          <xdr:row>3</xdr:row>
          <xdr:rowOff>180975</xdr:rowOff>
        </xdr:to>
        <xdr:sp>
          <xdr:nvSpPr>
            <xdr:cNvPr id="5132" name="Check Box 12" hidden="1">
              <a:extLst>
                <a:ext uri="{63B3BB69-23CF-44E3-9099-C40C66FF867C}">
                  <a14:compatExt spid="_x0000_s5132"/>
                </a:ext>
              </a:extLst>
            </xdr:cNvPr>
            <xdr:cNvSpPr/>
          </xdr:nvSpPr>
          <xdr:spPr>
            <a:xfrm>
              <a:off x="6324600" y="638175"/>
              <a:ext cx="285750" cy="190500"/>
            </a:xfrm>
            <a:prstGeom prst="rect">
              <a:avLst/>
            </a:prstGeom>
          </xdr:spPr>
        </xdr:sp>
        <xdr:clientData fLocksWithSheet="0"/>
      </xdr:twoCellAnchor>
    </mc:Choice>
    <mc:Fallback/>
  </mc:AlternateContent>
</xdr:wsDr>
</file>

<file path=xl/tables/table1.xml><?xml version="1.0" encoding="utf-8"?>
<table xmlns="http://schemas.openxmlformats.org/spreadsheetml/2006/main" id="2" name="Table2" displayName="Table2" ref="A1:K500" totalsRowShown="0">
  <autoFilter ref="A1:K500"/>
  <sortState ref="A1:K500">
    <sortCondition ref="K1:K500"/>
  </sortState>
  <tableColumns count="11">
    <tableColumn id="1" name="FOOD NAME (unique)" dataDxfId="4"/>
    <tableColumn id="2" name="Amount" dataDxfId="5"/>
    <tableColumn id="3" name="Unit" dataDxfId="6"/>
    <tableColumn id="4" name="Protein (g)" dataDxfId="7"/>
    <tableColumn id="5" name="Fats (g)" dataDxfId="8"/>
    <tableColumn id="6" name="Carbs (g)" dataDxfId="9"/>
    <tableColumn id="7" name="Sugar (g)" dataDxfId="10"/>
    <tableColumn id="8" name="Fiber (g)" dataDxfId="11"/>
    <tableColumn id="9" name="Outlet" dataDxfId="12"/>
    <tableColumn id="10" name="Brand" dataDxfId="13"/>
    <tableColumn id="11" name="Food Category" dataDxfId="1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Y59"/>
  <sheetViews>
    <sheetView tabSelected="1" workbookViewId="0">
      <selection activeCell="B6" sqref="B6"/>
    </sheetView>
  </sheetViews>
  <sheetFormatPr defaultColWidth="9" defaultRowHeight="15"/>
  <cols>
    <col min="1" max="1" width="4.85714285714286" customWidth="1"/>
    <col min="2" max="2" width="22.5714285714286" style="88" customWidth="1"/>
    <col min="3" max="3" width="12.5714285714286" style="89" customWidth="1"/>
    <col min="4" max="4" width="13.7142857142857" style="89" customWidth="1"/>
    <col min="5" max="5" width="13.1428571428571" style="89" customWidth="1"/>
    <col min="6" max="6" width="15" style="89" customWidth="1"/>
    <col min="7" max="7" width="8.71428571428571" style="89" customWidth="1"/>
    <col min="8" max="9" width="9.14285714285714" style="89"/>
    <col min="10" max="10" width="9.57142857142857" style="89" customWidth="1"/>
    <col min="11" max="11" width="4.42857142857143" style="90" customWidth="1"/>
    <col min="12" max="12" width="24.2857142857143" style="89" customWidth="1"/>
    <col min="13" max="13" width="11.5714285714286" style="89" customWidth="1"/>
    <col min="14" max="14" width="12.8571428571429" style="89" customWidth="1"/>
    <col min="15" max="15" width="11.4285714285714" style="89" customWidth="1"/>
    <col min="16" max="16" width="15" style="89" customWidth="1"/>
    <col min="17" max="17" width="8.71428571428571" style="89" customWidth="1"/>
    <col min="18" max="20" width="9.14285714285714" style="89"/>
    <col min="22" max="22" width="9.14285714285714" style="2"/>
    <col min="23" max="24" width="9.14285714285714" style="2" customWidth="1"/>
    <col min="25" max="25" width="9.14285714285714" style="2"/>
  </cols>
  <sheetData>
    <row r="1" s="2" customFormat="1" spans="2:20">
      <c r="B1" s="91"/>
      <c r="C1" s="17"/>
      <c r="D1" s="17"/>
      <c r="E1" s="17"/>
      <c r="F1" s="17"/>
      <c r="G1" s="17"/>
      <c r="H1" s="17"/>
      <c r="I1" s="17"/>
      <c r="J1" s="17"/>
      <c r="K1" s="34"/>
      <c r="M1" s="17"/>
      <c r="N1" s="17"/>
      <c r="O1" s="17"/>
      <c r="P1" s="17"/>
      <c r="Q1" s="17"/>
      <c r="R1" s="17"/>
      <c r="S1" s="17"/>
      <c r="T1" s="17"/>
    </row>
    <row r="2" customHeight="1" spans="1:21">
      <c r="A2" s="2"/>
      <c r="B2" s="91"/>
      <c r="C2" s="17"/>
      <c r="D2" s="17"/>
      <c r="E2" s="17"/>
      <c r="F2" s="17"/>
      <c r="G2" s="92"/>
      <c r="H2" s="17"/>
      <c r="I2" s="17"/>
      <c r="J2" s="17"/>
      <c r="K2" s="34"/>
      <c r="M2" s="17"/>
      <c r="N2" s="17"/>
      <c r="O2" s="17"/>
      <c r="P2" s="17"/>
      <c r="Q2" s="17"/>
      <c r="R2" s="17"/>
      <c r="S2" s="17"/>
      <c r="T2" s="17"/>
      <c r="U2" s="2"/>
    </row>
    <row r="3" ht="15.75" spans="1:21">
      <c r="A3" s="2"/>
      <c r="B3" s="91"/>
      <c r="C3" s="17"/>
      <c r="D3" s="10" t="s">
        <v>0</v>
      </c>
      <c r="E3" s="10" t="s">
        <v>1</v>
      </c>
      <c r="F3" s="10" t="s">
        <v>2</v>
      </c>
      <c r="G3" s="10" t="s">
        <v>3</v>
      </c>
      <c r="H3" s="17"/>
      <c r="I3" s="17"/>
      <c r="J3" s="17"/>
      <c r="K3" s="34"/>
      <c r="L3" s="121" t="s">
        <v>4</v>
      </c>
      <c r="M3" s="17"/>
      <c r="N3" s="122" t="str">
        <f>IF(L5="","Enter Daily kCalore Intake",CONCATENATE("Based off your meals, you will consume ",ROUND(D7,0)," kCals per day. You currently have ",F7,". Based on your physical activity, you should walk approx ",L7*22.5," steps per day."))</f>
        <v>Based off your meals, you will consume 2190 kCals per day. You currently have -590 kCals to remove. Based on your physical activity, you should walk approx 6750 steps per day.</v>
      </c>
      <c r="O3" s="122"/>
      <c r="P3" s="122"/>
      <c r="Q3" s="122"/>
      <c r="R3" s="122"/>
      <c r="S3" s="17"/>
      <c r="T3" s="17"/>
      <c r="U3" s="2"/>
    </row>
    <row r="4" customHeight="1" spans="1:21">
      <c r="A4" s="2"/>
      <c r="B4" s="91"/>
      <c r="C4" s="10" t="s">
        <v>5</v>
      </c>
      <c r="D4" s="93">
        <f>J14+T14+J38+T38+T26+J26</f>
        <v>194.1</v>
      </c>
      <c r="E4" s="93">
        <f>J16+T16+J28+T28+J40+T40</f>
        <v>52.9</v>
      </c>
      <c r="F4" s="93">
        <f>J18+T18+J30+T30+J42+T42</f>
        <v>320.3</v>
      </c>
      <c r="G4" s="93">
        <f>J20+T20+J32+T32+J44+T44</f>
        <v>35.5</v>
      </c>
      <c r="H4" s="17"/>
      <c r="I4" s="17"/>
      <c r="J4" s="17"/>
      <c r="K4" s="34"/>
      <c r="L4" s="123" t="s">
        <v>6</v>
      </c>
      <c r="M4" s="17"/>
      <c r="N4" s="122"/>
      <c r="O4" s="122"/>
      <c r="P4" s="122"/>
      <c r="Q4" s="122"/>
      <c r="R4" s="122"/>
      <c r="S4" s="17"/>
      <c r="T4" s="17"/>
      <c r="U4" s="2"/>
    </row>
    <row r="5" customHeight="1" spans="1:21">
      <c r="A5" s="2"/>
      <c r="B5" s="91"/>
      <c r="C5" s="10" t="s">
        <v>7</v>
      </c>
      <c r="D5" s="28">
        <f>D4*4</f>
        <v>776.4</v>
      </c>
      <c r="E5" s="28">
        <f>E4*9</f>
        <v>476.1</v>
      </c>
      <c r="F5" s="28">
        <f>F4*4</f>
        <v>1281.2</v>
      </c>
      <c r="G5" s="28">
        <f>G4*4</f>
        <v>142</v>
      </c>
      <c r="H5" s="17"/>
      <c r="I5" s="17"/>
      <c r="J5" s="17"/>
      <c r="K5" s="34"/>
      <c r="L5" s="27">
        <v>1600</v>
      </c>
      <c r="M5" s="17"/>
      <c r="N5" s="122"/>
      <c r="O5" s="122"/>
      <c r="P5" s="122"/>
      <c r="Q5" s="122"/>
      <c r="R5" s="122"/>
      <c r="S5" s="17"/>
      <c r="T5" s="17"/>
      <c r="U5" s="2"/>
    </row>
    <row r="6" customHeight="1" spans="1:21">
      <c r="A6" s="2"/>
      <c r="B6" s="91"/>
      <c r="C6" s="10" t="s">
        <v>8</v>
      </c>
      <c r="D6" s="94">
        <f>D5/SUM(D5:F5)</f>
        <v>0.306429332596598</v>
      </c>
      <c r="E6" s="94">
        <f>E5/SUM(D5:F5)</f>
        <v>0.187907013458578</v>
      </c>
      <c r="F6" s="94">
        <f>F5/SUM(D5:F5)</f>
        <v>0.505663653944824</v>
      </c>
      <c r="G6" s="95"/>
      <c r="H6" s="17"/>
      <c r="I6" s="17"/>
      <c r="J6" s="17"/>
      <c r="K6" s="34"/>
      <c r="L6" s="123" t="s">
        <v>9</v>
      </c>
      <c r="M6" s="17"/>
      <c r="N6" s="122"/>
      <c r="O6" s="122"/>
      <c r="P6" s="122"/>
      <c r="Q6" s="122"/>
      <c r="R6" s="122"/>
      <c r="S6" s="17"/>
      <c r="T6" s="17"/>
      <c r="U6" s="2"/>
    </row>
    <row r="7" customHeight="1" spans="1:21">
      <c r="A7" s="2"/>
      <c r="B7" s="91"/>
      <c r="C7" s="96" t="s">
        <v>10</v>
      </c>
      <c r="D7" s="97">
        <f>IF(L5="","Enter Daily kCalore Intake",SUM(D5,E5,F5)-G8)</f>
        <v>2190.407</v>
      </c>
      <c r="E7" s="98" t="s">
        <v>11</v>
      </c>
      <c r="F7" s="99" t="str">
        <f>IF(L5="","Enter Daily kCalore Intake",IF(L5-D7&gt;0,CONCATENATE(ROUND(L5-D7,0)," kCals to add"),CONCATENATE(ROUND(L5-D7,0)," kCals to remove")))</f>
        <v>-590 kCals to remove</v>
      </c>
      <c r="G7" s="9" t="s">
        <v>12</v>
      </c>
      <c r="H7" s="17"/>
      <c r="I7" s="17"/>
      <c r="J7" s="17"/>
      <c r="K7" s="34"/>
      <c r="L7" s="27">
        <v>300</v>
      </c>
      <c r="M7" s="17"/>
      <c r="N7" s="122"/>
      <c r="O7" s="122"/>
      <c r="P7" s="122"/>
      <c r="Q7" s="122"/>
      <c r="R7" s="122"/>
      <c r="S7" s="17"/>
      <c r="T7" s="17"/>
      <c r="U7" s="2"/>
    </row>
    <row r="8" customHeight="1" spans="1:21">
      <c r="A8" s="2"/>
      <c r="B8" s="91"/>
      <c r="C8" s="100"/>
      <c r="D8" s="101"/>
      <c r="E8" s="102"/>
      <c r="F8" s="103"/>
      <c r="G8" s="20">
        <f>(Breakdown!D5*0.3)+(Breakdown!E5*0.03)+(Breakdown!F5*0.075)</f>
        <v>343.293</v>
      </c>
      <c r="H8" s="17"/>
      <c r="I8" s="17"/>
      <c r="J8" s="17"/>
      <c r="K8" s="34"/>
      <c r="L8" s="17"/>
      <c r="M8" s="17"/>
      <c r="N8" s="17"/>
      <c r="O8" s="17"/>
      <c r="P8" s="17"/>
      <c r="Q8" s="17"/>
      <c r="R8" s="17"/>
      <c r="S8" s="17"/>
      <c r="T8" s="17"/>
      <c r="U8" s="2"/>
    </row>
    <row r="9" customHeight="1" spans="1:21">
      <c r="A9" s="2"/>
      <c r="B9" s="91"/>
      <c r="C9" s="104"/>
      <c r="D9" s="17"/>
      <c r="E9" s="17"/>
      <c r="F9" s="17"/>
      <c r="G9" s="17"/>
      <c r="H9" s="17"/>
      <c r="I9" s="17"/>
      <c r="J9" s="17"/>
      <c r="K9" s="34"/>
      <c r="L9" s="17"/>
      <c r="M9" s="17"/>
      <c r="N9" s="17"/>
      <c r="O9" s="17"/>
      <c r="P9" s="17"/>
      <c r="Q9" s="17"/>
      <c r="R9" s="17"/>
      <c r="S9" s="17"/>
      <c r="T9" s="17"/>
      <c r="U9" s="2"/>
    </row>
    <row r="10" spans="1:21">
      <c r="A10" s="2"/>
      <c r="B10" s="91"/>
      <c r="C10" s="104"/>
      <c r="D10" s="17"/>
      <c r="E10" s="17"/>
      <c r="F10" s="17"/>
      <c r="G10" s="17"/>
      <c r="H10" s="17"/>
      <c r="I10" s="17"/>
      <c r="J10" s="17"/>
      <c r="K10" s="34"/>
      <c r="L10" s="17"/>
      <c r="M10" s="17"/>
      <c r="N10" s="17"/>
      <c r="O10" s="17"/>
      <c r="P10" s="17"/>
      <c r="Q10" s="17"/>
      <c r="R10" s="17"/>
      <c r="S10" s="17"/>
      <c r="T10" s="17"/>
      <c r="U10" s="2"/>
    </row>
    <row r="11" spans="1:21">
      <c r="A11" s="2"/>
      <c r="B11" s="91"/>
      <c r="C11" s="104"/>
      <c r="D11" s="17"/>
      <c r="E11" s="17"/>
      <c r="F11" s="17"/>
      <c r="G11" s="17"/>
      <c r="H11" s="17"/>
      <c r="I11" s="17"/>
      <c r="J11" s="17"/>
      <c r="K11" s="34"/>
      <c r="L11" s="17"/>
      <c r="M11" s="17"/>
      <c r="N11" s="17"/>
      <c r="O11" s="17"/>
      <c r="P11" s="17"/>
      <c r="Q11" s="17"/>
      <c r="R11" s="17"/>
      <c r="S11" s="17"/>
      <c r="T11" s="17"/>
      <c r="U11" s="2"/>
    </row>
    <row r="12" s="87" customFormat="1" ht="18.75" spans="1:25">
      <c r="A12" s="105"/>
      <c r="B12" s="106" t="s">
        <v>13</v>
      </c>
      <c r="C12" s="106"/>
      <c r="D12" s="106"/>
      <c r="E12" s="106"/>
      <c r="F12" s="106"/>
      <c r="G12" s="106"/>
      <c r="H12" s="106"/>
      <c r="I12" s="106"/>
      <c r="J12" s="106"/>
      <c r="K12" s="124"/>
      <c r="L12" s="106" t="s">
        <v>14</v>
      </c>
      <c r="M12" s="106"/>
      <c r="N12" s="106"/>
      <c r="O12" s="106"/>
      <c r="P12" s="106"/>
      <c r="Q12" s="106"/>
      <c r="R12" s="106"/>
      <c r="S12" s="106"/>
      <c r="T12" s="106"/>
      <c r="U12" s="105"/>
      <c r="V12" s="105"/>
      <c r="W12" s="105"/>
      <c r="X12" s="105"/>
      <c r="Y12" s="105"/>
    </row>
    <row r="13" spans="1:21">
      <c r="A13" s="2"/>
      <c r="B13" s="107" t="s">
        <v>15</v>
      </c>
      <c r="C13" s="108" t="s">
        <v>16</v>
      </c>
      <c r="D13" s="109" t="s">
        <v>17</v>
      </c>
      <c r="E13" s="109" t="s">
        <v>18</v>
      </c>
      <c r="F13" s="109" t="s">
        <v>19</v>
      </c>
      <c r="G13" s="109" t="s">
        <v>20</v>
      </c>
      <c r="H13" s="109" t="s">
        <v>21</v>
      </c>
      <c r="I13" s="125" t="s">
        <v>0</v>
      </c>
      <c r="J13" s="125"/>
      <c r="K13" s="34"/>
      <c r="L13" s="108" t="s">
        <v>15</v>
      </c>
      <c r="M13" s="108" t="s">
        <v>16</v>
      </c>
      <c r="N13" s="109" t="s">
        <v>17</v>
      </c>
      <c r="O13" s="109" t="s">
        <v>18</v>
      </c>
      <c r="P13" s="109" t="s">
        <v>19</v>
      </c>
      <c r="Q13" s="109" t="s">
        <v>20</v>
      </c>
      <c r="R13" s="109" t="s">
        <v>21</v>
      </c>
      <c r="S13" s="125" t="s">
        <v>0</v>
      </c>
      <c r="T13" s="125"/>
      <c r="U13" s="2"/>
    </row>
    <row r="14" spans="1:21">
      <c r="A14" s="2"/>
      <c r="B14" s="110" t="s">
        <v>22</v>
      </c>
      <c r="C14" s="111">
        <v>4</v>
      </c>
      <c r="D14" s="112" t="str">
        <f>IFERROR(CONCATENATE(VLOOKUP(B14,Foods!$A$1:$J$500,2,FALSE)*C14," ",VLOOKUP(B14,Foods!$A$1:$J$500,3,FALSE)),"")</f>
        <v>4 eggs</v>
      </c>
      <c r="E14" s="113">
        <f>IFERROR(VLOOKUP(B14,Foods!$A$1:$J$500,4,FALSE)*C14,"")</f>
        <v>25.4</v>
      </c>
      <c r="F14" s="113">
        <f>IFERROR(VLOOKUP(B14,Foods!$A$1:$J$500,5,FALSE)*C14,"")</f>
        <v>20.6</v>
      </c>
      <c r="G14" s="113">
        <f>IFERROR(VLOOKUP(B14,Foods!$A$1:$J$500,6,FALSE)*C14,"")</f>
        <v>2.8</v>
      </c>
      <c r="H14" s="113">
        <f>IFERROR(VLOOKUP(B14,Foods!$A$1:$J$500,8,FALSE)*C14,"")</f>
        <v>0</v>
      </c>
      <c r="I14" s="126">
        <f>IFERROR((SUM(E14:E23)*4)/((SUM(E14:E23)*4)+(SUM(F14:F23)*9)+(SUM(G14:G23)*4)),"")</f>
        <v>0.172661870503597</v>
      </c>
      <c r="J14" s="127">
        <f>SUM(E14:E23)</f>
        <v>40.8</v>
      </c>
      <c r="K14" s="34"/>
      <c r="L14" s="86" t="s">
        <v>23</v>
      </c>
      <c r="M14" s="111">
        <v>2</v>
      </c>
      <c r="N14" s="112" t="str">
        <f>IFERROR(CONCATENATE(VLOOKUP(L14,Foods!$A$1:$J$500,2,FALSE)*M14," ",VLOOKUP(L14,Foods!$A$1:$J$500,3,FALSE)),"")</f>
        <v>2 scoop(s)</v>
      </c>
      <c r="O14" s="113">
        <f>IFERROR(VLOOKUP(L14,Foods!$A$1:$J$500,4,FALSE)*M14,"")</f>
        <v>48.8</v>
      </c>
      <c r="P14" s="113">
        <f>IFERROR(VLOOKUP(L14,Foods!$A$1:$J$500,5,FALSE)*M14,"")</f>
        <v>3.6</v>
      </c>
      <c r="Q14" s="113">
        <f>IFERROR(VLOOKUP(L14,Foods!$A$1:$J$500,6,FALSE)*M14,"")</f>
        <v>4.2</v>
      </c>
      <c r="R14" s="113">
        <f>IFERROR(VLOOKUP(L14,Foods!$A$1:$J$500,8,FALSE)*M14,"")</f>
        <v>0</v>
      </c>
      <c r="S14" s="126">
        <f>IFERROR((SUM(O14:O23)*4)/((SUM(O14:O23)*4)+(SUM(P14:P23)*9)+(SUM(Q14:Q23)*4)),"")</f>
        <v>0.616684723726977</v>
      </c>
      <c r="T14" s="127">
        <f>SUM(O14:O23)</f>
        <v>142.3</v>
      </c>
      <c r="U14" s="2"/>
    </row>
    <row r="15" spans="1:21">
      <c r="A15" s="2"/>
      <c r="B15" s="114" t="s">
        <v>24</v>
      </c>
      <c r="C15" s="115">
        <v>0</v>
      </c>
      <c r="D15" s="112" t="str">
        <f>IFERROR(CONCATENATE(VLOOKUP(B15,Foods!$A$1:$J$500,2,FALSE)*C15," ",VLOOKUP(B15,Foods!$A$1:$J$500,3,FALSE)),"")</f>
        <v>0 g</v>
      </c>
      <c r="E15" s="113">
        <f>IFERROR(VLOOKUP(B15,Foods!$A$1:$J$500,4,FALSE)*C15,"")</f>
        <v>0</v>
      </c>
      <c r="F15" s="113">
        <f>IFERROR(VLOOKUP(B15,Foods!$A$1:$J$500,5,FALSE)*C15,"")</f>
        <v>0</v>
      </c>
      <c r="G15" s="113">
        <f>IFERROR(VLOOKUP(B15,Foods!$A$1:$J$500,6,FALSE)*C15,"")</f>
        <v>0</v>
      </c>
      <c r="H15" s="113">
        <f>IFERROR(VLOOKUP(B15,Foods!$A$1:$J$500,8,FALSE)*C15,"")</f>
        <v>0</v>
      </c>
      <c r="I15" s="125" t="s">
        <v>1</v>
      </c>
      <c r="J15" s="125"/>
      <c r="K15" s="34"/>
      <c r="L15" s="118" t="s">
        <v>25</v>
      </c>
      <c r="M15" s="111">
        <v>2</v>
      </c>
      <c r="N15" s="112" t="str">
        <f>IFERROR(CONCATENATE(VLOOKUP(L15,Foods!$A$1:$J$500,2,FALSE)*M15," ",VLOOKUP(L15,Foods!$A$1:$J$500,3,FALSE)),"")</f>
        <v>200 g</v>
      </c>
      <c r="O15" s="113">
        <f>IFERROR(VLOOKUP(L15,Foods!$A$1:$J$500,4,FALSE)*M15,"")</f>
        <v>0.8</v>
      </c>
      <c r="P15" s="113">
        <f>IFERROR(VLOOKUP(L15,Foods!$A$1:$J$500,5,FALSE)*M15,"")</f>
        <v>1.2</v>
      </c>
      <c r="Q15" s="113">
        <f>IFERROR(VLOOKUP(L15,Foods!$A$1:$J$500,6,FALSE)*M15,"")</f>
        <v>24.4</v>
      </c>
      <c r="R15" s="113">
        <f>IFERROR(VLOOKUP(L15,Foods!$A$1:$J$500,8,FALSE)*M15,"")</f>
        <v>7.2</v>
      </c>
      <c r="S15" s="125" t="s">
        <v>1</v>
      </c>
      <c r="T15" s="125"/>
      <c r="U15" s="2"/>
    </row>
    <row r="16" spans="1:21">
      <c r="A16" s="2"/>
      <c r="B16" s="114" t="s">
        <v>26</v>
      </c>
      <c r="C16" s="115">
        <v>0</v>
      </c>
      <c r="D16" s="112" t="str">
        <f>IFERROR(CONCATENATE(VLOOKUP(B16,Foods!$A$1:$J$500,2,FALSE)*C16," ",VLOOKUP(B16,Foods!$A$1:$J$500,3,FALSE)),"")</f>
        <v>0 g</v>
      </c>
      <c r="E16" s="113">
        <f>IFERROR(VLOOKUP(B16,Foods!$A$1:$J$500,4,FALSE)*C16,"")</f>
        <v>0</v>
      </c>
      <c r="F16" s="113">
        <f>IFERROR(VLOOKUP(B16,Foods!$A$1:$J$500,5,FALSE)*C16,"")</f>
        <v>0</v>
      </c>
      <c r="G16" s="113">
        <f>IFERROR(VLOOKUP(B16,Foods!$A$1:$J$500,6,FALSE)*C16,"")</f>
        <v>0</v>
      </c>
      <c r="H16" s="113">
        <f>IFERROR(VLOOKUP(B16,Foods!$A$1:$J$500,8,FALSE)*C16,"")</f>
        <v>0</v>
      </c>
      <c r="I16" s="126">
        <f>IFERROR((SUM(F14:F23)*9)/((SUM(E14:E23)*4)+(SUM(F14:F23)*9)+(SUM(G14:G23)*4)),"")</f>
        <v>0.281845112145578</v>
      </c>
      <c r="J16" s="127">
        <f>SUM(F14:F23)</f>
        <v>29.6</v>
      </c>
      <c r="K16" s="34"/>
      <c r="L16" s="128" t="s">
        <v>27</v>
      </c>
      <c r="M16" s="115">
        <v>0</v>
      </c>
      <c r="N16" s="112" t="str">
        <f>IFERROR(CONCATENATE(VLOOKUP(L16,Foods!$A$1:$J$500,2,FALSE)*M16," ",VLOOKUP(L16,Foods!$A$1:$J$500,3,FALSE)),"")</f>
        <v>0 pieces</v>
      </c>
      <c r="O16" s="113">
        <f>IFERROR(VLOOKUP(L16,Foods!$A$1:$J$500,4,FALSE)*M16,"")</f>
        <v>0</v>
      </c>
      <c r="P16" s="113">
        <f>IFERROR(VLOOKUP(L16,Foods!$A$1:$J$500,5,FALSE)*M16,"")</f>
        <v>0</v>
      </c>
      <c r="Q16" s="113">
        <f>IFERROR(VLOOKUP(L16,Foods!$A$1:$J$500,6,FALSE)*M16,"")</f>
        <v>0</v>
      </c>
      <c r="R16" s="113">
        <f>IFERROR(VLOOKUP(L16,Foods!$A$1:$J$500,8,FALSE)*M16,"")</f>
        <v>0</v>
      </c>
      <c r="S16" s="126">
        <f>IFERROR((SUM(P14:P23)*9)/((SUM(O14:O23)*4)+(SUM(P14:P23)*9)+(SUM(Q14:Q23)*4)),"")</f>
        <v>0.076056338028169</v>
      </c>
      <c r="T16" s="127">
        <f>SUM(P14:P23)</f>
        <v>7.8</v>
      </c>
      <c r="U16" s="2"/>
    </row>
    <row r="17" spans="1:21">
      <c r="A17" s="2"/>
      <c r="B17" s="86" t="s">
        <v>28</v>
      </c>
      <c r="C17" s="115">
        <v>0</v>
      </c>
      <c r="D17" s="112" t="str">
        <f>IFERROR(CONCATENATE(VLOOKUP(B17,Foods!$A$1:$J$500,2,FALSE)*C17," ",VLOOKUP(B17,Foods!$A$1:$J$500,3,FALSE)),"")</f>
        <v>0 slice(s)</v>
      </c>
      <c r="E17" s="113">
        <f>IFERROR(VLOOKUP(B17,Foods!$A$1:$J$500,4,FALSE)*C17,"")</f>
        <v>0</v>
      </c>
      <c r="F17" s="113">
        <f>IFERROR(VLOOKUP(B17,Foods!$A$1:$J$500,5,FALSE)*C17,"")</f>
        <v>0</v>
      </c>
      <c r="G17" s="113">
        <f>IFERROR(VLOOKUP(B17,Foods!$A$1:$J$500,6,FALSE)*C17,"")</f>
        <v>0</v>
      </c>
      <c r="H17" s="113">
        <f>IFERROR(VLOOKUP(B17,Foods!$A$1:$J$500,8,FALSE)*C17,"")</f>
        <v>0</v>
      </c>
      <c r="I17" s="125" t="s">
        <v>2</v>
      </c>
      <c r="J17" s="125"/>
      <c r="K17" s="34"/>
      <c r="L17" s="86" t="s">
        <v>29</v>
      </c>
      <c r="M17" s="115">
        <v>9</v>
      </c>
      <c r="N17" s="112" t="str">
        <f>IFERROR(CONCATENATE(VLOOKUP(L17,Foods!$A$1:$J$500,2,FALSE)*M17," ",VLOOKUP(L17,Foods!$A$1:$J$500,3,FALSE)),"")</f>
        <v>900 g</v>
      </c>
      <c r="O17" s="113">
        <f>IFERROR(VLOOKUP(L17,Foods!$A$1:$J$500,4,FALSE)*M17,"")</f>
        <v>92.7</v>
      </c>
      <c r="P17" s="113">
        <f>IFERROR(VLOOKUP(L17,Foods!$A$1:$J$500,5,FALSE)*M17,"")</f>
        <v>0</v>
      </c>
      <c r="Q17" s="113">
        <f>IFERROR(VLOOKUP(L17,Foods!$A$1:$J$500,6,FALSE)*M17,"")</f>
        <v>42.3</v>
      </c>
      <c r="R17" s="113">
        <f>IFERROR(VLOOKUP(L17,Foods!$A$1:$J$500,8,FALSE)*M17,"")</f>
        <v>0</v>
      </c>
      <c r="S17" s="125" t="s">
        <v>2</v>
      </c>
      <c r="T17" s="125"/>
      <c r="U17" s="2"/>
    </row>
    <row r="18" spans="1:21">
      <c r="A18" s="2"/>
      <c r="B18" s="81" t="s">
        <v>30</v>
      </c>
      <c r="C18" s="115">
        <v>1</v>
      </c>
      <c r="D18" s="112" t="str">
        <f>IFERROR(CONCATENATE(VLOOKUP(B18,Foods!$A$1:$J$500,2,FALSE)*C18," ",VLOOKUP(B18,Foods!$A$1:$J$500,3,FALSE)),"")</f>
        <v>1 pieces</v>
      </c>
      <c r="E18" s="113">
        <f>IFERROR(VLOOKUP(B18,Foods!$A$1:$J$500,4,FALSE)*C18,"")</f>
        <v>1</v>
      </c>
      <c r="F18" s="113">
        <f>IFERROR(VLOOKUP(B18,Foods!$A$1:$J$500,5,FALSE)*C18,"")</f>
        <v>0</v>
      </c>
      <c r="G18" s="113">
        <f>IFERROR(VLOOKUP(B18,Foods!$A$1:$J$500,6,FALSE)*C18,"")</f>
        <v>28</v>
      </c>
      <c r="H18" s="113">
        <f>IFERROR(VLOOKUP(B18,Foods!$A$1:$J$500,8,FALSE)*C18,"")</f>
        <v>3</v>
      </c>
      <c r="I18" s="126">
        <f>IFERROR((SUM(G14:G23)*4)/((SUM(E14:E23)*4)+(SUM(F14:F23)*9)+(SUM(G14:G23)*4)),"")</f>
        <v>0.545493017350825</v>
      </c>
      <c r="J18" s="127">
        <f>SUM(G14:G23)</f>
        <v>128.9</v>
      </c>
      <c r="K18" s="34"/>
      <c r="L18" s="86" t="s">
        <v>31</v>
      </c>
      <c r="M18" s="115">
        <v>0</v>
      </c>
      <c r="N18" s="112" t="str">
        <f>IFERROR(CONCATENATE(VLOOKUP(L18,Foods!$A$1:$J$500,2,FALSE)*M18," ",VLOOKUP(L18,Foods!$A$1:$J$500,3,FALSE)),"")</f>
        <v>0 ml</v>
      </c>
      <c r="O18" s="113">
        <f>IFERROR(VLOOKUP(L18,Foods!$A$1:$J$500,4,FALSE)*M18,"")</f>
        <v>0</v>
      </c>
      <c r="P18" s="113">
        <f>IFERROR(VLOOKUP(L18,Foods!$A$1:$J$500,5,FALSE)*M18,"")</f>
        <v>0</v>
      </c>
      <c r="Q18" s="113">
        <f>IFERROR(VLOOKUP(L18,Foods!$A$1:$J$500,6,FALSE)*M18,"")</f>
        <v>0</v>
      </c>
      <c r="R18" s="113">
        <f>IFERROR(VLOOKUP(L18,Foods!$A$1:$J$500,8,FALSE)*M18,"")</f>
        <v>0</v>
      </c>
      <c r="S18" s="126">
        <f>IFERROR((SUM(Q14:Q23)*4)/((SUM(O14:O23)*4)+(SUM(P14:P23)*9)+(SUM(Q14:Q23)*4)),"")</f>
        <v>0.307258938244854</v>
      </c>
      <c r="T18" s="127">
        <f>SUM(Q14:Q23)</f>
        <v>70.9</v>
      </c>
      <c r="U18" s="2"/>
    </row>
    <row r="19" spans="1:21">
      <c r="A19" s="2"/>
      <c r="B19" s="116" t="s">
        <v>32</v>
      </c>
      <c r="C19" s="115">
        <v>1</v>
      </c>
      <c r="D19" s="112" t="str">
        <f>IFERROR(CONCATENATE(VLOOKUP(B19,Foods!$A$1:$J$500,2,FALSE)*C19," ",VLOOKUP(B19,Foods!$A$1:$J$500,3,FALSE)),"")</f>
        <v>1 pieces</v>
      </c>
      <c r="E19" s="113">
        <f>IFERROR(VLOOKUP(B19,Foods!$A$1:$J$500,4,FALSE)*C19,"")</f>
        <v>1</v>
      </c>
      <c r="F19" s="113">
        <f>IFERROR(VLOOKUP(B19,Foods!$A$1:$J$500,5,FALSE)*C19,"")</f>
        <v>0</v>
      </c>
      <c r="G19" s="113">
        <f>IFERROR(VLOOKUP(B19,Foods!$A$1:$J$500,6,FALSE)*C19,"")</f>
        <v>25</v>
      </c>
      <c r="H19" s="113">
        <f>IFERROR(VLOOKUP(B19,Foods!$A$1:$J$500,8,FALSE)*C19,"")</f>
        <v>3</v>
      </c>
      <c r="I19" s="125" t="s">
        <v>3</v>
      </c>
      <c r="J19" s="125"/>
      <c r="K19" s="34"/>
      <c r="L19" s="86" t="s">
        <v>33</v>
      </c>
      <c r="M19" s="115">
        <v>0</v>
      </c>
      <c r="N19" s="112" t="str">
        <f>IFERROR(CONCATENATE(VLOOKUP(L19,Foods!$A$1:$J$500,2,FALSE)*M19," ",VLOOKUP(L19,Foods!$A$1:$J$500,3,FALSE)),"")</f>
        <v>0 g</v>
      </c>
      <c r="O19" s="113">
        <f>IFERROR(VLOOKUP(L19,Foods!$A$1:$J$500,4,FALSE)*M19,"")</f>
        <v>0</v>
      </c>
      <c r="P19" s="113">
        <f>IFERROR(VLOOKUP(L19,Foods!$A$1:$J$500,5,FALSE)*M19,"")</f>
        <v>0</v>
      </c>
      <c r="Q19" s="113">
        <f>IFERROR(VLOOKUP(L19,Foods!$A$1:$J$500,6,FALSE)*M19,"")</f>
        <v>0</v>
      </c>
      <c r="R19" s="113">
        <f>IFERROR(VLOOKUP(L19,Foods!$A$1:$J$500,8,FALSE)*M19,"")</f>
        <v>0</v>
      </c>
      <c r="S19" s="125" t="s">
        <v>3</v>
      </c>
      <c r="T19" s="125"/>
      <c r="U19" s="2"/>
    </row>
    <row r="20" spans="1:21">
      <c r="A20" s="2"/>
      <c r="B20" s="117" t="s">
        <v>34</v>
      </c>
      <c r="C20" s="111">
        <v>1</v>
      </c>
      <c r="D20" s="112" t="str">
        <f>IFERROR(CONCATENATE(VLOOKUP(B20,Foods!$A$1:$J$500,2,FALSE)*C20," ",VLOOKUP(B20,Foods!$A$1:$J$500,3,FALSE)),"")</f>
        <v>100 g</v>
      </c>
      <c r="E20" s="113">
        <f>IFERROR(VLOOKUP(B20,Foods!$A$1:$J$500,4,FALSE)*C20,"")</f>
        <v>13.4</v>
      </c>
      <c r="F20" s="113">
        <f>IFERROR(VLOOKUP(B20,Foods!$A$1:$J$500,5,FALSE)*C20,"")</f>
        <v>9</v>
      </c>
      <c r="G20" s="113">
        <f>IFERROR(VLOOKUP(B20,Foods!$A$1:$J$500,6,FALSE)*C20,"")</f>
        <v>55.1</v>
      </c>
      <c r="H20" s="113">
        <f>IFERROR(VLOOKUP(B20,Foods!$A$1:$J$500,8,FALSE)*C20,"")</f>
        <v>11.3</v>
      </c>
      <c r="I20" s="127"/>
      <c r="J20" s="127">
        <f>SUM(H14:H23)</f>
        <v>17.8</v>
      </c>
      <c r="K20" s="34"/>
      <c r="L20" s="86" t="s">
        <v>35</v>
      </c>
      <c r="M20" s="111">
        <v>3</v>
      </c>
      <c r="N20" s="112" t="str">
        <f>IFERROR(CONCATENATE(VLOOKUP(L20,Foods!$A$1:$J$500,2,FALSE)*M20," ",VLOOKUP(L20,Foods!$A$1:$J$500,3,FALSE)),"")</f>
        <v>3 capsule(s)</v>
      </c>
      <c r="O20" s="113">
        <f>IFERROR(VLOOKUP(L20,Foods!$A$1:$J$500,4,FALSE)*M20,"")</f>
        <v>0</v>
      </c>
      <c r="P20" s="113">
        <f>IFERROR(VLOOKUP(L20,Foods!$A$1:$J$500,5,FALSE)*M20,"")</f>
        <v>3</v>
      </c>
      <c r="Q20" s="113">
        <f>IFERROR(VLOOKUP(L20,Foods!$A$1:$J$500,6,FALSE)*M20,"")</f>
        <v>0</v>
      </c>
      <c r="R20" s="113">
        <f>IFERROR(VLOOKUP(L20,Foods!$A$1:$J$500,8,FALSE)*M20,"")</f>
        <v>0</v>
      </c>
      <c r="S20" s="127"/>
      <c r="T20" s="127">
        <f>SUM(R14:R23)</f>
        <v>7.2</v>
      </c>
      <c r="U20" s="2"/>
    </row>
    <row r="21" spans="1:21">
      <c r="A21" s="2"/>
      <c r="B21" s="117" t="s">
        <v>36</v>
      </c>
      <c r="C21" s="111">
        <v>5</v>
      </c>
      <c r="D21" s="112" t="str">
        <f>IFERROR(CONCATENATE(VLOOKUP(B21,Foods!$A$1:$J$500,2,FALSE)*C21," ",VLOOKUP(B21,Foods!$A$1:$J$500,3,FALSE)),"")</f>
        <v>500 ml</v>
      </c>
      <c r="E21" s="113">
        <f>IFERROR(VLOOKUP(B21,Foods!$A$1:$J$500,4,FALSE)*C21,"")</f>
        <v>0</v>
      </c>
      <c r="F21" s="113">
        <f>IFERROR(VLOOKUP(B21,Foods!$A$1:$J$500,5,FALSE)*C21,"")</f>
        <v>0</v>
      </c>
      <c r="G21" s="113">
        <f>IFERROR(VLOOKUP(B21,Foods!$A$1:$J$500,6,FALSE)*C21,"")</f>
        <v>18</v>
      </c>
      <c r="H21" s="113">
        <f>IFERROR(VLOOKUP(B21,Foods!$A$1:$J$500,8,FALSE)*C21,"")</f>
        <v>0.5</v>
      </c>
      <c r="I21" s="25"/>
      <c r="J21" s="25"/>
      <c r="K21" s="34"/>
      <c r="L21" s="81" t="s">
        <v>37</v>
      </c>
      <c r="M21" s="111">
        <v>0</v>
      </c>
      <c r="N21" s="112" t="str">
        <f>IFERROR(CONCATENATE(VLOOKUP(L21,Foods!$A$1:$J$500,2,FALSE)*M21," ",VLOOKUP(L21,Foods!$A$1:$J$500,3,FALSE)),"")</f>
        <v>0 g</v>
      </c>
      <c r="O21" s="113">
        <f>IFERROR(VLOOKUP(L21,Foods!$A$1:$J$500,4,FALSE)*M21,"")</f>
        <v>0</v>
      </c>
      <c r="P21" s="113">
        <f>IFERROR(VLOOKUP(L21,Foods!$A$1:$J$500,5,FALSE)*M21,"")</f>
        <v>0</v>
      </c>
      <c r="Q21" s="113">
        <f>IFERROR(VLOOKUP(L21,Foods!$A$1:$J$500,6,FALSE)*M21,"")</f>
        <v>0</v>
      </c>
      <c r="R21" s="113">
        <f>IFERROR(VLOOKUP(L21,Foods!$A$1:$J$500,8,FALSE)*M21,"")</f>
        <v>0</v>
      </c>
      <c r="S21" s="25"/>
      <c r="T21" s="25"/>
      <c r="U21" s="2"/>
    </row>
    <row r="22" spans="1:21">
      <c r="A22" s="2"/>
      <c r="B22" s="86"/>
      <c r="C22" s="111"/>
      <c r="D22" s="112" t="str">
        <f>IFERROR(CONCATENATE(VLOOKUP(B22,Foods!$A$1:$J$500,2,FALSE)*C22," ",VLOOKUP(B22,Foods!$A$1:$J$500,3,FALSE)),"")</f>
        <v/>
      </c>
      <c r="E22" s="113" t="str">
        <f>IFERROR(VLOOKUP(B22,Foods!$A$1:$J$500,4,FALSE)*C22,"")</f>
        <v/>
      </c>
      <c r="F22" s="113" t="str">
        <f>IFERROR(VLOOKUP(B22,Foods!$A$1:$J$500,5,FALSE)*C22,"")</f>
        <v/>
      </c>
      <c r="G22" s="113" t="str">
        <f>IFERROR(VLOOKUP(B22,Foods!$A$1:$J$500,6,FALSE)*C22,"")</f>
        <v/>
      </c>
      <c r="H22" s="113" t="str">
        <f>IFERROR(VLOOKUP(B22,Foods!$A$1:$J$500,8,FALSE)*C22,"")</f>
        <v/>
      </c>
      <c r="I22" s="127"/>
      <c r="J22" s="129" t="s">
        <v>38</v>
      </c>
      <c r="K22" s="34"/>
      <c r="L22" s="81" t="s">
        <v>39</v>
      </c>
      <c r="M22" s="111">
        <v>0</v>
      </c>
      <c r="N22" s="112" t="str">
        <f>IFERROR(CONCATENATE(VLOOKUP(L22,Foods!$A$1:$J$500,2,FALSE)*M22," ",VLOOKUP(L22,Foods!$A$1:$J$500,3,FALSE)),"")</f>
        <v>0 g</v>
      </c>
      <c r="O22" s="113">
        <f>IFERROR(VLOOKUP(L22,Foods!$A$1:$J$500,4,FALSE)*M22,"")</f>
        <v>0</v>
      </c>
      <c r="P22" s="113">
        <f>IFERROR(VLOOKUP(L22,Foods!$A$1:$J$500,5,FALSE)*M22,"")</f>
        <v>0</v>
      </c>
      <c r="Q22" s="113">
        <f>IFERROR(VLOOKUP(L22,Foods!$A$1:$J$500,6,FALSE)*M22,"")</f>
        <v>0</v>
      </c>
      <c r="R22" s="113">
        <f>IFERROR(VLOOKUP(L22,Foods!$A$1:$J$500,8,FALSE)*M22,"")</f>
        <v>0</v>
      </c>
      <c r="S22" s="127"/>
      <c r="T22" s="129" t="s">
        <v>38</v>
      </c>
      <c r="U22" s="2"/>
    </row>
    <row r="23" spans="1:21">
      <c r="A23" s="2"/>
      <c r="B23" s="118"/>
      <c r="C23" s="111"/>
      <c r="D23" s="112" t="str">
        <f>IFERROR(CONCATENATE(VLOOKUP(B23,Foods!$A$1:$J$500,2,FALSE)*C23," ",VLOOKUP(B23,Foods!$A$1:$J$500,3,FALSE)),"")</f>
        <v/>
      </c>
      <c r="E23" s="113" t="str">
        <f>IFERROR(VLOOKUP(B23,Foods!$A$1:$J$500,4,FALSE)*C23,"")</f>
        <v/>
      </c>
      <c r="F23" s="113" t="str">
        <f>IFERROR(VLOOKUP(B23,Foods!$A$1:$J$500,5,FALSE)*C23,"")</f>
        <v/>
      </c>
      <c r="G23" s="113" t="str">
        <f>IFERROR(VLOOKUP(B23,Foods!$A$1:$J$500,6,FALSE)*C23,"")</f>
        <v/>
      </c>
      <c r="H23" s="113" t="str">
        <f>IFERROR(VLOOKUP(B23,Foods!$A$1:$J$500,8,FALSE)*C23,"")</f>
        <v/>
      </c>
      <c r="I23" s="127"/>
      <c r="J23" s="130">
        <f>(J14*4)+(J16*9)+(J18*4)</f>
        <v>945.2</v>
      </c>
      <c r="K23" s="34"/>
      <c r="L23" s="86"/>
      <c r="M23" s="27"/>
      <c r="N23" s="112" t="str">
        <f>IFERROR(CONCATENATE(VLOOKUP(L23,Foods!$A$1:$J$500,2,FALSE)*M23," ",VLOOKUP(L23,Foods!$A$1:$J$500,3,FALSE)),"")</f>
        <v/>
      </c>
      <c r="O23" s="113" t="str">
        <f>IFERROR(VLOOKUP(L23,Foods!$A$1:$J$500,4,FALSE)*M23,"")</f>
        <v/>
      </c>
      <c r="P23" s="113" t="str">
        <f>IFERROR(VLOOKUP(L23,Foods!$A$1:$J$500,5,FALSE)*M23,"")</f>
        <v/>
      </c>
      <c r="Q23" s="113" t="str">
        <f>IFERROR(VLOOKUP(L23,Foods!$A$1:$J$500,6,FALSE)*M23,"")</f>
        <v/>
      </c>
      <c r="R23" s="113" t="str">
        <f>IFERROR(VLOOKUP(L23,Foods!$A$1:$J$500,8,FALSE)*M23,"")</f>
        <v/>
      </c>
      <c r="S23" s="127"/>
      <c r="T23" s="130">
        <f>(T14*4)+(T16*9)+(T18*4)</f>
        <v>923</v>
      </c>
      <c r="U23" s="2"/>
    </row>
    <row r="24" s="87" customFormat="1" ht="18.75" spans="1:25">
      <c r="A24" s="105"/>
      <c r="B24" s="106" t="s">
        <v>40</v>
      </c>
      <c r="C24" s="106"/>
      <c r="D24" s="106"/>
      <c r="E24" s="106"/>
      <c r="F24" s="106"/>
      <c r="G24" s="106"/>
      <c r="H24" s="106"/>
      <c r="I24" s="106"/>
      <c r="J24" s="106"/>
      <c r="K24" s="124"/>
      <c r="L24" s="106" t="s">
        <v>41</v>
      </c>
      <c r="M24" s="106"/>
      <c r="N24" s="106"/>
      <c r="O24" s="106"/>
      <c r="P24" s="106"/>
      <c r="Q24" s="106"/>
      <c r="R24" s="106"/>
      <c r="S24" s="106"/>
      <c r="T24" s="106"/>
      <c r="U24" s="105"/>
      <c r="V24" s="105"/>
      <c r="W24" s="105"/>
      <c r="X24" s="105"/>
      <c r="Y24" s="105"/>
    </row>
    <row r="25" spans="1:21">
      <c r="A25" s="2"/>
      <c r="B25" s="107" t="s">
        <v>15</v>
      </c>
      <c r="C25" s="108" t="s">
        <v>16</v>
      </c>
      <c r="D25" s="109" t="s">
        <v>17</v>
      </c>
      <c r="E25" s="109" t="s">
        <v>18</v>
      </c>
      <c r="F25" s="109" t="s">
        <v>19</v>
      </c>
      <c r="G25" s="109" t="s">
        <v>20</v>
      </c>
      <c r="H25" s="109" t="s">
        <v>21</v>
      </c>
      <c r="I25" s="125" t="s">
        <v>0</v>
      </c>
      <c r="J25" s="125"/>
      <c r="K25" s="34"/>
      <c r="L25" s="108" t="s">
        <v>15</v>
      </c>
      <c r="M25" s="108" t="s">
        <v>16</v>
      </c>
      <c r="N25" s="109" t="s">
        <v>17</v>
      </c>
      <c r="O25" s="109" t="s">
        <v>18</v>
      </c>
      <c r="P25" s="109" t="s">
        <v>19</v>
      </c>
      <c r="Q25" s="109" t="s">
        <v>20</v>
      </c>
      <c r="R25" s="109" t="s">
        <v>21</v>
      </c>
      <c r="S25" s="125" t="s">
        <v>0</v>
      </c>
      <c r="T25" s="125"/>
      <c r="U25" s="2"/>
    </row>
    <row r="26" spans="1:21">
      <c r="A26" s="2"/>
      <c r="B26" s="114" t="s">
        <v>42</v>
      </c>
      <c r="C26" s="111">
        <v>0</v>
      </c>
      <c r="D26" s="112" t="str">
        <f>IFERROR(CONCATENATE(VLOOKUP(B26,Foods!$A$1:$J$500,2,FALSE)*C26," ",VLOOKUP(B26,Foods!$A$1:$J$500,3,FALSE)),"")</f>
        <v>0 packet</v>
      </c>
      <c r="E26" s="113">
        <f>IFERROR(VLOOKUP(B26,Foods!$A$1:$J$500,4,FALSE)*C26,"")</f>
        <v>0</v>
      </c>
      <c r="F26" s="113">
        <f>IFERROR(VLOOKUP(B26,Foods!$A$1:$J$500,5,FALSE)*C26,"")</f>
        <v>0</v>
      </c>
      <c r="G26" s="113">
        <f>IFERROR(VLOOKUP(B26,Foods!$A$1:$J$500,6,FALSE)*C26,"")</f>
        <v>0</v>
      </c>
      <c r="H26" s="113">
        <f>IFERROR(VLOOKUP(B26,Foods!$A$1:$J$500,8,FALSE)*C26,"")</f>
        <v>0</v>
      </c>
      <c r="I26" s="126">
        <f>IFERROR((SUM(E26:E35)*4)/((SUM(E26:E35)*4)+(SUM(F26:F35)*9)+(SUM(G26:G35)*4)),"")</f>
        <v>0.0661157024793388</v>
      </c>
      <c r="J26" s="127">
        <f>SUM(E26:E35)</f>
        <v>11</v>
      </c>
      <c r="K26" s="34"/>
      <c r="L26" s="86" t="s">
        <v>43</v>
      </c>
      <c r="M26" s="111">
        <v>0</v>
      </c>
      <c r="N26" s="112" t="str">
        <f>IFERROR(CONCATENATE(VLOOKUP(L26,Foods!$A$1:$J$500,2,FALSE)*M26," ",VLOOKUP(L26,Foods!$A$1:$J$500,3,FALSE)),"")</f>
        <v>0 roll</v>
      </c>
      <c r="O26" s="113">
        <f>IFERROR(VLOOKUP(L26,Foods!$A$1:$J$500,4,FALSE)*M26,"")</f>
        <v>0</v>
      </c>
      <c r="P26" s="113">
        <f>IFERROR(VLOOKUP(L26,Foods!$A$1:$J$500,5,FALSE)*M26,"")</f>
        <v>0</v>
      </c>
      <c r="Q26" s="113">
        <f>IFERROR(VLOOKUP(L26,Foods!$A$1:$J$500,6,FALSE)*M26,"")</f>
        <v>0</v>
      </c>
      <c r="R26" s="113">
        <f>IFERROR(VLOOKUP(L26,Foods!$A$1:$J$500,8,FALSE)*M26,"")</f>
        <v>0</v>
      </c>
      <c r="S26" s="126" t="str">
        <f>IFERROR((SUM(O26:O35)*4)/((SUM(O26:O35)*4)+(SUM(P26:P35)*9)+(SUM(Q26:Q35)*4)),"")</f>
        <v/>
      </c>
      <c r="T26" s="127">
        <f>SUM(O26:O35)</f>
        <v>0</v>
      </c>
      <c r="U26" s="2"/>
    </row>
    <row r="27" spans="1:21">
      <c r="A27" s="2"/>
      <c r="B27" s="119" t="s">
        <v>44</v>
      </c>
      <c r="C27" s="111">
        <v>5</v>
      </c>
      <c r="D27" s="112" t="str">
        <f>IFERROR(CONCATENATE(VLOOKUP(B27,Foods!$A$1:$J$500,2,FALSE)*C27," ",VLOOKUP(B27,Foods!$A$1:$J$500,3,FALSE)),"")</f>
        <v>500 g</v>
      </c>
      <c r="E27" s="113">
        <f>IFERROR(VLOOKUP(B27,Foods!$A$1:$J$500,4,FALSE)*C27,"")</f>
        <v>11</v>
      </c>
      <c r="F27" s="113">
        <f>IFERROR(VLOOKUP(B27,Foods!$A$1:$J$500,5,FALSE)*C27,"")</f>
        <v>15.5</v>
      </c>
      <c r="G27" s="113">
        <f>IFERROR(VLOOKUP(B27,Foods!$A$1:$J$500,6,FALSE)*C27,"")</f>
        <v>120.5</v>
      </c>
      <c r="H27" s="113">
        <f>IFERROR(VLOOKUP(B27,Foods!$A$1:$J$500,8,FALSE)*C27,"")</f>
        <v>10.5</v>
      </c>
      <c r="I27" s="125" t="s">
        <v>1</v>
      </c>
      <c r="J27" s="125"/>
      <c r="K27" s="34"/>
      <c r="L27" s="86" t="s">
        <v>45</v>
      </c>
      <c r="M27" s="111">
        <v>0</v>
      </c>
      <c r="N27" s="112" t="str">
        <f>IFERROR(CONCATENATE(VLOOKUP(L27,Foods!$A$1:$J$500,2,FALSE)*M27," ",VLOOKUP(L27,Foods!$A$1:$J$500,3,FALSE)),"")</f>
        <v>0 sandwich</v>
      </c>
      <c r="O27" s="113">
        <f>IFERROR(VLOOKUP(L27,Foods!$A$1:$J$500,4,FALSE)*M27,"")</f>
        <v>0</v>
      </c>
      <c r="P27" s="113">
        <f>IFERROR(VLOOKUP(L27,Foods!$A$1:$J$500,5,FALSE)*M27,"")</f>
        <v>0</v>
      </c>
      <c r="Q27" s="113">
        <f>IFERROR(VLOOKUP(L27,Foods!$A$1:$J$500,6,FALSE)*M27,"")</f>
        <v>0</v>
      </c>
      <c r="R27" s="113">
        <f>IFERROR(VLOOKUP(L27,Foods!$A$1:$J$500,8,FALSE)*M27,"")</f>
        <v>0</v>
      </c>
      <c r="S27" s="125" t="s">
        <v>1</v>
      </c>
      <c r="T27" s="125"/>
      <c r="U27" s="2"/>
    </row>
    <row r="28" spans="1:21">
      <c r="A28" s="2"/>
      <c r="B28" s="86" t="s">
        <v>46</v>
      </c>
      <c r="C28" s="111">
        <v>0</v>
      </c>
      <c r="D28" s="112" t="str">
        <f>IFERROR(CONCATENATE(VLOOKUP(B28,Foods!$A$1:$J$500,2,FALSE)*C28," ",VLOOKUP(B28,Foods!$A$1:$J$500,3,FALSE)),"")</f>
        <v>0 g</v>
      </c>
      <c r="E28" s="113">
        <f>IFERROR(VLOOKUP(B28,Foods!$A$1:$J$500,4,FALSE)*C28,"")</f>
        <v>0</v>
      </c>
      <c r="F28" s="113">
        <f>IFERROR(VLOOKUP(B28,Foods!$A$1:$J$500,5,FALSE)*C28,"")</f>
        <v>0</v>
      </c>
      <c r="G28" s="113">
        <f>IFERROR(VLOOKUP(B28,Foods!$A$1:$J$500,6,FALSE)*C28,"")</f>
        <v>0</v>
      </c>
      <c r="H28" s="113">
        <f>IFERROR(VLOOKUP(B28,Foods!$A$1:$J$500,8,FALSE)*C28,"")</f>
        <v>0</v>
      </c>
      <c r="I28" s="126">
        <f>IFERROR((SUM(F26:F35)*9)/((SUM(E26:E35)*4)+(SUM(F26:F35)*9)+(SUM(G26:G35)*4)),"")</f>
        <v>0.20961682945154</v>
      </c>
      <c r="J28" s="127">
        <f>SUM(F26:F35)</f>
        <v>15.5</v>
      </c>
      <c r="K28" s="34"/>
      <c r="L28" s="86" t="s">
        <v>47</v>
      </c>
      <c r="M28" s="111">
        <v>0</v>
      </c>
      <c r="N28" s="112" t="str">
        <f>IFERROR(CONCATENATE(VLOOKUP(L28,Foods!$A$1:$J$500,2,FALSE)*M28," ",VLOOKUP(L28,Foods!$A$1:$J$500,3,FALSE)),"")</f>
        <v>0 g</v>
      </c>
      <c r="O28" s="113">
        <f>IFERROR(VLOOKUP(L28,Foods!$A$1:$J$500,4,FALSE)*M28,"")</f>
        <v>0</v>
      </c>
      <c r="P28" s="113">
        <f>IFERROR(VLOOKUP(L28,Foods!$A$1:$J$500,5,FALSE)*M28,"")</f>
        <v>0</v>
      </c>
      <c r="Q28" s="113">
        <f>IFERROR(VLOOKUP(L28,Foods!$A$1:$J$500,6,FALSE)*M28,"")</f>
        <v>0</v>
      </c>
      <c r="R28" s="113">
        <f>IFERROR(VLOOKUP(L28,Foods!$A$1:$J$500,8,FALSE)*M28,"")</f>
        <v>0</v>
      </c>
      <c r="S28" s="126" t="str">
        <f>IFERROR((SUM(P26:P35)*9)/((SUM(O26:O35)*4)+(SUM(P26:P35)*9)+(SUM(Q26:Q35)*4)),"")</f>
        <v/>
      </c>
      <c r="T28" s="127">
        <f>SUM(P26:P35)</f>
        <v>0</v>
      </c>
      <c r="U28" s="2"/>
    </row>
    <row r="29" spans="1:21">
      <c r="A29" s="2"/>
      <c r="B29" s="86" t="s">
        <v>48</v>
      </c>
      <c r="C29" s="111">
        <v>0</v>
      </c>
      <c r="D29" s="112" t="str">
        <f>IFERROR(CONCATENATE(VLOOKUP(B29,Foods!$A$1:$J$500,2,FALSE)*C29," ",VLOOKUP(B29,Foods!$A$1:$J$500,3,FALSE)),"")</f>
        <v>0 g</v>
      </c>
      <c r="E29" s="113">
        <f>IFERROR(VLOOKUP(B29,Foods!$A$1:$J$500,4,FALSE)*C29,"")</f>
        <v>0</v>
      </c>
      <c r="F29" s="113">
        <f>IFERROR(VLOOKUP(B29,Foods!$A$1:$J$500,5,FALSE)*C29,"")</f>
        <v>0</v>
      </c>
      <c r="G29" s="113">
        <f>IFERROR(VLOOKUP(B29,Foods!$A$1:$J$500,6,FALSE)*C29,"")</f>
        <v>0</v>
      </c>
      <c r="H29" s="113">
        <f>IFERROR(VLOOKUP(B29,Foods!$A$1:$J$500,8,FALSE)*C29,"")</f>
        <v>0</v>
      </c>
      <c r="I29" s="125" t="s">
        <v>2</v>
      </c>
      <c r="J29" s="125"/>
      <c r="K29" s="34"/>
      <c r="L29" s="86" t="s">
        <v>49</v>
      </c>
      <c r="M29" s="111">
        <v>0</v>
      </c>
      <c r="N29" s="112" t="str">
        <f>IFERROR(CONCATENATE(VLOOKUP(L29,Foods!$A$1:$J$500,2,FALSE)*M29," ",VLOOKUP(L29,Foods!$A$1:$J$500,3,FALSE)),"")</f>
        <v>0 g</v>
      </c>
      <c r="O29" s="113">
        <f>IFERROR(VLOOKUP(L29,Foods!$A$1:$J$500,4,FALSE)*M29,"")</f>
        <v>0</v>
      </c>
      <c r="P29" s="113">
        <f>IFERROR(VLOOKUP(L29,Foods!$A$1:$J$500,5,FALSE)*M29,"")</f>
        <v>0</v>
      </c>
      <c r="Q29" s="113">
        <f>IFERROR(VLOOKUP(L29,Foods!$A$1:$J$500,6,FALSE)*M29,"")</f>
        <v>0</v>
      </c>
      <c r="R29" s="113">
        <f>IFERROR(VLOOKUP(L29,Foods!$A$1:$J$500,8,FALSE)*M29,"")</f>
        <v>0</v>
      </c>
      <c r="S29" s="125" t="s">
        <v>2</v>
      </c>
      <c r="T29" s="125"/>
      <c r="U29" s="2"/>
    </row>
    <row r="30" spans="1:21">
      <c r="A30" s="2"/>
      <c r="B30" s="86" t="s">
        <v>50</v>
      </c>
      <c r="C30" s="111">
        <v>0</v>
      </c>
      <c r="D30" s="112" t="str">
        <f>IFERROR(CONCATENATE(VLOOKUP(B30,Foods!$A$1:$J$500,2,FALSE)*C30," ",VLOOKUP(B30,Foods!$A$1:$J$500,3,FALSE)),"")</f>
        <v>0 g</v>
      </c>
      <c r="E30" s="113">
        <f>IFERROR(VLOOKUP(B30,Foods!$A$1:$J$500,4,FALSE)*C30,"")</f>
        <v>0</v>
      </c>
      <c r="F30" s="113">
        <f>IFERROR(VLOOKUP(B30,Foods!$A$1:$J$500,5,FALSE)*C30,"")</f>
        <v>0</v>
      </c>
      <c r="G30" s="113">
        <f>IFERROR(VLOOKUP(B30,Foods!$A$1:$J$500,6,FALSE)*C30,"")</f>
        <v>0</v>
      </c>
      <c r="H30" s="113">
        <f>IFERROR(VLOOKUP(B30,Foods!$A$1:$J$500,8,FALSE)*C30,"")</f>
        <v>0</v>
      </c>
      <c r="I30" s="126">
        <f>IFERROR((SUM(G26:G35)*4)/((SUM(E26:E35)*4)+(SUM(F26:F35)*9)+(SUM(G26:G35)*4)),"")</f>
        <v>0.724267468069121</v>
      </c>
      <c r="J30" s="127">
        <f>SUM(G26:G35)</f>
        <v>120.5</v>
      </c>
      <c r="K30" s="34"/>
      <c r="L30" s="86" t="s">
        <v>51</v>
      </c>
      <c r="M30" s="111">
        <v>0</v>
      </c>
      <c r="N30" s="112" t="str">
        <f>IFERROR(CONCATENATE(VLOOKUP(L30,Foods!$A$1:$J$500,2,FALSE)*M30," ",VLOOKUP(L30,Foods!$A$1:$J$500,3,FALSE)),"")</f>
        <v>0 Inari</v>
      </c>
      <c r="O30" s="113">
        <f>IFERROR(VLOOKUP(L30,Foods!$A$1:$J$500,4,FALSE)*M30,"")</f>
        <v>0</v>
      </c>
      <c r="P30" s="113">
        <f>IFERROR(VLOOKUP(L30,Foods!$A$1:$J$500,5,FALSE)*M30,"")</f>
        <v>0</v>
      </c>
      <c r="Q30" s="113">
        <f>IFERROR(VLOOKUP(L30,Foods!$A$1:$J$500,6,FALSE)*M30,"")</f>
        <v>0</v>
      </c>
      <c r="R30" s="113">
        <f>IFERROR(VLOOKUP(L30,Foods!$A$1:$J$500,8,FALSE)*M30,"")</f>
        <v>0</v>
      </c>
      <c r="S30" s="126" t="str">
        <f>IFERROR((SUM(Q26:Q35)*4)/((SUM(O26:O35)*4)+(SUM(P26:P35)*9)+(SUM(Q26:Q35)*4)),"")</f>
        <v/>
      </c>
      <c r="T30" s="127">
        <f>SUM(Q26:Q35)</f>
        <v>0</v>
      </c>
      <c r="U30" s="2"/>
    </row>
    <row r="31" spans="1:21">
      <c r="A31" s="2"/>
      <c r="B31" s="86" t="s">
        <v>52</v>
      </c>
      <c r="C31" s="111">
        <v>0</v>
      </c>
      <c r="D31" s="112" t="str">
        <f>IFERROR(CONCATENATE(VLOOKUP(B31,Foods!$A$1:$J$500,2,FALSE)*C31," ",VLOOKUP(B31,Foods!$A$1:$J$500,3,FALSE)),"")</f>
        <v>0 g</v>
      </c>
      <c r="E31" s="113">
        <f>IFERROR(VLOOKUP(B31,Foods!$A$1:$J$500,4,FALSE)*C31,"")</f>
        <v>0</v>
      </c>
      <c r="F31" s="113">
        <f>IFERROR(VLOOKUP(B31,Foods!$A$1:$J$500,5,FALSE)*C31,"")</f>
        <v>0</v>
      </c>
      <c r="G31" s="113">
        <f>IFERROR(VLOOKUP(B31,Foods!$A$1:$J$500,6,FALSE)*C31,"")</f>
        <v>0</v>
      </c>
      <c r="H31" s="113">
        <f>IFERROR(VLOOKUP(B31,Foods!$A$1:$J$500,8,FALSE)*C31,"")</f>
        <v>0</v>
      </c>
      <c r="I31" s="125" t="s">
        <v>3</v>
      </c>
      <c r="J31" s="125"/>
      <c r="K31" s="34"/>
      <c r="L31" s="86" t="s">
        <v>53</v>
      </c>
      <c r="M31" s="111">
        <v>0</v>
      </c>
      <c r="N31" s="112" t="str">
        <f>IFERROR(CONCATENATE(VLOOKUP(L31,Foods!$A$1:$J$500,2,FALSE)*M31," ",VLOOKUP(L31,Foods!$A$1:$J$500,3,FALSE)),"")</f>
        <v>0 ml</v>
      </c>
      <c r="O31" s="113">
        <f>IFERROR(VLOOKUP(L31,Foods!$A$1:$J$500,4,FALSE)*M31,"")</f>
        <v>0</v>
      </c>
      <c r="P31" s="113">
        <f>IFERROR(VLOOKUP(L31,Foods!$A$1:$J$500,5,FALSE)*M31,"")</f>
        <v>0</v>
      </c>
      <c r="Q31" s="113">
        <f>IFERROR(VLOOKUP(L31,Foods!$A$1:$J$500,6,FALSE)*M31,"")</f>
        <v>0</v>
      </c>
      <c r="R31" s="113">
        <f>IFERROR(VLOOKUP(L31,Foods!$A$1:$J$500,8,FALSE)*M31,"")</f>
        <v>0</v>
      </c>
      <c r="S31" s="125" t="s">
        <v>3</v>
      </c>
      <c r="T31" s="125"/>
      <c r="U31" s="2"/>
    </row>
    <row r="32" spans="1:21">
      <c r="A32" s="2"/>
      <c r="B32" s="81" t="s">
        <v>54</v>
      </c>
      <c r="C32" s="111">
        <v>0</v>
      </c>
      <c r="D32" s="112" t="str">
        <f>IFERROR(CONCATENATE(VLOOKUP(B32,Foods!$A$1:$J$500,2,FALSE)*C32," ",VLOOKUP(B32,Foods!$A$1:$J$500,3,FALSE)),"")</f>
        <v>0 g</v>
      </c>
      <c r="E32" s="113">
        <f>IFERROR(VLOOKUP(B32,Foods!$A$1:$J$500,4,FALSE)*C32,"")</f>
        <v>0</v>
      </c>
      <c r="F32" s="113">
        <f>IFERROR(VLOOKUP(B32,Foods!$A$1:$J$500,5,FALSE)*C32,"")</f>
        <v>0</v>
      </c>
      <c r="G32" s="113">
        <f>IFERROR(VLOOKUP(B32,Foods!$A$1:$J$500,6,FALSE)*C32,"")</f>
        <v>0</v>
      </c>
      <c r="H32" s="113">
        <f>IFERROR(VLOOKUP(B32,Foods!$A$1:$J$500,8,FALSE)*C32,"")</f>
        <v>0</v>
      </c>
      <c r="I32" s="127"/>
      <c r="J32" s="127">
        <f>SUM(H26:H35)</f>
        <v>10.5</v>
      </c>
      <c r="K32" s="34"/>
      <c r="L32" s="81" t="s">
        <v>55</v>
      </c>
      <c r="M32" s="111">
        <v>0</v>
      </c>
      <c r="N32" s="112" t="str">
        <f>IFERROR(CONCATENATE(VLOOKUP(L32,Foods!$A$1:$J$500,2,FALSE)*M32," ",VLOOKUP(L32,Foods!$A$1:$J$500,3,FALSE)),"")</f>
        <v>0 g</v>
      </c>
      <c r="O32" s="113">
        <f>IFERROR(VLOOKUP(L32,Foods!$A$1:$J$500,4,FALSE)*M32,"")</f>
        <v>0</v>
      </c>
      <c r="P32" s="113">
        <f>IFERROR(VLOOKUP(L32,Foods!$A$1:$J$500,5,FALSE)*M32,"")</f>
        <v>0</v>
      </c>
      <c r="Q32" s="113">
        <f>IFERROR(VLOOKUP(L32,Foods!$A$1:$J$500,6,FALSE)*M32,"")</f>
        <v>0</v>
      </c>
      <c r="R32" s="113">
        <f>IFERROR(VLOOKUP(L32,Foods!$A$1:$J$500,8,FALSE)*M32,"")</f>
        <v>0</v>
      </c>
      <c r="S32" s="127"/>
      <c r="T32" s="127">
        <f>SUM(R26:R35)</f>
        <v>0</v>
      </c>
      <c r="U32" s="2"/>
    </row>
    <row r="33" spans="1:21">
      <c r="A33" s="2"/>
      <c r="B33" s="81" t="s">
        <v>56</v>
      </c>
      <c r="C33" s="111">
        <v>0</v>
      </c>
      <c r="D33" s="112" t="str">
        <f>IFERROR(CONCATENATE(VLOOKUP(B33,Foods!$A$1:$J$500,2,FALSE)*C33," ",VLOOKUP(B33,Foods!$A$1:$J$500,3,FALSE)),"")</f>
        <v>0 g</v>
      </c>
      <c r="E33" s="113">
        <f>IFERROR(VLOOKUP(B33,Foods!$A$1:$J$500,4,FALSE)*C33,"")</f>
        <v>0</v>
      </c>
      <c r="F33" s="113">
        <f>IFERROR(VLOOKUP(B33,Foods!$A$1:$J$500,5,FALSE)*C33,"")</f>
        <v>0</v>
      </c>
      <c r="G33" s="113">
        <f>IFERROR(VLOOKUP(B33,Foods!$A$1:$J$500,6,FALSE)*C33,"")</f>
        <v>0</v>
      </c>
      <c r="H33" s="113">
        <f>IFERROR(VLOOKUP(B33,Foods!$A$1:$J$500,8,FALSE)*C33,"")</f>
        <v>0</v>
      </c>
      <c r="I33" s="25"/>
      <c r="J33" s="25"/>
      <c r="K33" s="34"/>
      <c r="L33" s="81" t="s">
        <v>57</v>
      </c>
      <c r="M33" s="111">
        <v>0</v>
      </c>
      <c r="N33" s="112" t="str">
        <f>IFERROR(CONCATENATE(VLOOKUP(L33,Foods!$A$1:$J$500,2,FALSE)*M33," ",VLOOKUP(L33,Foods!$A$1:$J$500,3,FALSE)),"")</f>
        <v>0 g</v>
      </c>
      <c r="O33" s="113">
        <f>IFERROR(VLOOKUP(L33,Foods!$A$1:$J$500,4,FALSE)*M33,"")</f>
        <v>0</v>
      </c>
      <c r="P33" s="113">
        <f>IFERROR(VLOOKUP(L33,Foods!$A$1:$J$500,5,FALSE)*M33,"")</f>
        <v>0</v>
      </c>
      <c r="Q33" s="113">
        <f>IFERROR(VLOOKUP(L33,Foods!$A$1:$J$500,6,FALSE)*M33,"")</f>
        <v>0</v>
      </c>
      <c r="R33" s="113">
        <f>IFERROR(VLOOKUP(L33,Foods!$A$1:$J$500,8,FALSE)*M33,"")</f>
        <v>0</v>
      </c>
      <c r="S33" s="25"/>
      <c r="T33" s="25"/>
      <c r="U33" s="2"/>
    </row>
    <row r="34" spans="1:21">
      <c r="A34" s="2"/>
      <c r="B34" s="86"/>
      <c r="C34" s="111"/>
      <c r="D34" s="112" t="str">
        <f>IFERROR(CONCATENATE(VLOOKUP(B34,Foods!$A$1:$J$500,2,FALSE)*C34," ",VLOOKUP(B34,Foods!$A$1:$J$500,3,FALSE)),"")</f>
        <v/>
      </c>
      <c r="E34" s="113" t="str">
        <f>IFERROR(VLOOKUP(B34,Foods!$A$1:$J$500,4,FALSE)*C34,"")</f>
        <v/>
      </c>
      <c r="F34" s="113" t="str">
        <f>IFERROR(VLOOKUP(B34,Foods!$A$1:$J$500,5,FALSE)*C34,"")</f>
        <v/>
      </c>
      <c r="G34" s="113" t="str">
        <f>IFERROR(VLOOKUP(B34,Foods!$A$1:$J$500,6,FALSE)*C34,"")</f>
        <v/>
      </c>
      <c r="H34" s="113" t="str">
        <f>IFERROR(VLOOKUP(B34,Foods!$A$1:$J$500,8,FALSE)*C34,"")</f>
        <v/>
      </c>
      <c r="I34" s="127"/>
      <c r="J34" s="129" t="s">
        <v>38</v>
      </c>
      <c r="K34" s="34"/>
      <c r="L34" s="81" t="s">
        <v>58</v>
      </c>
      <c r="M34" s="111">
        <v>0</v>
      </c>
      <c r="N34" s="112" t="str">
        <f>IFERROR(CONCATENATE(VLOOKUP(L34,Foods!$A$1:$J$500,2,FALSE)*M34," ",VLOOKUP(L34,Foods!$A$1:$J$500,3,FALSE)),"")</f>
        <v>0 g</v>
      </c>
      <c r="O34" s="113">
        <f>IFERROR(VLOOKUP(L34,Foods!$A$1:$J$500,4,FALSE)*M34,"")</f>
        <v>0</v>
      </c>
      <c r="P34" s="113">
        <f>IFERROR(VLOOKUP(L34,Foods!$A$1:$J$500,5,FALSE)*M34,"")</f>
        <v>0</v>
      </c>
      <c r="Q34" s="113">
        <f>IFERROR(VLOOKUP(L34,Foods!$A$1:$J$500,6,FALSE)*M34,"")</f>
        <v>0</v>
      </c>
      <c r="R34" s="113">
        <f>IFERROR(VLOOKUP(L34,Foods!$A$1:$J$500,8,FALSE)*M34,"")</f>
        <v>0</v>
      </c>
      <c r="S34" s="127"/>
      <c r="T34" s="129" t="s">
        <v>38</v>
      </c>
      <c r="U34" s="2"/>
    </row>
    <row r="35" spans="1:21">
      <c r="A35" s="2"/>
      <c r="B35" s="86"/>
      <c r="C35" s="27"/>
      <c r="D35" s="112" t="str">
        <f>IFERROR(CONCATENATE(VLOOKUP(B35,Foods!$A$1:$J$500,2,FALSE)*C35," ",VLOOKUP(B35,Foods!$A$1:$J$500,3,FALSE)),"")</f>
        <v/>
      </c>
      <c r="E35" s="113" t="str">
        <f>IFERROR(VLOOKUP(B35,Foods!$A$1:$J$500,4,FALSE)*C35,"")</f>
        <v/>
      </c>
      <c r="F35" s="113" t="str">
        <f>IFERROR(VLOOKUP(B35,Foods!$A$1:$J$500,5,FALSE)*C35,"")</f>
        <v/>
      </c>
      <c r="G35" s="113" t="str">
        <f>IFERROR(VLOOKUP(B35,Foods!$A$1:$J$500,6,FALSE)*C35,"")</f>
        <v/>
      </c>
      <c r="H35" s="113" t="str">
        <f>IFERROR(VLOOKUP(B35,Foods!$A$1:$J$500,8,FALSE)*C35,"")</f>
        <v/>
      </c>
      <c r="I35" s="127"/>
      <c r="J35" s="130">
        <f>(J26*4)+(J28*9)+(J30*4)</f>
        <v>665.5</v>
      </c>
      <c r="K35" s="34"/>
      <c r="L35" s="81"/>
      <c r="M35" s="27"/>
      <c r="N35" s="112" t="str">
        <f>IFERROR(CONCATENATE(VLOOKUP(L35,Foods!$A$1:$J$500,2,FALSE)*M35," ",VLOOKUP(L35,Foods!$A$1:$J$500,3,FALSE)),"")</f>
        <v/>
      </c>
      <c r="O35" s="113" t="str">
        <f>IFERROR(VLOOKUP(L35,Foods!$A$1:$J$500,4,FALSE)*M35,"")</f>
        <v/>
      </c>
      <c r="P35" s="113" t="str">
        <f>IFERROR(VLOOKUP(L35,Foods!$A$1:$J$500,5,FALSE)*M35,"")</f>
        <v/>
      </c>
      <c r="Q35" s="113" t="str">
        <f>IFERROR(VLOOKUP(L35,Foods!$A$1:$J$500,6,FALSE)*M35,"")</f>
        <v/>
      </c>
      <c r="R35" s="113" t="str">
        <f>IFERROR(VLOOKUP(L35,Foods!$A$1:$J$500,8,FALSE)*M35,"")</f>
        <v/>
      </c>
      <c r="S35" s="127"/>
      <c r="T35" s="130">
        <f>(T26*4)+(T28*9)+(T30*4)</f>
        <v>0</v>
      </c>
      <c r="U35" s="2"/>
    </row>
    <row r="36" s="87" customFormat="1" ht="18.75" spans="1:25">
      <c r="A36" s="105"/>
      <c r="B36" s="106" t="s">
        <v>59</v>
      </c>
      <c r="C36" s="106"/>
      <c r="D36" s="106"/>
      <c r="E36" s="106"/>
      <c r="F36" s="106"/>
      <c r="G36" s="106"/>
      <c r="H36" s="106"/>
      <c r="I36" s="106"/>
      <c r="J36" s="106"/>
      <c r="K36" s="124"/>
      <c r="L36" s="106" t="s">
        <v>60</v>
      </c>
      <c r="M36" s="106"/>
      <c r="N36" s="106"/>
      <c r="O36" s="106"/>
      <c r="P36" s="106"/>
      <c r="Q36" s="106"/>
      <c r="R36" s="106"/>
      <c r="S36" s="106"/>
      <c r="T36" s="106"/>
      <c r="U36" s="105"/>
      <c r="V36" s="105"/>
      <c r="W36" s="105"/>
      <c r="X36" s="105"/>
      <c r="Y36" s="105"/>
    </row>
    <row r="37" spans="1:21">
      <c r="A37" s="2"/>
      <c r="B37" s="107" t="s">
        <v>15</v>
      </c>
      <c r="C37" s="108" t="s">
        <v>16</v>
      </c>
      <c r="D37" s="109" t="s">
        <v>17</v>
      </c>
      <c r="E37" s="109" t="s">
        <v>18</v>
      </c>
      <c r="F37" s="109" t="s">
        <v>19</v>
      </c>
      <c r="G37" s="109" t="s">
        <v>20</v>
      </c>
      <c r="H37" s="109" t="s">
        <v>21</v>
      </c>
      <c r="I37" s="125" t="s">
        <v>0</v>
      </c>
      <c r="J37" s="125"/>
      <c r="K37" s="34"/>
      <c r="L37" s="108" t="s">
        <v>15</v>
      </c>
      <c r="M37" s="108" t="s">
        <v>16</v>
      </c>
      <c r="N37" s="109" t="s">
        <v>17</v>
      </c>
      <c r="O37" s="109" t="s">
        <v>18</v>
      </c>
      <c r="P37" s="109" t="s">
        <v>19</v>
      </c>
      <c r="Q37" s="109" t="s">
        <v>20</v>
      </c>
      <c r="R37" s="109" t="s">
        <v>21</v>
      </c>
      <c r="S37" s="125" t="s">
        <v>0</v>
      </c>
      <c r="T37" s="125"/>
      <c r="U37" s="2"/>
    </row>
    <row r="38" spans="1:21">
      <c r="A38" s="2"/>
      <c r="B38" s="86"/>
      <c r="C38" s="111"/>
      <c r="D38" s="112" t="str">
        <f>IFERROR(CONCATENATE(VLOOKUP(B38,Foods!$A$1:$J$500,2,FALSE)*C38," ",VLOOKUP(B38,Foods!$A$1:$J$500,3,FALSE)),"")</f>
        <v/>
      </c>
      <c r="E38" s="113" t="str">
        <f>IFERROR(VLOOKUP(B38,Foods!$A$1:$J$500,4,FALSE)*C38,"")</f>
        <v/>
      </c>
      <c r="F38" s="113" t="str">
        <f>IFERROR(VLOOKUP(B38,Foods!$A$1:$J$500,5,FALSE)*C38,"")</f>
        <v/>
      </c>
      <c r="G38" s="113" t="str">
        <f>IFERROR(VLOOKUP(B38,Foods!$A$1:$J$500,6,FALSE)*C38,"")</f>
        <v/>
      </c>
      <c r="H38" s="113" t="str">
        <f>IFERROR(VLOOKUP(B38,Foods!$A$1:$J$500,8,FALSE)*C38,"")</f>
        <v/>
      </c>
      <c r="I38" s="126" t="str">
        <f>IFERROR((SUM(E38:E47)*4)/((SUM(E38:E47)*4)+(SUM(F38:F47)*9)+(SUM(G38:G47)*4)),"")</f>
        <v/>
      </c>
      <c r="J38" s="127">
        <f>SUM(E38:E47)</f>
        <v>0</v>
      </c>
      <c r="K38" s="34"/>
      <c r="L38" s="86"/>
      <c r="M38" s="111"/>
      <c r="N38" s="112" t="str">
        <f>IFERROR(CONCATENATE(VLOOKUP(L38,Foods!$A$1:$J$500,2,FALSE)*M38," ",VLOOKUP(L38,Foods!$A$1:$J$500,3,FALSE)),"")</f>
        <v/>
      </c>
      <c r="O38" s="113" t="str">
        <f>IFERROR(VLOOKUP(L38,Foods!$A$1:$J$500,4,FALSE)*M38,"")</f>
        <v/>
      </c>
      <c r="P38" s="113" t="str">
        <f>IFERROR(VLOOKUP(L38,Foods!$A$1:$J$500,5,FALSE)*M38,"")</f>
        <v/>
      </c>
      <c r="Q38" s="113" t="str">
        <f>IFERROR(VLOOKUP(L38,Foods!$A$1:$J$500,6,FALSE)*M38,"")</f>
        <v/>
      </c>
      <c r="R38" s="113" t="str">
        <f>IFERROR(VLOOKUP(L38,Foods!$A$1:$J$500,8,FALSE)*M38,"")</f>
        <v/>
      </c>
      <c r="S38" s="126" t="str">
        <f>IFERROR((SUM(O38:O47)*4)/((SUM(O38:O47)*4)+(SUM(P38:P47)*9)+(SUM(Q38:Q47)*4)),"")</f>
        <v/>
      </c>
      <c r="T38" s="127">
        <f>SUM(O38:O47)</f>
        <v>0</v>
      </c>
      <c r="U38" s="2"/>
    </row>
    <row r="39" spans="1:21">
      <c r="A39" s="2"/>
      <c r="B39" s="118"/>
      <c r="C39" s="111"/>
      <c r="D39" s="112" t="str">
        <f>IFERROR(CONCATENATE(VLOOKUP(B39,Foods!$A$1:$J$500,2,FALSE)*C39," ",VLOOKUP(B39,Foods!$A$1:$J$500,3,FALSE)),"")</f>
        <v/>
      </c>
      <c r="E39" s="113" t="str">
        <f>IFERROR(VLOOKUP(B39,Foods!$A$1:$J$500,4,FALSE)*C39,"")</f>
        <v/>
      </c>
      <c r="F39" s="113" t="str">
        <f>IFERROR(VLOOKUP(B39,Foods!$A$1:$J$500,5,FALSE)*C39,"")</f>
        <v/>
      </c>
      <c r="G39" s="113" t="str">
        <f>IFERROR(VLOOKUP(B39,Foods!$A$1:$J$500,6,FALSE)*C39,"")</f>
        <v/>
      </c>
      <c r="H39" s="113" t="str">
        <f>IFERROR(VLOOKUP(B39,Foods!$A$1:$J$500,8,FALSE)*C39,"")</f>
        <v/>
      </c>
      <c r="I39" s="125" t="s">
        <v>1</v>
      </c>
      <c r="J39" s="125"/>
      <c r="K39" s="34"/>
      <c r="L39" s="86"/>
      <c r="M39" s="111"/>
      <c r="N39" s="112" t="str">
        <f>IFERROR(CONCATENATE(VLOOKUP(L39,Foods!$A$1:$J$500,2,FALSE)*M39," ",VLOOKUP(L39,Foods!$A$1:$J$500,3,FALSE)),"")</f>
        <v/>
      </c>
      <c r="O39" s="113" t="str">
        <f>IFERROR(VLOOKUP(L39,Foods!$A$1:$J$500,4,FALSE)*M39,"")</f>
        <v/>
      </c>
      <c r="P39" s="113" t="str">
        <f>IFERROR(VLOOKUP(L39,Foods!$A$1:$J$500,5,FALSE)*M39,"")</f>
        <v/>
      </c>
      <c r="Q39" s="113" t="str">
        <f>IFERROR(VLOOKUP(L39,Foods!$A$1:$J$500,6,FALSE)*M39,"")</f>
        <v/>
      </c>
      <c r="R39" s="113" t="str">
        <f>IFERROR(VLOOKUP(L39,Foods!$A$1:$J$500,8,FALSE)*M39,"")</f>
        <v/>
      </c>
      <c r="S39" s="125" t="s">
        <v>1</v>
      </c>
      <c r="T39" s="125"/>
      <c r="U39" s="2"/>
    </row>
    <row r="40" spans="1:21">
      <c r="A40" s="2"/>
      <c r="B40" s="120"/>
      <c r="C40" s="111"/>
      <c r="D40" s="112" t="str">
        <f>IFERROR(CONCATENATE(VLOOKUP(B40,Foods!$A$1:$J$500,2,FALSE)*C40," ",VLOOKUP(B40,Foods!$A$1:$J$500,3,FALSE)),"")</f>
        <v/>
      </c>
      <c r="E40" s="113" t="str">
        <f>IFERROR(VLOOKUP(B40,Foods!$A$1:$J$500,4,FALSE)*C40,"")</f>
        <v/>
      </c>
      <c r="F40" s="113" t="str">
        <f>IFERROR(VLOOKUP(B40,Foods!$A$1:$J$500,5,FALSE)*C40,"")</f>
        <v/>
      </c>
      <c r="G40" s="113" t="str">
        <f>IFERROR(VLOOKUP(B40,Foods!$A$1:$J$500,6,FALSE)*C40,"")</f>
        <v/>
      </c>
      <c r="H40" s="113" t="str">
        <f>IFERROR(VLOOKUP(B40,Foods!$A$1:$J$500,8,FALSE)*C40,"")</f>
        <v/>
      </c>
      <c r="I40" s="126" t="str">
        <f>IFERROR((SUM(F38:F47)*9)/((SUM(E38:E47)*4)+(SUM(F38:F47)*9)+(SUM(G38:G47)*4)),"")</f>
        <v/>
      </c>
      <c r="J40" s="127">
        <f>SUM(F38:F47)</f>
        <v>0</v>
      </c>
      <c r="K40" s="34"/>
      <c r="L40" s="86"/>
      <c r="M40" s="111"/>
      <c r="N40" s="112" t="str">
        <f>IFERROR(CONCATENATE(VLOOKUP(L40,Foods!$A$1:$J$500,2,FALSE)*M40," ",VLOOKUP(L40,Foods!$A$1:$J$500,3,FALSE)),"")</f>
        <v/>
      </c>
      <c r="O40" s="113" t="str">
        <f>IFERROR(VLOOKUP(L40,Foods!$A$1:$J$500,4,FALSE)*M40,"")</f>
        <v/>
      </c>
      <c r="P40" s="113" t="str">
        <f>IFERROR(VLOOKUP(L40,Foods!$A$1:$J$500,5,FALSE)*M40,"")</f>
        <v/>
      </c>
      <c r="Q40" s="113" t="str">
        <f>IFERROR(VLOOKUP(L40,Foods!$A$1:$J$500,6,FALSE)*M40,"")</f>
        <v/>
      </c>
      <c r="R40" s="113" t="str">
        <f>IFERROR(VLOOKUP(L40,Foods!$A$1:$J$500,8,FALSE)*M40,"")</f>
        <v/>
      </c>
      <c r="S40" s="126" t="str">
        <f>IFERROR((SUM(P38:P47)*9)/((SUM(O38:O47)*4)+(SUM(P38:P47)*9)+(SUM(Q38:Q47)*4)),"")</f>
        <v/>
      </c>
      <c r="T40" s="127">
        <f>SUM(P38:P47)</f>
        <v>0</v>
      </c>
      <c r="U40" s="2"/>
    </row>
    <row r="41" spans="1:21">
      <c r="A41" s="2"/>
      <c r="B41" s="86"/>
      <c r="C41" s="111"/>
      <c r="D41" s="112" t="str">
        <f>IFERROR(CONCATENATE(VLOOKUP(B41,Foods!$A$1:$J$500,2,FALSE)*C41," ",VLOOKUP(B41,Foods!$A$1:$J$500,3,FALSE)),"")</f>
        <v/>
      </c>
      <c r="E41" s="113" t="str">
        <f>IFERROR(VLOOKUP(B41,Foods!$A$1:$J$500,4,FALSE)*C41,"")</f>
        <v/>
      </c>
      <c r="F41" s="113" t="str">
        <f>IFERROR(VLOOKUP(B41,Foods!$A$1:$J$500,5,FALSE)*C41,"")</f>
        <v/>
      </c>
      <c r="G41" s="113" t="str">
        <f>IFERROR(VLOOKUP(B41,Foods!$A$1:$J$500,6,FALSE)*C41,"")</f>
        <v/>
      </c>
      <c r="H41" s="113" t="str">
        <f>IFERROR(VLOOKUP(B41,Foods!$A$1:$J$500,8,FALSE)*C41,"")</f>
        <v/>
      </c>
      <c r="I41" s="125" t="s">
        <v>2</v>
      </c>
      <c r="J41" s="125"/>
      <c r="K41" s="34"/>
      <c r="L41" s="120"/>
      <c r="M41" s="111"/>
      <c r="N41" s="112" t="str">
        <f>IFERROR(CONCATENATE(VLOOKUP(L41,Foods!$A$1:$J$500,2,FALSE)*M41," ",VLOOKUP(L41,Foods!$A$1:$J$500,3,FALSE)),"")</f>
        <v/>
      </c>
      <c r="O41" s="113" t="str">
        <f>IFERROR(VLOOKUP(L41,Foods!$A$1:$J$500,4,FALSE)*M41,"")</f>
        <v/>
      </c>
      <c r="P41" s="113" t="str">
        <f>IFERROR(VLOOKUP(L41,Foods!$A$1:$J$500,5,FALSE)*M41,"")</f>
        <v/>
      </c>
      <c r="Q41" s="113" t="str">
        <f>IFERROR(VLOOKUP(L41,Foods!$A$1:$J$500,6,FALSE)*M41,"")</f>
        <v/>
      </c>
      <c r="R41" s="113" t="str">
        <f>IFERROR(VLOOKUP(L41,Foods!$A$1:$J$500,8,FALSE)*M41,"")</f>
        <v/>
      </c>
      <c r="S41" s="125" t="s">
        <v>2</v>
      </c>
      <c r="T41" s="125"/>
      <c r="U41" s="2"/>
    </row>
    <row r="42" spans="1:21">
      <c r="A42" s="2"/>
      <c r="B42" s="120"/>
      <c r="C42" s="111"/>
      <c r="D42" s="112" t="str">
        <f>IFERROR(CONCATENATE(VLOOKUP(B42,Foods!$A$1:$J$500,2,FALSE)*C42," ",VLOOKUP(B42,Foods!$A$1:$J$500,3,FALSE)),"")</f>
        <v/>
      </c>
      <c r="E42" s="113" t="str">
        <f>IFERROR(VLOOKUP(B42,Foods!$A$1:$J$500,4,FALSE)*C42,"")</f>
        <v/>
      </c>
      <c r="F42" s="113" t="str">
        <f>IFERROR(VLOOKUP(B42,Foods!$A$1:$J$500,5,FALSE)*C42,"")</f>
        <v/>
      </c>
      <c r="G42" s="113" t="str">
        <f>IFERROR(VLOOKUP(B42,Foods!$A$1:$J$500,6,FALSE)*C42,"")</f>
        <v/>
      </c>
      <c r="H42" s="113" t="str">
        <f>IFERROR(VLOOKUP(B42,Foods!$A$1:$J$500,8,FALSE)*C42,"")</f>
        <v/>
      </c>
      <c r="I42" s="126" t="str">
        <f>IFERROR((SUM(G38:G47)*4)/((SUM(E38:E47)*4)+(SUM(F38:F47)*9)+(SUM(G38:G47)*4)),"")</f>
        <v/>
      </c>
      <c r="J42" s="127">
        <f>SUM(G38:G47)</f>
        <v>0</v>
      </c>
      <c r="K42" s="34"/>
      <c r="L42" s="120"/>
      <c r="M42" s="111"/>
      <c r="N42" s="112" t="str">
        <f>IFERROR(CONCATENATE(VLOOKUP(L42,Foods!$A$1:$J$500,2,FALSE)*M42," ",VLOOKUP(L42,Foods!$A$1:$J$500,3,FALSE)),"")</f>
        <v/>
      </c>
      <c r="O42" s="113" t="str">
        <f>IFERROR(VLOOKUP(L42,Foods!$A$1:$J$500,4,FALSE)*M42,"")</f>
        <v/>
      </c>
      <c r="P42" s="113" t="str">
        <f>IFERROR(VLOOKUP(L42,Foods!$A$1:$J$500,5,FALSE)*M42,"")</f>
        <v/>
      </c>
      <c r="Q42" s="113" t="str">
        <f>IFERROR(VLOOKUP(L42,Foods!$A$1:$J$500,6,FALSE)*M42,"")</f>
        <v/>
      </c>
      <c r="R42" s="113" t="str">
        <f>IFERROR(VLOOKUP(L42,Foods!$A$1:$J$500,8,FALSE)*M42,"")</f>
        <v/>
      </c>
      <c r="S42" s="126" t="str">
        <f>IFERROR((SUM(Q38:Q47)*4)/((SUM(O38:O47)*4)+(SUM(P38:P47)*9)+(SUM(Q38:Q47)*4)),"")</f>
        <v/>
      </c>
      <c r="T42" s="127">
        <f>SUM(Q38:Q47)</f>
        <v>0</v>
      </c>
      <c r="U42" s="2"/>
    </row>
    <row r="43" spans="1:21">
      <c r="A43" s="2"/>
      <c r="B43" s="120"/>
      <c r="C43" s="111"/>
      <c r="D43" s="112" t="str">
        <f>IFERROR(CONCATENATE(VLOOKUP(B43,Foods!$A$1:$J$500,2,FALSE)*C43," ",VLOOKUP(B43,Foods!$A$1:$J$500,3,FALSE)),"")</f>
        <v/>
      </c>
      <c r="E43" s="113" t="str">
        <f>IFERROR(VLOOKUP(B43,Foods!$A$1:$J$500,4,FALSE)*C43,"")</f>
        <v/>
      </c>
      <c r="F43" s="113" t="str">
        <f>IFERROR(VLOOKUP(B43,Foods!$A$1:$J$500,5,FALSE)*C43,"")</f>
        <v/>
      </c>
      <c r="G43" s="113" t="str">
        <f>IFERROR(VLOOKUP(B43,Foods!$A$1:$J$500,6,FALSE)*C43,"")</f>
        <v/>
      </c>
      <c r="H43" s="113" t="str">
        <f>IFERROR(VLOOKUP(B43,Foods!$A$1:$J$500,8,FALSE)*C43,"")</f>
        <v/>
      </c>
      <c r="I43" s="125" t="s">
        <v>3</v>
      </c>
      <c r="J43" s="125"/>
      <c r="K43" s="34"/>
      <c r="L43" s="120"/>
      <c r="M43" s="111"/>
      <c r="N43" s="112" t="str">
        <f>IFERROR(CONCATENATE(VLOOKUP(L43,Foods!$A$1:$J$500,2,FALSE)*M43," ",VLOOKUP(L43,Foods!$A$1:$J$500,3,FALSE)),"")</f>
        <v/>
      </c>
      <c r="O43" s="113" t="str">
        <f>IFERROR(VLOOKUP(L43,Foods!$A$1:$J$500,4,FALSE)*M43,"")</f>
        <v/>
      </c>
      <c r="P43" s="113" t="str">
        <f>IFERROR(VLOOKUP(L43,Foods!$A$1:$J$500,5,FALSE)*M43,"")</f>
        <v/>
      </c>
      <c r="Q43" s="113" t="str">
        <f>IFERROR(VLOOKUP(L43,Foods!$A$1:$J$500,6,FALSE)*M43,"")</f>
        <v/>
      </c>
      <c r="R43" s="113" t="str">
        <f>IFERROR(VLOOKUP(L43,Foods!$A$1:$J$500,8,FALSE)*M43,"")</f>
        <v/>
      </c>
      <c r="S43" s="125" t="s">
        <v>3</v>
      </c>
      <c r="T43" s="125"/>
      <c r="U43" s="2"/>
    </row>
    <row r="44" spans="1:21">
      <c r="A44" s="2"/>
      <c r="B44" s="120"/>
      <c r="C44" s="111"/>
      <c r="D44" s="112" t="str">
        <f>IFERROR(CONCATENATE(VLOOKUP(B44,Foods!$A$1:$J$500,2,FALSE)*C44," ",VLOOKUP(B44,Foods!$A$1:$J$500,3,FALSE)),"")</f>
        <v/>
      </c>
      <c r="E44" s="113" t="str">
        <f>IFERROR(VLOOKUP(B44,Foods!$A$1:$J$500,4,FALSE)*C44,"")</f>
        <v/>
      </c>
      <c r="F44" s="113" t="str">
        <f>IFERROR(VLOOKUP(B44,Foods!$A$1:$J$500,5,FALSE)*C44,"")</f>
        <v/>
      </c>
      <c r="G44" s="113" t="str">
        <f>IFERROR(VLOOKUP(B44,Foods!$A$1:$J$500,6,FALSE)*C44,"")</f>
        <v/>
      </c>
      <c r="H44" s="113" t="str">
        <f>IFERROR(VLOOKUP(B44,Foods!$A$1:$J$500,8,FALSE)*C44,"")</f>
        <v/>
      </c>
      <c r="I44" s="127"/>
      <c r="J44" s="127">
        <f>SUM(H38:H47)</f>
        <v>0</v>
      </c>
      <c r="K44" s="34"/>
      <c r="L44" s="120"/>
      <c r="M44" s="111"/>
      <c r="N44" s="112" t="str">
        <f>IFERROR(CONCATENATE(VLOOKUP(L44,Foods!$A$1:$J$500,2,FALSE)*M44," ",VLOOKUP(L44,Foods!$A$1:$J$500,3,FALSE)),"")</f>
        <v/>
      </c>
      <c r="O44" s="113" t="str">
        <f>IFERROR(VLOOKUP(L44,Foods!$A$1:$J$500,4,FALSE)*M44,"")</f>
        <v/>
      </c>
      <c r="P44" s="113" t="str">
        <f>IFERROR(VLOOKUP(L44,Foods!$A$1:$J$500,5,FALSE)*M44,"")</f>
        <v/>
      </c>
      <c r="Q44" s="113" t="str">
        <f>IFERROR(VLOOKUP(L44,Foods!$A$1:$J$500,6,FALSE)*M44,"")</f>
        <v/>
      </c>
      <c r="R44" s="113" t="str">
        <f>IFERROR(VLOOKUP(L44,Foods!$A$1:$J$500,8,FALSE)*M44,"")</f>
        <v/>
      </c>
      <c r="S44" s="127"/>
      <c r="T44" s="127">
        <f>SUM(R38:R47)</f>
        <v>0</v>
      </c>
      <c r="U44" s="2"/>
    </row>
    <row r="45" spans="1:21">
      <c r="A45" s="2"/>
      <c r="B45" s="120"/>
      <c r="C45" s="111"/>
      <c r="D45" s="112" t="str">
        <f>IFERROR(CONCATENATE(VLOOKUP(B45,Foods!$A$1:$J$500,2,FALSE)*C45," ",VLOOKUP(B45,Foods!$A$1:$J$500,3,FALSE)),"")</f>
        <v/>
      </c>
      <c r="E45" s="113" t="str">
        <f>IFERROR(VLOOKUP(B45,Foods!$A$1:$J$500,4,FALSE)*C45,"")</f>
        <v/>
      </c>
      <c r="F45" s="113" t="str">
        <f>IFERROR(VLOOKUP(B45,Foods!$A$1:$J$500,5,FALSE)*C45,"")</f>
        <v/>
      </c>
      <c r="G45" s="113" t="str">
        <f>IFERROR(VLOOKUP(B45,Foods!$A$1:$J$500,6,FALSE)*C45,"")</f>
        <v/>
      </c>
      <c r="H45" s="113" t="str">
        <f>IFERROR(VLOOKUP(B45,Foods!$A$1:$J$500,8,FALSE)*C45,"")</f>
        <v/>
      </c>
      <c r="I45" s="25"/>
      <c r="J45" s="25"/>
      <c r="K45" s="34"/>
      <c r="L45" s="120"/>
      <c r="M45" s="111"/>
      <c r="N45" s="112" t="str">
        <f>IFERROR(CONCATENATE(VLOOKUP(L45,Foods!$A$1:$J$500,2,FALSE)*M45," ",VLOOKUP(L45,Foods!$A$1:$J$500,3,FALSE)),"")</f>
        <v/>
      </c>
      <c r="O45" s="113" t="str">
        <f>IFERROR(VLOOKUP(L45,Foods!$A$1:$J$500,4,FALSE)*M45,"")</f>
        <v/>
      </c>
      <c r="P45" s="113" t="str">
        <f>IFERROR(VLOOKUP(L45,Foods!$A$1:$J$500,5,FALSE)*M45,"")</f>
        <v/>
      </c>
      <c r="Q45" s="113" t="str">
        <f>IFERROR(VLOOKUP(L45,Foods!$A$1:$J$500,6,FALSE)*M45,"")</f>
        <v/>
      </c>
      <c r="R45" s="113" t="str">
        <f>IFERROR(VLOOKUP(L45,Foods!$A$1:$J$500,8,FALSE)*M45,"")</f>
        <v/>
      </c>
      <c r="S45" s="25"/>
      <c r="T45" s="25"/>
      <c r="U45" s="2"/>
    </row>
    <row r="46" spans="1:21">
      <c r="A46" s="2"/>
      <c r="B46" s="120"/>
      <c r="C46" s="111"/>
      <c r="D46" s="112" t="str">
        <f>IFERROR(CONCATENATE(VLOOKUP(B46,Foods!$A$1:$J$500,2,FALSE)*C46," ",VLOOKUP(B46,Foods!$A$1:$J$500,3,FALSE)),"")</f>
        <v/>
      </c>
      <c r="E46" s="113" t="str">
        <f>IFERROR(VLOOKUP(B46,Foods!$A$1:$J$500,4,FALSE)*C46,"")</f>
        <v/>
      </c>
      <c r="F46" s="113" t="str">
        <f>IFERROR(VLOOKUP(B46,Foods!$A$1:$J$500,5,FALSE)*C46,"")</f>
        <v/>
      </c>
      <c r="G46" s="113" t="str">
        <f>IFERROR(VLOOKUP(B46,Foods!$A$1:$J$500,6,FALSE)*C46,"")</f>
        <v/>
      </c>
      <c r="H46" s="113" t="str">
        <f>IFERROR(VLOOKUP(B46,Foods!$A$1:$J$500,8,FALSE)*C46,"")</f>
        <v/>
      </c>
      <c r="I46" s="127"/>
      <c r="J46" s="129" t="s">
        <v>38</v>
      </c>
      <c r="K46" s="34"/>
      <c r="L46" s="120"/>
      <c r="M46" s="111"/>
      <c r="N46" s="112" t="str">
        <f>IFERROR(CONCATENATE(VLOOKUP(L46,Foods!$A$1:$J$500,2,FALSE)*M46," ",VLOOKUP(L46,Foods!$A$1:$J$500,3,FALSE)),"")</f>
        <v/>
      </c>
      <c r="O46" s="113" t="str">
        <f>IFERROR(VLOOKUP(L46,Foods!$A$1:$J$500,4,FALSE)*M46,"")</f>
        <v/>
      </c>
      <c r="P46" s="113" t="str">
        <f>IFERROR(VLOOKUP(L46,Foods!$A$1:$J$500,5,FALSE)*M46,"")</f>
        <v/>
      </c>
      <c r="Q46" s="113" t="str">
        <f>IFERROR(VLOOKUP(L46,Foods!$A$1:$J$500,6,FALSE)*M46,"")</f>
        <v/>
      </c>
      <c r="R46" s="113" t="str">
        <f>IFERROR(VLOOKUP(L46,Foods!$A$1:$J$500,8,FALSE)*M46,"")</f>
        <v/>
      </c>
      <c r="S46" s="127"/>
      <c r="T46" s="129" t="s">
        <v>38</v>
      </c>
      <c r="U46" s="2"/>
    </row>
    <row r="47" spans="1:21">
      <c r="A47" s="2"/>
      <c r="B47" s="110"/>
      <c r="C47" s="27"/>
      <c r="D47" s="112" t="str">
        <f>IFERROR(CONCATENATE(VLOOKUP(B47,Foods!$A$1:$J$500,2,FALSE)*C47," ",VLOOKUP(B47,Foods!$A$1:$J$500,3,FALSE)),"")</f>
        <v/>
      </c>
      <c r="E47" s="113" t="str">
        <f>IFERROR(VLOOKUP(B47,Foods!$A$1:$J$500,4,FALSE)*C47,"")</f>
        <v/>
      </c>
      <c r="F47" s="113" t="str">
        <f>IFERROR(VLOOKUP(B47,Foods!$A$1:$J$500,5,FALSE)*C47,"")</f>
        <v/>
      </c>
      <c r="G47" s="113" t="str">
        <f>IFERROR(VLOOKUP(B47,Foods!$A$1:$J$500,6,FALSE)*C47,"")</f>
        <v/>
      </c>
      <c r="H47" s="113" t="str">
        <f>IFERROR(VLOOKUP(B47,Foods!$A$1:$J$500,8,FALSE)*C47,"")</f>
        <v/>
      </c>
      <c r="I47" s="127"/>
      <c r="J47" s="130">
        <f>(J38*4)+(J40*9)+(J42*4)</f>
        <v>0</v>
      </c>
      <c r="K47" s="34"/>
      <c r="L47" s="110"/>
      <c r="M47" s="27"/>
      <c r="N47" s="112" t="str">
        <f>IFERROR(CONCATENATE(VLOOKUP(L47,Foods!$A$1:$J$500,2,FALSE)*M47," ",VLOOKUP(L47,Foods!$A$1:$J$500,3,FALSE)),"")</f>
        <v/>
      </c>
      <c r="O47" s="113" t="str">
        <f>IFERROR(VLOOKUP(L47,Foods!$A$1:$J$500,4,FALSE)*M47,"")</f>
        <v/>
      </c>
      <c r="P47" s="113" t="str">
        <f>IFERROR(VLOOKUP(L47,Foods!$A$1:$J$500,5,FALSE)*M47,"")</f>
        <v/>
      </c>
      <c r="Q47" s="113" t="str">
        <f>IFERROR(VLOOKUP(L47,Foods!$A$1:$J$500,6,FALSE)*M47,"")</f>
        <v/>
      </c>
      <c r="R47" s="113" t="str">
        <f>IFERROR(VLOOKUP(L47,Foods!$A$1:$J$500,8,FALSE)*M47,"")</f>
        <v/>
      </c>
      <c r="S47" s="127"/>
      <c r="T47" s="130">
        <f>(T38*4)+(T40*9)+(T42*4)</f>
        <v>0</v>
      </c>
      <c r="U47" s="2"/>
    </row>
    <row r="48" s="2" customFormat="1" spans="2:20">
      <c r="B48" s="91"/>
      <c r="C48" s="17"/>
      <c r="D48" s="17"/>
      <c r="E48" s="17"/>
      <c r="F48" s="17"/>
      <c r="G48" s="17"/>
      <c r="H48" s="17"/>
      <c r="I48" s="17"/>
      <c r="J48" s="17"/>
      <c r="K48" s="34"/>
      <c r="L48" s="17"/>
      <c r="M48" s="17"/>
      <c r="N48" s="17"/>
      <c r="O48" s="17"/>
      <c r="P48" s="17"/>
      <c r="Q48" s="17"/>
      <c r="R48" s="17"/>
      <c r="S48" s="17"/>
      <c r="T48" s="17"/>
    </row>
    <row r="49" s="2" customFormat="1" spans="2:20">
      <c r="B49" s="91"/>
      <c r="C49" s="17"/>
      <c r="D49" s="17"/>
      <c r="E49" s="17"/>
      <c r="F49" s="17"/>
      <c r="G49" s="17"/>
      <c r="H49" s="17"/>
      <c r="I49" s="17"/>
      <c r="J49" s="17"/>
      <c r="K49" s="34"/>
      <c r="L49" s="17"/>
      <c r="M49" s="17"/>
      <c r="N49" s="17"/>
      <c r="O49" s="17"/>
      <c r="P49" s="17"/>
      <c r="Q49" s="17"/>
      <c r="R49" s="17"/>
      <c r="S49" s="17"/>
      <c r="T49" s="17"/>
    </row>
    <row r="50" s="2" customFormat="1" spans="2:20">
      <c r="B50" s="91"/>
      <c r="C50" s="17"/>
      <c r="D50" s="17"/>
      <c r="E50" s="17"/>
      <c r="F50" s="17"/>
      <c r="G50" s="17"/>
      <c r="H50" s="17"/>
      <c r="I50" s="17"/>
      <c r="J50" s="17"/>
      <c r="K50" s="34"/>
      <c r="L50" s="17"/>
      <c r="M50" s="17"/>
      <c r="N50" s="17"/>
      <c r="O50" s="17"/>
      <c r="P50" s="17"/>
      <c r="Q50" s="17"/>
      <c r="R50" s="17"/>
      <c r="S50" s="17"/>
      <c r="T50" s="17"/>
    </row>
    <row r="51" s="2" customFormat="1" spans="2:20">
      <c r="B51" s="91"/>
      <c r="C51" s="17"/>
      <c r="D51" s="17"/>
      <c r="E51" s="17"/>
      <c r="F51" s="17"/>
      <c r="G51" s="17"/>
      <c r="H51" s="17"/>
      <c r="I51" s="17"/>
      <c r="J51" s="17"/>
      <c r="K51" s="34"/>
      <c r="L51" s="17"/>
      <c r="M51" s="17"/>
      <c r="N51" s="17"/>
      <c r="O51" s="17"/>
      <c r="P51" s="17"/>
      <c r="Q51" s="17"/>
      <c r="R51" s="17"/>
      <c r="S51" s="17"/>
      <c r="T51" s="17"/>
    </row>
    <row r="52" s="2" customFormat="1" spans="2:20">
      <c r="B52" s="91"/>
      <c r="C52" s="17"/>
      <c r="D52" s="17"/>
      <c r="E52" s="17"/>
      <c r="F52" s="17"/>
      <c r="G52" s="17"/>
      <c r="H52" s="17"/>
      <c r="I52" s="17"/>
      <c r="J52" s="17"/>
      <c r="K52" s="34"/>
      <c r="L52" s="17"/>
      <c r="M52" s="17"/>
      <c r="N52" s="17"/>
      <c r="O52" s="17"/>
      <c r="P52" s="17"/>
      <c r="Q52" s="17"/>
      <c r="R52" s="17"/>
      <c r="S52" s="17"/>
      <c r="T52" s="17"/>
    </row>
    <row r="53" s="2" customFormat="1" spans="2:20">
      <c r="B53" s="91"/>
      <c r="C53" s="17"/>
      <c r="D53" s="17"/>
      <c r="E53" s="17"/>
      <c r="F53" s="17"/>
      <c r="G53" s="17"/>
      <c r="H53" s="17"/>
      <c r="I53" s="17"/>
      <c r="J53" s="17"/>
      <c r="K53" s="34"/>
      <c r="L53" s="17"/>
      <c r="M53" s="17"/>
      <c r="N53" s="17"/>
      <c r="O53" s="17"/>
      <c r="P53" s="17"/>
      <c r="Q53" s="17"/>
      <c r="R53" s="17"/>
      <c r="S53" s="17"/>
      <c r="T53" s="17"/>
    </row>
    <row r="54" s="2" customFormat="1" spans="2:20">
      <c r="B54" s="91"/>
      <c r="C54" s="17"/>
      <c r="D54" s="17"/>
      <c r="E54" s="17"/>
      <c r="F54" s="17"/>
      <c r="G54" s="17"/>
      <c r="H54" s="17"/>
      <c r="I54" s="17"/>
      <c r="J54" s="17"/>
      <c r="K54" s="34"/>
      <c r="L54" s="17"/>
      <c r="M54" s="17"/>
      <c r="N54" s="17"/>
      <c r="O54" s="17"/>
      <c r="P54" s="17"/>
      <c r="Q54" s="17"/>
      <c r="R54" s="17"/>
      <c r="S54" s="17"/>
      <c r="T54" s="17"/>
    </row>
    <row r="55" s="2" customFormat="1" spans="2:20">
      <c r="B55" s="91"/>
      <c r="C55" s="17"/>
      <c r="D55" s="17"/>
      <c r="E55" s="17"/>
      <c r="F55" s="17"/>
      <c r="G55" s="17"/>
      <c r="H55" s="17"/>
      <c r="I55" s="17"/>
      <c r="J55" s="17"/>
      <c r="K55" s="34"/>
      <c r="L55" s="17"/>
      <c r="M55" s="17"/>
      <c r="N55" s="17"/>
      <c r="O55" s="17"/>
      <c r="P55" s="17"/>
      <c r="Q55" s="17"/>
      <c r="R55" s="17"/>
      <c r="S55" s="17"/>
      <c r="T55" s="17"/>
    </row>
    <row r="56" s="2" customFormat="1" spans="2:20">
      <c r="B56" s="91"/>
      <c r="C56" s="17"/>
      <c r="D56" s="17"/>
      <c r="E56" s="17"/>
      <c r="F56" s="17"/>
      <c r="G56" s="17"/>
      <c r="H56" s="17"/>
      <c r="I56" s="17"/>
      <c r="J56" s="17"/>
      <c r="K56" s="34"/>
      <c r="L56" s="17"/>
      <c r="M56" s="17"/>
      <c r="N56" s="17"/>
      <c r="O56" s="17"/>
      <c r="P56" s="17"/>
      <c r="Q56" s="17"/>
      <c r="R56" s="17"/>
      <c r="S56" s="17"/>
      <c r="T56" s="17"/>
    </row>
    <row r="57" s="2" customFormat="1" spans="2:20">
      <c r="B57" s="91"/>
      <c r="C57" s="17"/>
      <c r="D57" s="17"/>
      <c r="E57" s="17"/>
      <c r="F57" s="17"/>
      <c r="G57" s="17"/>
      <c r="H57" s="17"/>
      <c r="I57" s="17"/>
      <c r="J57" s="17"/>
      <c r="K57" s="34"/>
      <c r="L57" s="17"/>
      <c r="M57" s="17"/>
      <c r="N57" s="17"/>
      <c r="O57" s="17"/>
      <c r="P57" s="17"/>
      <c r="Q57" s="17"/>
      <c r="R57" s="17"/>
      <c r="S57" s="17"/>
      <c r="T57" s="17"/>
    </row>
    <row r="58" s="2" customFormat="1" spans="2:20">
      <c r="B58" s="91"/>
      <c r="C58" s="17"/>
      <c r="D58" s="17"/>
      <c r="E58" s="17"/>
      <c r="F58" s="17"/>
      <c r="G58" s="17"/>
      <c r="H58" s="17"/>
      <c r="I58" s="17"/>
      <c r="J58" s="17"/>
      <c r="K58" s="34"/>
      <c r="L58" s="17"/>
      <c r="M58" s="17"/>
      <c r="N58" s="17"/>
      <c r="O58" s="17"/>
      <c r="P58" s="17"/>
      <c r="Q58" s="17"/>
      <c r="R58" s="17"/>
      <c r="S58" s="17"/>
      <c r="T58" s="17"/>
    </row>
    <row r="59" s="2" customFormat="1" spans="2:20">
      <c r="B59" s="91"/>
      <c r="C59" s="17"/>
      <c r="D59" s="17"/>
      <c r="E59" s="17"/>
      <c r="F59" s="17"/>
      <c r="G59" s="17"/>
      <c r="H59" s="17"/>
      <c r="I59" s="17"/>
      <c r="J59" s="17"/>
      <c r="K59" s="34"/>
      <c r="L59" s="17"/>
      <c r="M59" s="17"/>
      <c r="N59" s="17"/>
      <c r="O59" s="17"/>
      <c r="P59" s="17"/>
      <c r="Q59" s="17"/>
      <c r="R59" s="17"/>
      <c r="S59" s="17"/>
      <c r="T59" s="17"/>
    </row>
  </sheetData>
  <mergeCells count="35">
    <mergeCell ref="B12:J12"/>
    <mergeCell ref="L12:T12"/>
    <mergeCell ref="I13:J13"/>
    <mergeCell ref="S13:T13"/>
    <mergeCell ref="I15:J15"/>
    <mergeCell ref="S15:T15"/>
    <mergeCell ref="I17:J17"/>
    <mergeCell ref="S17:T17"/>
    <mergeCell ref="I19:J19"/>
    <mergeCell ref="S19:T19"/>
    <mergeCell ref="B24:J24"/>
    <mergeCell ref="L24:T24"/>
    <mergeCell ref="I25:J25"/>
    <mergeCell ref="S25:T25"/>
    <mergeCell ref="I27:J27"/>
    <mergeCell ref="S27:T27"/>
    <mergeCell ref="I29:J29"/>
    <mergeCell ref="S29:T29"/>
    <mergeCell ref="I31:J31"/>
    <mergeCell ref="S31:T31"/>
    <mergeCell ref="B36:J36"/>
    <mergeCell ref="L36:T36"/>
    <mergeCell ref="I37:J37"/>
    <mergeCell ref="S37:T37"/>
    <mergeCell ref="I39:J39"/>
    <mergeCell ref="S39:T39"/>
    <mergeCell ref="I41:J41"/>
    <mergeCell ref="S41:T41"/>
    <mergeCell ref="I43:J43"/>
    <mergeCell ref="S43:T43"/>
    <mergeCell ref="C7:C8"/>
    <mergeCell ref="D7:D8"/>
    <mergeCell ref="E7:E8"/>
    <mergeCell ref="F7:F8"/>
    <mergeCell ref="N3:R7"/>
  </mergeCells>
  <conditionalFormatting sqref="D7:D8">
    <cfRule type="cellIs" dxfId="0" priority="15" operator="greaterThan">
      <formula>'Calorie Calculator'!$E$13</formula>
    </cfRule>
    <cfRule type="cellIs" dxfId="1" priority="16" operator="lessThan">
      <formula>'Calorie Calculator'!$E$13</formula>
    </cfRule>
  </conditionalFormatting>
  <conditionalFormatting sqref="F7:F8">
    <cfRule type="expression" dxfId="2" priority="17">
      <formula>$D$7&gt;'Calorie Calculator'!$E$13</formula>
    </cfRule>
    <cfRule type="expression" dxfId="3" priority="18">
      <formula>$D$7&lt;'Calorie Calculator'!$E$13</formula>
    </cfRule>
  </conditionalFormatting>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L500"/>
  <sheetViews>
    <sheetView workbookViewId="0">
      <pane ySplit="1" topLeftCell="A68" activePane="bottomLeft" state="frozen"/>
      <selection/>
      <selection pane="bottomLeft" activeCell="A98" sqref="A98"/>
    </sheetView>
  </sheetViews>
  <sheetFormatPr defaultColWidth="9" defaultRowHeight="15"/>
  <cols>
    <col min="1" max="1" width="31.8571428571429" style="76" customWidth="1"/>
    <col min="2" max="2" width="12.7142857142857" style="76" customWidth="1"/>
    <col min="3" max="3" width="12" style="76" customWidth="1"/>
    <col min="4" max="4" width="15" style="76" customWidth="1"/>
    <col min="5" max="5" width="12" style="76" customWidth="1"/>
    <col min="6" max="7" width="13.2857142857143" style="76" customWidth="1"/>
    <col min="8" max="8" width="13" style="76" customWidth="1"/>
    <col min="9" max="9" width="14.4285714285714" style="76" customWidth="1"/>
    <col min="10" max="10" width="22.2857142857143" style="76" customWidth="1"/>
    <col min="11" max="11" width="22" style="76" customWidth="1"/>
    <col min="12" max="12" width="9.14285714285714" style="77"/>
    <col min="13" max="16383" width="9.14285714285714" style="54"/>
    <col min="16384" max="16384" width="9.14285714285714"/>
  </cols>
  <sheetData>
    <row r="1" spans="1:12">
      <c r="A1" s="78" t="s">
        <v>61</v>
      </c>
      <c r="B1" s="79" t="s">
        <v>62</v>
      </c>
      <c r="C1" s="79" t="s">
        <v>63</v>
      </c>
      <c r="D1" s="79" t="s">
        <v>18</v>
      </c>
      <c r="E1" s="79" t="s">
        <v>19</v>
      </c>
      <c r="F1" s="79" t="s">
        <v>20</v>
      </c>
      <c r="G1" s="79" t="s">
        <v>64</v>
      </c>
      <c r="H1" s="79" t="s">
        <v>21</v>
      </c>
      <c r="I1" s="79" t="s">
        <v>65</v>
      </c>
      <c r="J1" s="83" t="s">
        <v>66</v>
      </c>
      <c r="K1" s="84" t="s">
        <v>67</v>
      </c>
      <c r="L1" s="85"/>
    </row>
    <row r="2" spans="1:12">
      <c r="A2" s="50" t="s">
        <v>53</v>
      </c>
      <c r="B2" s="76">
        <v>100</v>
      </c>
      <c r="C2" s="80" t="s">
        <v>68</v>
      </c>
      <c r="D2" s="76">
        <v>0</v>
      </c>
      <c r="E2" s="76">
        <v>0</v>
      </c>
      <c r="F2" s="76">
        <v>54.25</v>
      </c>
      <c r="K2" s="76" t="s">
        <v>69</v>
      </c>
      <c r="L2" s="85"/>
    </row>
    <row r="3" spans="1:12">
      <c r="A3" s="27" t="s">
        <v>24</v>
      </c>
      <c r="B3" s="76">
        <v>5</v>
      </c>
      <c r="C3" s="80" t="s">
        <v>70</v>
      </c>
      <c r="D3" s="76">
        <v>1.1</v>
      </c>
      <c r="E3" s="76">
        <v>2</v>
      </c>
      <c r="F3" s="76">
        <v>0.9</v>
      </c>
      <c r="H3" s="76">
        <v>1.3</v>
      </c>
      <c r="I3" s="76" t="s">
        <v>71</v>
      </c>
      <c r="J3" s="76" t="s">
        <v>72</v>
      </c>
      <c r="K3" s="76" t="s">
        <v>73</v>
      </c>
      <c r="L3" s="85"/>
    </row>
    <row r="4" spans="1:12">
      <c r="A4" s="27" t="s">
        <v>74</v>
      </c>
      <c r="B4" s="76">
        <v>100</v>
      </c>
      <c r="C4" s="80" t="s">
        <v>70</v>
      </c>
      <c r="D4" s="76">
        <v>14.6</v>
      </c>
      <c r="E4" s="76">
        <v>18.5</v>
      </c>
      <c r="F4" s="76">
        <v>3.4</v>
      </c>
      <c r="H4" s="76">
        <v>0</v>
      </c>
      <c r="I4" s="76" t="s">
        <v>75</v>
      </c>
      <c r="J4" s="76" t="s">
        <v>76</v>
      </c>
      <c r="K4" s="76" t="s">
        <v>77</v>
      </c>
      <c r="L4" s="85"/>
    </row>
    <row r="5" spans="1:12">
      <c r="A5" s="27" t="s">
        <v>78</v>
      </c>
      <c r="B5" s="76">
        <v>100</v>
      </c>
      <c r="C5" s="80" t="s">
        <v>70</v>
      </c>
      <c r="D5" s="76">
        <v>19.4</v>
      </c>
      <c r="E5" s="76">
        <v>13</v>
      </c>
      <c r="F5" s="76">
        <v>0</v>
      </c>
      <c r="H5" s="76">
        <v>0</v>
      </c>
      <c r="I5" s="76" t="s">
        <v>71</v>
      </c>
      <c r="K5" s="76" t="s">
        <v>77</v>
      </c>
      <c r="L5" s="85"/>
    </row>
    <row r="6" spans="1:12">
      <c r="A6" s="27" t="s">
        <v>79</v>
      </c>
      <c r="B6" s="76">
        <v>100</v>
      </c>
      <c r="C6" s="80" t="s">
        <v>70</v>
      </c>
      <c r="D6" s="76">
        <v>18.5</v>
      </c>
      <c r="E6" s="76">
        <v>10</v>
      </c>
      <c r="F6" s="76">
        <v>0.3</v>
      </c>
      <c r="H6" s="76">
        <v>0</v>
      </c>
      <c r="I6" s="76" t="s">
        <v>75</v>
      </c>
      <c r="K6" s="76" t="s">
        <v>77</v>
      </c>
      <c r="L6" s="85"/>
    </row>
    <row r="7" spans="1:12">
      <c r="A7" s="27" t="s">
        <v>80</v>
      </c>
      <c r="B7" s="76">
        <v>100</v>
      </c>
      <c r="C7" s="80" t="s">
        <v>70</v>
      </c>
      <c r="D7" s="76">
        <v>20.6</v>
      </c>
      <c r="E7" s="76">
        <v>9.7</v>
      </c>
      <c r="F7" s="76">
        <v>0.3</v>
      </c>
      <c r="H7" s="76">
        <v>0</v>
      </c>
      <c r="I7" s="76" t="s">
        <v>75</v>
      </c>
      <c r="J7" s="76" t="s">
        <v>76</v>
      </c>
      <c r="K7" s="76" t="s">
        <v>77</v>
      </c>
      <c r="L7" s="85"/>
    </row>
    <row r="8" spans="1:12">
      <c r="A8" s="50" t="s">
        <v>47</v>
      </c>
      <c r="B8" s="76">
        <v>100</v>
      </c>
      <c r="C8" s="80" t="s">
        <v>70</v>
      </c>
      <c r="D8" s="76">
        <v>32</v>
      </c>
      <c r="E8" s="76">
        <v>6</v>
      </c>
      <c r="F8" s="76">
        <v>0</v>
      </c>
      <c r="I8" s="76" t="s">
        <v>71</v>
      </c>
      <c r="K8" s="76" t="s">
        <v>77</v>
      </c>
      <c r="L8" s="85"/>
    </row>
    <row r="9" spans="1:12">
      <c r="A9" s="27" t="s">
        <v>81</v>
      </c>
      <c r="B9" s="76">
        <v>100</v>
      </c>
      <c r="C9" s="80" t="s">
        <v>68</v>
      </c>
      <c r="D9" s="76">
        <v>3.32</v>
      </c>
      <c r="E9" s="76">
        <v>0</v>
      </c>
      <c r="F9" s="76">
        <v>0</v>
      </c>
      <c r="H9" s="76">
        <v>0</v>
      </c>
      <c r="I9" s="76" t="s">
        <v>82</v>
      </c>
      <c r="K9" s="76" t="s">
        <v>83</v>
      </c>
      <c r="L9" s="85"/>
    </row>
    <row r="10" spans="1:12">
      <c r="A10" s="27" t="s">
        <v>84</v>
      </c>
      <c r="B10" s="76">
        <v>100</v>
      </c>
      <c r="C10" s="80" t="s">
        <v>70</v>
      </c>
      <c r="D10" s="76">
        <v>10.7</v>
      </c>
      <c r="E10" s="76">
        <v>3</v>
      </c>
      <c r="F10" s="76">
        <v>46.8</v>
      </c>
      <c r="G10" s="76">
        <v>2.1</v>
      </c>
      <c r="H10" s="76">
        <v>4.3</v>
      </c>
      <c r="I10" s="76" t="s">
        <v>71</v>
      </c>
      <c r="J10" s="76" t="s">
        <v>71</v>
      </c>
      <c r="K10" s="76" t="s">
        <v>85</v>
      </c>
      <c r="L10" s="85"/>
    </row>
    <row r="11" spans="1:12">
      <c r="A11" s="27" t="s">
        <v>86</v>
      </c>
      <c r="B11" s="76">
        <v>100</v>
      </c>
      <c r="C11" s="80" t="s">
        <v>70</v>
      </c>
      <c r="D11" s="76">
        <v>0.4</v>
      </c>
      <c r="E11" s="76">
        <v>0</v>
      </c>
      <c r="F11" s="76">
        <v>83</v>
      </c>
      <c r="H11" s="76">
        <v>0</v>
      </c>
      <c r="I11" s="76" t="s">
        <v>71</v>
      </c>
      <c r="J11" s="76" t="s">
        <v>87</v>
      </c>
      <c r="K11" s="76" t="s">
        <v>88</v>
      </c>
      <c r="L11" s="85"/>
    </row>
    <row r="12" spans="1:12">
      <c r="A12" s="27" t="s">
        <v>89</v>
      </c>
      <c r="B12" s="76">
        <v>100</v>
      </c>
      <c r="C12" s="80" t="s">
        <v>68</v>
      </c>
      <c r="D12" s="76">
        <v>3.1</v>
      </c>
      <c r="E12" s="76">
        <v>28.5</v>
      </c>
      <c r="F12" s="76">
        <v>4</v>
      </c>
      <c r="H12" s="76">
        <v>0</v>
      </c>
      <c r="I12" s="76" t="s">
        <v>75</v>
      </c>
      <c r="J12" s="76" t="s">
        <v>90</v>
      </c>
      <c r="K12" s="76" t="s">
        <v>91</v>
      </c>
      <c r="L12" s="85"/>
    </row>
    <row r="13" spans="1:12">
      <c r="A13" s="27" t="s">
        <v>92</v>
      </c>
      <c r="B13" s="76">
        <v>1</v>
      </c>
      <c r="C13" s="80" t="s">
        <v>93</v>
      </c>
      <c r="D13" s="76">
        <v>4.7</v>
      </c>
      <c r="E13" s="76">
        <v>6.9</v>
      </c>
      <c r="F13" s="76">
        <v>0.5</v>
      </c>
      <c r="H13" s="76">
        <v>0</v>
      </c>
      <c r="I13" s="76" t="s">
        <v>71</v>
      </c>
      <c r="K13" s="76" t="s">
        <v>94</v>
      </c>
      <c r="L13" s="85"/>
    </row>
    <row r="14" spans="1:12">
      <c r="A14" s="27" t="s">
        <v>95</v>
      </c>
      <c r="B14" s="76">
        <v>100</v>
      </c>
      <c r="C14" s="80" t="s">
        <v>70</v>
      </c>
      <c r="D14" s="76">
        <v>25.5</v>
      </c>
      <c r="E14" s="76">
        <v>32.7</v>
      </c>
      <c r="F14" s="76">
        <v>0.5</v>
      </c>
      <c r="G14" s="76">
        <v>0.5</v>
      </c>
      <c r="H14" s="76">
        <v>0</v>
      </c>
      <c r="I14" s="76" t="s">
        <v>71</v>
      </c>
      <c r="K14" s="76" t="s">
        <v>94</v>
      </c>
      <c r="L14" s="85"/>
    </row>
    <row r="15" spans="1:12">
      <c r="A15" s="27" t="s">
        <v>96</v>
      </c>
      <c r="B15" s="76">
        <v>100</v>
      </c>
      <c r="C15" s="80" t="s">
        <v>68</v>
      </c>
      <c r="D15" s="76">
        <v>2.1</v>
      </c>
      <c r="E15" s="76">
        <v>35</v>
      </c>
      <c r="F15" s="76">
        <v>2.5</v>
      </c>
      <c r="H15" s="76">
        <v>0</v>
      </c>
      <c r="I15" s="76" t="s">
        <v>75</v>
      </c>
      <c r="J15" s="76" t="s">
        <v>97</v>
      </c>
      <c r="K15" s="76" t="s">
        <v>94</v>
      </c>
      <c r="L15" s="85"/>
    </row>
    <row r="16" spans="1:12">
      <c r="A16" s="27" t="s">
        <v>98</v>
      </c>
      <c r="B16" s="76">
        <v>100</v>
      </c>
      <c r="C16" s="80" t="s">
        <v>70</v>
      </c>
      <c r="D16" s="76">
        <v>5</v>
      </c>
      <c r="E16" s="76">
        <v>5.3</v>
      </c>
      <c r="F16" s="76">
        <v>4.8</v>
      </c>
      <c r="G16" s="76">
        <v>4.7</v>
      </c>
      <c r="H16" s="76">
        <v>0</v>
      </c>
      <c r="I16" s="76" t="s">
        <v>71</v>
      </c>
      <c r="J16" s="76" t="s">
        <v>99</v>
      </c>
      <c r="K16" s="76" t="s">
        <v>94</v>
      </c>
      <c r="L16" s="85"/>
    </row>
    <row r="17" spans="1:12">
      <c r="A17" s="81" t="s">
        <v>100</v>
      </c>
      <c r="B17" s="76">
        <v>1</v>
      </c>
      <c r="C17" s="80" t="s">
        <v>93</v>
      </c>
      <c r="D17" s="76">
        <v>4.7</v>
      </c>
      <c r="E17" s="76">
        <v>6.9</v>
      </c>
      <c r="F17" s="76">
        <v>0</v>
      </c>
      <c r="G17" s="76">
        <v>0</v>
      </c>
      <c r="H17" s="76">
        <v>0</v>
      </c>
      <c r="I17" s="76" t="s">
        <v>71</v>
      </c>
      <c r="J17" s="76" t="s">
        <v>101</v>
      </c>
      <c r="K17" s="76" t="s">
        <v>94</v>
      </c>
      <c r="L17" s="85"/>
    </row>
    <row r="18" spans="1:12">
      <c r="A18" s="27" t="s">
        <v>102</v>
      </c>
      <c r="B18" s="76">
        <v>1</v>
      </c>
      <c r="C18" s="80" t="s">
        <v>93</v>
      </c>
      <c r="D18" s="76">
        <v>3.6</v>
      </c>
      <c r="E18" s="76">
        <v>5.8</v>
      </c>
      <c r="F18" s="76">
        <v>0</v>
      </c>
      <c r="G18" s="76">
        <v>0</v>
      </c>
      <c r="H18" s="76">
        <v>0</v>
      </c>
      <c r="I18" s="76" t="s">
        <v>71</v>
      </c>
      <c r="J18" s="76" t="s">
        <v>101</v>
      </c>
      <c r="K18" s="76" t="s">
        <v>94</v>
      </c>
      <c r="L18" s="85"/>
    </row>
    <row r="19" spans="1:12">
      <c r="A19" s="50" t="s">
        <v>103</v>
      </c>
      <c r="B19" s="76">
        <v>1</v>
      </c>
      <c r="C19" s="80" t="s">
        <v>93</v>
      </c>
      <c r="D19" s="76">
        <v>5.7</v>
      </c>
      <c r="E19" s="76">
        <v>5.3</v>
      </c>
      <c r="F19" s="76">
        <v>0</v>
      </c>
      <c r="G19" s="76">
        <v>0</v>
      </c>
      <c r="H19" s="76">
        <v>0</v>
      </c>
      <c r="I19" s="76" t="s">
        <v>71</v>
      </c>
      <c r="J19" s="76" t="s">
        <v>104</v>
      </c>
      <c r="K19" s="76" t="s">
        <v>94</v>
      </c>
      <c r="L19" s="85"/>
    </row>
    <row r="20" spans="1:12">
      <c r="A20" s="50" t="s">
        <v>105</v>
      </c>
      <c r="B20" s="76">
        <v>100</v>
      </c>
      <c r="C20" s="80" t="s">
        <v>70</v>
      </c>
      <c r="D20" s="76">
        <v>3.8</v>
      </c>
      <c r="E20" s="76">
        <v>10</v>
      </c>
      <c r="F20" s="76">
        <v>6.1</v>
      </c>
      <c r="G20" s="76">
        <v>4.8</v>
      </c>
      <c r="I20" s="76" t="s">
        <v>71</v>
      </c>
      <c r="J20" s="76" t="s">
        <v>99</v>
      </c>
      <c r="K20" s="76" t="s">
        <v>94</v>
      </c>
      <c r="L20" s="85"/>
    </row>
    <row r="21" spans="1:12">
      <c r="A21" s="50" t="s">
        <v>106</v>
      </c>
      <c r="B21" s="76">
        <v>100</v>
      </c>
      <c r="C21" s="80" t="s">
        <v>70</v>
      </c>
      <c r="D21" s="76">
        <v>23.3</v>
      </c>
      <c r="E21" s="76">
        <v>37.4</v>
      </c>
      <c r="F21" s="76">
        <v>0</v>
      </c>
      <c r="I21" s="76" t="s">
        <v>71</v>
      </c>
      <c r="J21" s="76" t="s">
        <v>101</v>
      </c>
      <c r="K21" s="76" t="s">
        <v>94</v>
      </c>
      <c r="L21" s="85"/>
    </row>
    <row r="22" spans="1:12">
      <c r="A22" s="50" t="s">
        <v>107</v>
      </c>
      <c r="B22" s="76">
        <v>100</v>
      </c>
      <c r="C22" s="80" t="s">
        <v>70</v>
      </c>
      <c r="D22" s="76">
        <v>20.8</v>
      </c>
      <c r="E22" s="76">
        <v>24.7</v>
      </c>
      <c r="F22" s="76">
        <v>1.6</v>
      </c>
      <c r="I22" s="76" t="s">
        <v>71</v>
      </c>
      <c r="K22" s="76" t="s">
        <v>94</v>
      </c>
      <c r="L22" s="85"/>
    </row>
    <row r="23" spans="1:12">
      <c r="A23" s="50" t="s">
        <v>108</v>
      </c>
      <c r="B23" s="76">
        <v>100</v>
      </c>
      <c r="C23" s="80" t="s">
        <v>70</v>
      </c>
      <c r="D23" s="76">
        <v>14.21</v>
      </c>
      <c r="E23" s="76">
        <v>21.28</v>
      </c>
      <c r="F23" s="76">
        <v>4.09</v>
      </c>
      <c r="I23" s="76" t="s">
        <v>71</v>
      </c>
      <c r="K23" s="76" t="s">
        <v>94</v>
      </c>
      <c r="L23" s="85"/>
    </row>
    <row r="24" spans="1:12">
      <c r="A24" s="27" t="s">
        <v>26</v>
      </c>
      <c r="B24" s="76">
        <v>100</v>
      </c>
      <c r="C24" s="80" t="s">
        <v>70</v>
      </c>
      <c r="D24" s="76">
        <v>2</v>
      </c>
      <c r="E24" s="76">
        <v>14.7</v>
      </c>
      <c r="F24" s="76">
        <v>8.5</v>
      </c>
      <c r="H24" s="76">
        <v>7.5</v>
      </c>
      <c r="K24" s="76" t="s">
        <v>109</v>
      </c>
      <c r="L24" s="85"/>
    </row>
    <row r="25" spans="1:12">
      <c r="A25" s="27" t="s">
        <v>25</v>
      </c>
      <c r="B25" s="76">
        <v>100</v>
      </c>
      <c r="C25" s="80" t="s">
        <v>70</v>
      </c>
      <c r="D25" s="76">
        <v>0.4</v>
      </c>
      <c r="E25" s="76">
        <v>0.6</v>
      </c>
      <c r="F25" s="76">
        <v>12.2</v>
      </c>
      <c r="H25" s="76">
        <v>3.6</v>
      </c>
      <c r="I25" s="76" t="s">
        <v>75</v>
      </c>
      <c r="J25" s="76" t="s">
        <v>110</v>
      </c>
      <c r="K25" s="76" t="s">
        <v>109</v>
      </c>
      <c r="L25" s="85"/>
    </row>
    <row r="26" spans="1:12">
      <c r="A26" s="27" t="s">
        <v>111</v>
      </c>
      <c r="B26" s="76">
        <v>100</v>
      </c>
      <c r="C26" s="80" t="s">
        <v>68</v>
      </c>
      <c r="D26" s="76">
        <v>1</v>
      </c>
      <c r="E26" s="76">
        <v>0</v>
      </c>
      <c r="F26" s="76">
        <v>10</v>
      </c>
      <c r="H26" s="76">
        <v>0</v>
      </c>
      <c r="K26" s="76" t="s">
        <v>109</v>
      </c>
      <c r="L26" s="85"/>
    </row>
    <row r="27" spans="1:12">
      <c r="A27" s="27" t="s">
        <v>112</v>
      </c>
      <c r="B27" s="76">
        <v>100</v>
      </c>
      <c r="C27" s="80" t="s">
        <v>70</v>
      </c>
      <c r="D27" s="76">
        <v>1.7</v>
      </c>
      <c r="E27" s="76">
        <v>1.2</v>
      </c>
      <c r="F27" s="76">
        <v>14.7</v>
      </c>
      <c r="H27" s="76">
        <v>6.4</v>
      </c>
      <c r="I27" s="76" t="s">
        <v>75</v>
      </c>
      <c r="J27" s="76" t="s">
        <v>75</v>
      </c>
      <c r="K27" s="76" t="s">
        <v>109</v>
      </c>
      <c r="L27" s="85"/>
    </row>
    <row r="28" spans="1:12">
      <c r="A28" s="81" t="s">
        <v>113</v>
      </c>
      <c r="B28" s="76">
        <v>100</v>
      </c>
      <c r="C28" s="80" t="s">
        <v>70</v>
      </c>
      <c r="D28" s="82">
        <v>21</v>
      </c>
      <c r="E28" s="82">
        <v>51</v>
      </c>
      <c r="F28" s="82">
        <v>20</v>
      </c>
      <c r="G28" s="82"/>
      <c r="H28" s="82">
        <v>10.9</v>
      </c>
      <c r="I28" s="82"/>
      <c r="J28" s="82"/>
      <c r="K28" s="82" t="s">
        <v>114</v>
      </c>
      <c r="L28" s="85"/>
    </row>
    <row r="29" spans="1:12">
      <c r="A29" s="27" t="s">
        <v>115</v>
      </c>
      <c r="B29" s="76">
        <v>100</v>
      </c>
      <c r="C29" s="80" t="s">
        <v>70</v>
      </c>
      <c r="D29" s="76">
        <v>20.4</v>
      </c>
      <c r="E29" s="76">
        <v>53</v>
      </c>
      <c r="F29" s="76">
        <v>9.1</v>
      </c>
      <c r="H29" s="76">
        <v>12.5</v>
      </c>
      <c r="I29" s="76" t="s">
        <v>75</v>
      </c>
      <c r="K29" s="76" t="s">
        <v>114</v>
      </c>
      <c r="L29" s="85"/>
    </row>
    <row r="30" spans="1:12">
      <c r="A30" s="27" t="s">
        <v>116</v>
      </c>
      <c r="B30" s="76">
        <v>100</v>
      </c>
      <c r="C30" s="80" t="s">
        <v>70</v>
      </c>
      <c r="D30" s="76">
        <v>2.3</v>
      </c>
      <c r="E30" s="76">
        <v>76.2</v>
      </c>
      <c r="F30" s="76">
        <v>4.5</v>
      </c>
      <c r="H30" s="76">
        <v>6.4</v>
      </c>
      <c r="K30" s="76" t="s">
        <v>114</v>
      </c>
      <c r="L30" s="85"/>
    </row>
    <row r="31" spans="1:12">
      <c r="A31" s="27" t="s">
        <v>117</v>
      </c>
      <c r="B31" s="76">
        <v>100</v>
      </c>
      <c r="C31" s="80" t="s">
        <v>70</v>
      </c>
      <c r="D31" s="76">
        <v>14.4</v>
      </c>
      <c r="E31" s="76">
        <v>69.2</v>
      </c>
      <c r="F31" s="76">
        <v>3</v>
      </c>
      <c r="G31" s="76">
        <v>2.7</v>
      </c>
      <c r="H31" s="76">
        <v>6.4</v>
      </c>
      <c r="K31" s="76" t="s">
        <v>114</v>
      </c>
      <c r="L31" s="85"/>
    </row>
    <row r="32" spans="1:12">
      <c r="A32" s="81" t="s">
        <v>118</v>
      </c>
      <c r="B32" s="76">
        <v>100</v>
      </c>
      <c r="C32" s="80" t="s">
        <v>70</v>
      </c>
      <c r="D32" s="76">
        <v>14.4</v>
      </c>
      <c r="E32" s="76">
        <v>68.5</v>
      </c>
      <c r="F32" s="76">
        <v>2.4</v>
      </c>
      <c r="G32" s="76">
        <v>2.1</v>
      </c>
      <c r="H32" s="76">
        <v>8.5</v>
      </c>
      <c r="K32" s="76" t="s">
        <v>114</v>
      </c>
      <c r="L32" s="85"/>
    </row>
    <row r="33" spans="1:12">
      <c r="A33" s="27" t="s">
        <v>119</v>
      </c>
      <c r="B33" s="76">
        <v>100</v>
      </c>
      <c r="C33" s="80" t="s">
        <v>68</v>
      </c>
      <c r="D33" s="76">
        <v>0</v>
      </c>
      <c r="E33" s="76">
        <v>100</v>
      </c>
      <c r="F33" s="76">
        <v>0</v>
      </c>
      <c r="H33" s="76">
        <v>0</v>
      </c>
      <c r="K33" s="76" t="s">
        <v>120</v>
      </c>
      <c r="L33" s="85"/>
    </row>
    <row r="34" spans="1:12">
      <c r="A34" s="27" t="s">
        <v>121</v>
      </c>
      <c r="B34" s="76">
        <v>1</v>
      </c>
      <c r="C34" s="80" t="s">
        <v>122</v>
      </c>
      <c r="D34" s="76">
        <v>0</v>
      </c>
      <c r="E34" s="76">
        <v>1.5</v>
      </c>
      <c r="F34" s="76">
        <v>0</v>
      </c>
      <c r="H34" s="76">
        <v>0</v>
      </c>
      <c r="J34" s="76" t="s">
        <v>123</v>
      </c>
      <c r="K34" s="76" t="s">
        <v>120</v>
      </c>
      <c r="L34" s="85"/>
    </row>
    <row r="35" spans="1:12">
      <c r="A35" s="27" t="s">
        <v>124</v>
      </c>
      <c r="B35" s="76">
        <v>100</v>
      </c>
      <c r="C35" s="80" t="s">
        <v>68</v>
      </c>
      <c r="D35" s="76">
        <v>0</v>
      </c>
      <c r="E35" s="76">
        <v>95</v>
      </c>
      <c r="F35" s="76">
        <v>0</v>
      </c>
      <c r="H35" s="76">
        <v>0</v>
      </c>
      <c r="I35" s="76" t="s">
        <v>71</v>
      </c>
      <c r="J35" s="76" t="s">
        <v>125</v>
      </c>
      <c r="K35" s="76" t="s">
        <v>120</v>
      </c>
      <c r="L35" s="85"/>
    </row>
    <row r="36" spans="1:12">
      <c r="A36" s="27" t="s">
        <v>126</v>
      </c>
      <c r="B36" s="76">
        <v>100</v>
      </c>
      <c r="C36" s="80" t="s">
        <v>68</v>
      </c>
      <c r="D36" s="76">
        <v>0</v>
      </c>
      <c r="E36" s="76">
        <v>91.5</v>
      </c>
      <c r="F36" s="76">
        <v>0</v>
      </c>
      <c r="H36" s="76">
        <v>0</v>
      </c>
      <c r="K36" s="76" t="s">
        <v>120</v>
      </c>
      <c r="L36" s="85"/>
    </row>
    <row r="37" spans="1:12">
      <c r="A37" s="27" t="s">
        <v>127</v>
      </c>
      <c r="B37" s="76">
        <v>100</v>
      </c>
      <c r="C37" s="80" t="s">
        <v>70</v>
      </c>
      <c r="D37" s="76">
        <v>0</v>
      </c>
      <c r="E37" s="76">
        <v>82.4</v>
      </c>
      <c r="F37" s="76">
        <v>0</v>
      </c>
      <c r="G37" s="76">
        <v>0</v>
      </c>
      <c r="H37" s="76">
        <v>0</v>
      </c>
      <c r="I37" s="76" t="s">
        <v>71</v>
      </c>
      <c r="J37" s="76" t="s">
        <v>128</v>
      </c>
      <c r="K37" s="76" t="s">
        <v>120</v>
      </c>
      <c r="L37" s="85"/>
    </row>
    <row r="38" spans="1:12">
      <c r="A38" s="50" t="s">
        <v>27</v>
      </c>
      <c r="B38" s="76">
        <v>1</v>
      </c>
      <c r="C38" s="80" t="s">
        <v>129</v>
      </c>
      <c r="D38" s="76">
        <v>0.5</v>
      </c>
      <c r="E38" s="76">
        <v>2.95</v>
      </c>
      <c r="F38" s="76">
        <v>0.35</v>
      </c>
      <c r="G38" s="76">
        <v>0.1</v>
      </c>
      <c r="H38" s="76">
        <v>1.5</v>
      </c>
      <c r="I38" s="76" t="s">
        <v>71</v>
      </c>
      <c r="J38" s="76" t="s">
        <v>130</v>
      </c>
      <c r="K38" s="76" t="s">
        <v>131</v>
      </c>
      <c r="L38" s="85"/>
    </row>
    <row r="39" spans="1:12">
      <c r="A39" s="50" t="s">
        <v>49</v>
      </c>
      <c r="B39" s="76">
        <v>69</v>
      </c>
      <c r="C39" s="80" t="s">
        <v>70</v>
      </c>
      <c r="D39" s="76">
        <v>6.3</v>
      </c>
      <c r="E39" s="76">
        <v>4.5</v>
      </c>
      <c r="F39" s="76">
        <v>18</v>
      </c>
      <c r="G39" s="76">
        <v>2.1</v>
      </c>
      <c r="I39" s="76" t="s">
        <v>132</v>
      </c>
      <c r="J39" s="76" t="s">
        <v>132</v>
      </c>
      <c r="K39" s="76" t="s">
        <v>133</v>
      </c>
      <c r="L39" s="85"/>
    </row>
    <row r="40" spans="1:12">
      <c r="A40" s="27" t="s">
        <v>134</v>
      </c>
      <c r="B40" s="76">
        <v>100</v>
      </c>
      <c r="C40" s="80" t="s">
        <v>70</v>
      </c>
      <c r="D40" s="76">
        <v>23.3</v>
      </c>
      <c r="E40" s="76">
        <v>2.7</v>
      </c>
      <c r="F40" s="76">
        <v>0</v>
      </c>
      <c r="H40" s="76">
        <v>0</v>
      </c>
      <c r="K40" s="76" t="s">
        <v>135</v>
      </c>
      <c r="L40" s="85"/>
    </row>
    <row r="41" spans="1:12">
      <c r="A41" s="27" t="s">
        <v>22</v>
      </c>
      <c r="B41" s="76">
        <v>1</v>
      </c>
      <c r="C41" s="80" t="s">
        <v>136</v>
      </c>
      <c r="D41" s="76">
        <v>6.35</v>
      </c>
      <c r="E41" s="76">
        <v>5.15</v>
      </c>
      <c r="F41" s="76">
        <v>0.7</v>
      </c>
      <c r="G41" s="76">
        <v>0.15</v>
      </c>
      <c r="H41" s="76">
        <v>0</v>
      </c>
      <c r="I41" s="76" t="s">
        <v>71</v>
      </c>
      <c r="J41" s="76" t="s">
        <v>137</v>
      </c>
      <c r="K41" s="76" t="s">
        <v>135</v>
      </c>
      <c r="L41" s="85"/>
    </row>
    <row r="42" spans="1:12">
      <c r="A42" s="27" t="s">
        <v>138</v>
      </c>
      <c r="B42" s="76">
        <v>1</v>
      </c>
      <c r="C42" s="80" t="s">
        <v>136</v>
      </c>
      <c r="D42" s="76">
        <v>7.25</v>
      </c>
      <c r="E42" s="76">
        <v>5.85</v>
      </c>
      <c r="F42" s="76">
        <v>0.75</v>
      </c>
      <c r="H42" s="76">
        <v>0</v>
      </c>
      <c r="I42" s="76" t="s">
        <v>82</v>
      </c>
      <c r="J42" s="76" t="s">
        <v>139</v>
      </c>
      <c r="K42" s="76" t="s">
        <v>135</v>
      </c>
      <c r="L42" s="85"/>
    </row>
    <row r="43" spans="1:12">
      <c r="A43" s="27" t="s">
        <v>140</v>
      </c>
      <c r="B43" s="76">
        <v>100</v>
      </c>
      <c r="C43" s="80" t="s">
        <v>70</v>
      </c>
      <c r="D43" s="76">
        <v>16.1</v>
      </c>
      <c r="E43" s="76">
        <v>6.2</v>
      </c>
      <c r="F43" s="76">
        <v>13.9</v>
      </c>
      <c r="G43" s="76">
        <v>0.4</v>
      </c>
      <c r="H43" s="76">
        <v>0</v>
      </c>
      <c r="I43" s="76" t="s">
        <v>71</v>
      </c>
      <c r="J43" s="76" t="s">
        <v>71</v>
      </c>
      <c r="K43" s="76" t="s">
        <v>135</v>
      </c>
      <c r="L43" s="85"/>
    </row>
    <row r="44" spans="1:12">
      <c r="A44" s="50" t="s">
        <v>141</v>
      </c>
      <c r="B44" s="76">
        <v>100</v>
      </c>
      <c r="C44" s="80" t="s">
        <v>70</v>
      </c>
      <c r="D44" s="76">
        <v>15.6</v>
      </c>
      <c r="E44" s="76">
        <v>7.9</v>
      </c>
      <c r="F44" s="76">
        <v>9.8</v>
      </c>
      <c r="G44" s="76">
        <v>3.5</v>
      </c>
      <c r="H44" s="76">
        <v>1.1</v>
      </c>
      <c r="I44" s="76" t="s">
        <v>75</v>
      </c>
      <c r="J44" s="76" t="s">
        <v>75</v>
      </c>
      <c r="K44" s="76" t="s">
        <v>135</v>
      </c>
      <c r="L44" s="85"/>
    </row>
    <row r="45" spans="1:12">
      <c r="A45" s="50" t="s">
        <v>142</v>
      </c>
      <c r="B45" s="76">
        <v>100</v>
      </c>
      <c r="C45" s="80" t="s">
        <v>70</v>
      </c>
      <c r="D45" s="76">
        <v>17.2</v>
      </c>
      <c r="E45" s="76">
        <v>7.9</v>
      </c>
      <c r="F45" s="76">
        <v>7.9</v>
      </c>
      <c r="G45" s="76">
        <v>3.2</v>
      </c>
      <c r="H45" s="76">
        <v>1.6</v>
      </c>
      <c r="I45" s="76" t="s">
        <v>75</v>
      </c>
      <c r="J45" s="76" t="s">
        <v>75</v>
      </c>
      <c r="K45" s="76" t="s">
        <v>135</v>
      </c>
      <c r="L45" s="85"/>
    </row>
    <row r="46" spans="1:12">
      <c r="A46" s="50" t="s">
        <v>48</v>
      </c>
      <c r="B46" s="76">
        <v>100</v>
      </c>
      <c r="C46" s="80" t="s">
        <v>70</v>
      </c>
      <c r="D46" s="76">
        <v>16.9</v>
      </c>
      <c r="E46" s="76">
        <v>6.7</v>
      </c>
      <c r="F46" s="76">
        <v>13.1</v>
      </c>
      <c r="I46" s="76" t="s">
        <v>71</v>
      </c>
      <c r="J46" s="76" t="s">
        <v>143</v>
      </c>
      <c r="K46" s="76" t="s">
        <v>135</v>
      </c>
      <c r="L46" s="85"/>
    </row>
    <row r="47" spans="1:12">
      <c r="A47" s="27" t="s">
        <v>144</v>
      </c>
      <c r="B47" s="76">
        <v>100</v>
      </c>
      <c r="C47" s="80" t="s">
        <v>70</v>
      </c>
      <c r="D47" s="76">
        <v>0.5</v>
      </c>
      <c r="E47" s="76">
        <v>58.4</v>
      </c>
      <c r="F47" s="76">
        <v>9</v>
      </c>
      <c r="H47" s="76">
        <v>0</v>
      </c>
      <c r="K47" s="76" t="s">
        <v>145</v>
      </c>
      <c r="L47" s="85"/>
    </row>
    <row r="48" spans="1:12">
      <c r="A48" s="27" t="s">
        <v>146</v>
      </c>
      <c r="B48" s="76">
        <v>30.4</v>
      </c>
      <c r="C48" s="80" t="s">
        <v>70</v>
      </c>
      <c r="D48" s="76">
        <v>24</v>
      </c>
      <c r="E48" s="76">
        <v>1</v>
      </c>
      <c r="F48" s="76">
        <v>3</v>
      </c>
      <c r="H48" s="76">
        <v>0</v>
      </c>
      <c r="J48" s="76" t="s">
        <v>147</v>
      </c>
      <c r="K48" s="76" t="s">
        <v>148</v>
      </c>
      <c r="L48" s="85"/>
    </row>
    <row r="49" spans="1:12">
      <c r="A49" s="27" t="s">
        <v>149</v>
      </c>
      <c r="B49" s="76">
        <v>1</v>
      </c>
      <c r="C49" s="80" t="s">
        <v>150</v>
      </c>
      <c r="D49" s="76">
        <v>24</v>
      </c>
      <c r="E49" s="76">
        <v>1.5</v>
      </c>
      <c r="F49" s="76">
        <v>3</v>
      </c>
      <c r="G49" s="76">
        <v>1</v>
      </c>
      <c r="H49" s="76">
        <v>1</v>
      </c>
      <c r="I49" s="76" t="s">
        <v>151</v>
      </c>
      <c r="J49" s="76" t="s">
        <v>152</v>
      </c>
      <c r="K49" s="76" t="s">
        <v>148</v>
      </c>
      <c r="L49" s="85"/>
    </row>
    <row r="50" spans="1:12">
      <c r="A50" s="50" t="s">
        <v>23</v>
      </c>
      <c r="B50" s="76">
        <v>1</v>
      </c>
      <c r="C50" s="80" t="s">
        <v>150</v>
      </c>
      <c r="D50" s="76">
        <v>24.4</v>
      </c>
      <c r="E50" s="76">
        <v>1.8</v>
      </c>
      <c r="F50" s="76">
        <v>2.1</v>
      </c>
      <c r="G50" s="76">
        <v>0.9</v>
      </c>
      <c r="J50" s="76" t="s">
        <v>153</v>
      </c>
      <c r="K50" s="76" t="s">
        <v>148</v>
      </c>
      <c r="L50" s="85"/>
    </row>
    <row r="51" spans="1:12">
      <c r="A51" s="50" t="s">
        <v>46</v>
      </c>
      <c r="B51" s="76">
        <v>100</v>
      </c>
      <c r="C51" s="80" t="s">
        <v>70</v>
      </c>
      <c r="D51" s="76">
        <v>2.66</v>
      </c>
      <c r="E51" s="76">
        <v>0.83</v>
      </c>
      <c r="F51" s="76">
        <v>73</v>
      </c>
      <c r="G51" s="76">
        <v>6.6</v>
      </c>
      <c r="I51" s="76" t="s">
        <v>71</v>
      </c>
      <c r="J51" s="76" t="s">
        <v>71</v>
      </c>
      <c r="K51" s="76" t="s">
        <v>154</v>
      </c>
      <c r="L51" s="85"/>
    </row>
    <row r="52" spans="1:12">
      <c r="A52" s="27" t="s">
        <v>155</v>
      </c>
      <c r="B52" s="76">
        <v>57</v>
      </c>
      <c r="C52" s="80" t="s">
        <v>156</v>
      </c>
      <c r="D52" s="76">
        <v>9.3</v>
      </c>
      <c r="E52" s="76">
        <v>1</v>
      </c>
      <c r="F52" s="76">
        <v>0.2</v>
      </c>
      <c r="H52" s="76">
        <v>0</v>
      </c>
      <c r="K52" s="76" t="s">
        <v>157</v>
      </c>
      <c r="L52" s="85"/>
    </row>
    <row r="53" spans="1:12">
      <c r="A53" s="27" t="s">
        <v>158</v>
      </c>
      <c r="B53" s="76">
        <v>65</v>
      </c>
      <c r="C53" s="80" t="s">
        <v>70</v>
      </c>
      <c r="D53" s="76">
        <v>12.7</v>
      </c>
      <c r="E53" s="76">
        <v>2.9</v>
      </c>
      <c r="F53" s="76">
        <v>2</v>
      </c>
      <c r="H53" s="76">
        <v>0</v>
      </c>
      <c r="K53" s="76" t="s">
        <v>157</v>
      </c>
      <c r="L53" s="85"/>
    </row>
    <row r="54" spans="1:12">
      <c r="A54" s="27" t="s">
        <v>159</v>
      </c>
      <c r="B54" s="76">
        <v>100</v>
      </c>
      <c r="C54" s="80" t="s">
        <v>70</v>
      </c>
      <c r="D54" s="76">
        <v>22.5</v>
      </c>
      <c r="E54" s="76">
        <v>0.9</v>
      </c>
      <c r="F54" s="76">
        <v>0</v>
      </c>
      <c r="H54" s="76">
        <v>0</v>
      </c>
      <c r="K54" s="76" t="s">
        <v>157</v>
      </c>
      <c r="L54" s="85"/>
    </row>
    <row r="55" spans="1:12">
      <c r="A55" s="27" t="s">
        <v>42</v>
      </c>
      <c r="B55" s="76">
        <v>1</v>
      </c>
      <c r="C55" s="80" t="s">
        <v>160</v>
      </c>
      <c r="D55" s="76">
        <v>17.6</v>
      </c>
      <c r="E55" s="76">
        <v>18.5</v>
      </c>
      <c r="F55" s="76">
        <v>0</v>
      </c>
      <c r="G55" s="76">
        <v>0</v>
      </c>
      <c r="H55" s="76">
        <v>0</v>
      </c>
      <c r="I55" s="76" t="s">
        <v>71</v>
      </c>
      <c r="J55" s="76" t="s">
        <v>161</v>
      </c>
      <c r="K55" s="76" t="s">
        <v>157</v>
      </c>
      <c r="L55" s="85"/>
    </row>
    <row r="56" spans="1:12">
      <c r="A56" s="50" t="s">
        <v>162</v>
      </c>
      <c r="B56" s="76">
        <v>100</v>
      </c>
      <c r="C56" s="80" t="s">
        <v>70</v>
      </c>
      <c r="D56" s="76">
        <v>16</v>
      </c>
      <c r="E56" s="76">
        <v>0.5</v>
      </c>
      <c r="F56" s="76">
        <v>0</v>
      </c>
      <c r="K56" s="76" t="s">
        <v>157</v>
      </c>
      <c r="L56" s="85"/>
    </row>
    <row r="57" spans="1:12">
      <c r="A57" s="50" t="s">
        <v>163</v>
      </c>
      <c r="B57" s="76">
        <v>150</v>
      </c>
      <c r="C57" s="80" t="s">
        <v>70</v>
      </c>
      <c r="D57" s="76">
        <v>12.1</v>
      </c>
      <c r="E57" s="76">
        <v>7.2</v>
      </c>
      <c r="F57" s="76">
        <v>13.1</v>
      </c>
      <c r="I57" s="76" t="s">
        <v>71</v>
      </c>
      <c r="K57" s="76" t="s">
        <v>157</v>
      </c>
      <c r="L57" s="85"/>
    </row>
    <row r="58" spans="1:12">
      <c r="A58" s="50" t="s">
        <v>164</v>
      </c>
      <c r="B58" s="76">
        <v>100</v>
      </c>
      <c r="C58" s="80" t="s">
        <v>70</v>
      </c>
      <c r="D58" s="76">
        <v>21.5</v>
      </c>
      <c r="E58" s="76">
        <v>13.4</v>
      </c>
      <c r="F58" s="76">
        <v>0.47</v>
      </c>
      <c r="I58" s="76" t="s">
        <v>71</v>
      </c>
      <c r="K58" s="76" t="s">
        <v>157</v>
      </c>
      <c r="L58" s="85"/>
    </row>
    <row r="59" spans="1:12">
      <c r="A59" s="27" t="s">
        <v>165</v>
      </c>
      <c r="B59" s="76">
        <v>100</v>
      </c>
      <c r="C59" s="80" t="s">
        <v>68</v>
      </c>
      <c r="D59" s="76">
        <v>3.2</v>
      </c>
      <c r="E59" s="76">
        <v>62.8</v>
      </c>
      <c r="F59" s="76">
        <v>1.5</v>
      </c>
      <c r="H59" s="76">
        <v>0</v>
      </c>
      <c r="I59" s="76" t="s">
        <v>82</v>
      </c>
      <c r="J59" s="76" t="s">
        <v>166</v>
      </c>
      <c r="K59" s="76" t="s">
        <v>167</v>
      </c>
      <c r="L59" s="85"/>
    </row>
    <row r="60" spans="1:12">
      <c r="A60" s="50" t="s">
        <v>43</v>
      </c>
      <c r="B60" s="76">
        <v>1</v>
      </c>
      <c r="C60" s="80" t="s">
        <v>168</v>
      </c>
      <c r="D60" s="76">
        <v>8.3</v>
      </c>
      <c r="E60" s="76">
        <v>13.3</v>
      </c>
      <c r="F60" s="76">
        <v>37.5</v>
      </c>
      <c r="J60" s="76" t="s">
        <v>169</v>
      </c>
      <c r="K60" s="76" t="s">
        <v>170</v>
      </c>
      <c r="L60" s="85"/>
    </row>
    <row r="61" spans="1:12">
      <c r="A61" s="50" t="s">
        <v>45</v>
      </c>
      <c r="B61" s="76">
        <v>1</v>
      </c>
      <c r="C61" s="80" t="s">
        <v>171</v>
      </c>
      <c r="D61" s="76">
        <v>4.7</v>
      </c>
      <c r="E61" s="76">
        <v>2.7</v>
      </c>
      <c r="F61" s="76">
        <v>26.9</v>
      </c>
      <c r="J61" s="76" t="s">
        <v>169</v>
      </c>
      <c r="K61" s="76" t="s">
        <v>170</v>
      </c>
      <c r="L61" s="85"/>
    </row>
    <row r="62" spans="1:12">
      <c r="A62" s="50" t="s">
        <v>51</v>
      </c>
      <c r="B62" s="76">
        <v>1</v>
      </c>
      <c r="C62" s="80" t="s">
        <v>172</v>
      </c>
      <c r="D62" s="76">
        <v>6.5</v>
      </c>
      <c r="E62" s="76">
        <v>6.1</v>
      </c>
      <c r="F62" s="76">
        <v>35.2</v>
      </c>
      <c r="J62" s="76" t="s">
        <v>169</v>
      </c>
      <c r="K62" s="76" t="s">
        <v>170</v>
      </c>
      <c r="L62" s="85"/>
    </row>
    <row r="63" spans="1:12">
      <c r="A63" s="27" t="s">
        <v>173</v>
      </c>
      <c r="B63" s="76">
        <v>100</v>
      </c>
      <c r="C63" s="80" t="s">
        <v>70</v>
      </c>
      <c r="D63" s="76">
        <v>0.4</v>
      </c>
      <c r="E63" s="76">
        <v>0.6</v>
      </c>
      <c r="F63" s="76">
        <v>12.2</v>
      </c>
      <c r="H63" s="76">
        <v>2.5</v>
      </c>
      <c r="I63" s="76" t="s">
        <v>75</v>
      </c>
      <c r="K63" s="76" t="s">
        <v>174</v>
      </c>
      <c r="L63" s="85"/>
    </row>
    <row r="64" spans="1:12">
      <c r="A64" s="27" t="s">
        <v>175</v>
      </c>
      <c r="B64" s="76">
        <v>100</v>
      </c>
      <c r="C64" s="80" t="s">
        <v>70</v>
      </c>
      <c r="D64" s="76">
        <v>0.7</v>
      </c>
      <c r="E64" s="76">
        <v>0.1</v>
      </c>
      <c r="F64" s="76">
        <v>5.5</v>
      </c>
      <c r="H64" s="76">
        <v>3.3</v>
      </c>
      <c r="I64" s="76" t="s">
        <v>71</v>
      </c>
      <c r="K64" s="76" t="s">
        <v>174</v>
      </c>
      <c r="L64" s="85"/>
    </row>
    <row r="65" spans="1:12">
      <c r="A65" s="27" t="s">
        <v>176</v>
      </c>
      <c r="B65" s="76">
        <v>100</v>
      </c>
      <c r="C65" s="80" t="s">
        <v>70</v>
      </c>
      <c r="D65" s="76">
        <v>1.9</v>
      </c>
      <c r="E65" s="76">
        <v>0.3</v>
      </c>
      <c r="F65" s="76">
        <v>5</v>
      </c>
      <c r="H65" s="76">
        <v>1.2</v>
      </c>
      <c r="I65" s="76" t="s">
        <v>75</v>
      </c>
      <c r="K65" s="76" t="s">
        <v>174</v>
      </c>
      <c r="L65" s="85"/>
    </row>
    <row r="66" spans="1:12">
      <c r="A66" s="27" t="s">
        <v>177</v>
      </c>
      <c r="B66" s="76">
        <v>100</v>
      </c>
      <c r="C66" s="80" t="s">
        <v>70</v>
      </c>
      <c r="D66" s="76">
        <v>5.7</v>
      </c>
      <c r="E66" s="76">
        <v>1</v>
      </c>
      <c r="F66" s="76">
        <v>8.8</v>
      </c>
      <c r="H66" s="76">
        <v>6.1</v>
      </c>
      <c r="I66" s="76" t="s">
        <v>71</v>
      </c>
      <c r="K66" s="76" t="s">
        <v>174</v>
      </c>
      <c r="L66" s="85"/>
    </row>
    <row r="67" spans="1:12">
      <c r="A67" s="27" t="s">
        <v>178</v>
      </c>
      <c r="B67" s="76">
        <v>100</v>
      </c>
      <c r="C67" s="80" t="s">
        <v>70</v>
      </c>
      <c r="D67" s="76">
        <v>2</v>
      </c>
      <c r="E67" s="76">
        <v>0.1</v>
      </c>
      <c r="F67" s="76">
        <v>15.2</v>
      </c>
      <c r="H67" s="76">
        <v>2.7</v>
      </c>
      <c r="I67" s="76" t="s">
        <v>75</v>
      </c>
      <c r="K67" s="76" t="s">
        <v>174</v>
      </c>
      <c r="L67" s="85"/>
    </row>
    <row r="68" spans="1:12">
      <c r="A68" s="50" t="s">
        <v>44</v>
      </c>
      <c r="B68" s="76">
        <v>100</v>
      </c>
      <c r="C68" s="80" t="s">
        <v>70</v>
      </c>
      <c r="D68" s="76">
        <v>2.2</v>
      </c>
      <c r="E68" s="76">
        <v>3.1</v>
      </c>
      <c r="F68" s="76">
        <v>24.1</v>
      </c>
      <c r="H68" s="76">
        <v>2.1</v>
      </c>
      <c r="I68" s="76" t="s">
        <v>71</v>
      </c>
      <c r="J68" s="76" t="s">
        <v>71</v>
      </c>
      <c r="K68" s="76" t="s">
        <v>174</v>
      </c>
      <c r="L68" s="85"/>
    </row>
    <row r="69" spans="1:12">
      <c r="A69" s="50" t="s">
        <v>179</v>
      </c>
      <c r="B69" s="76">
        <v>100</v>
      </c>
      <c r="C69" s="80" t="s">
        <v>70</v>
      </c>
      <c r="D69" s="76">
        <v>14.5</v>
      </c>
      <c r="E69" s="76">
        <v>7.5</v>
      </c>
      <c r="F69" s="76">
        <v>60.8</v>
      </c>
      <c r="J69" s="76" t="s">
        <v>180</v>
      </c>
      <c r="K69" s="76" t="s">
        <v>174</v>
      </c>
      <c r="L69" s="85"/>
    </row>
    <row r="70" spans="1:12">
      <c r="A70" s="50" t="s">
        <v>35</v>
      </c>
      <c r="B70" s="76">
        <v>1</v>
      </c>
      <c r="C70" s="80" t="s">
        <v>122</v>
      </c>
      <c r="D70" s="76">
        <v>0</v>
      </c>
      <c r="E70" s="76">
        <v>1</v>
      </c>
      <c r="F70" s="76">
        <v>0</v>
      </c>
      <c r="G70" s="76">
        <v>0</v>
      </c>
      <c r="H70" s="76">
        <v>0</v>
      </c>
      <c r="J70" s="76" t="s">
        <v>181</v>
      </c>
      <c r="K70" s="76" t="s">
        <v>182</v>
      </c>
      <c r="L70" s="85"/>
    </row>
    <row r="71" spans="1:12">
      <c r="A71" s="50" t="s">
        <v>183</v>
      </c>
      <c r="B71" s="76">
        <v>100</v>
      </c>
      <c r="C71" s="80" t="s">
        <v>70</v>
      </c>
      <c r="D71" s="76">
        <v>27.9</v>
      </c>
      <c r="E71" s="76">
        <v>17.4</v>
      </c>
      <c r="F71" s="76">
        <v>0</v>
      </c>
      <c r="G71" s="76">
        <v>0</v>
      </c>
      <c r="H71" s="76">
        <v>0</v>
      </c>
      <c r="I71" s="76" t="s">
        <v>71</v>
      </c>
      <c r="K71" s="76" t="s">
        <v>77</v>
      </c>
      <c r="L71" s="85"/>
    </row>
    <row r="72" spans="1:12">
      <c r="A72" s="50" t="s">
        <v>184</v>
      </c>
      <c r="B72" s="76">
        <v>1</v>
      </c>
      <c r="C72" s="80" t="s">
        <v>185</v>
      </c>
      <c r="D72" s="76">
        <v>9.3</v>
      </c>
      <c r="E72" s="76">
        <v>6.1</v>
      </c>
      <c r="F72" s="76">
        <v>0.3</v>
      </c>
      <c r="I72" s="76" t="s">
        <v>71</v>
      </c>
      <c r="K72" s="76" t="s">
        <v>157</v>
      </c>
      <c r="L72" s="85"/>
    </row>
    <row r="73" spans="1:12">
      <c r="A73" s="50" t="s">
        <v>30</v>
      </c>
      <c r="B73" s="76">
        <v>1</v>
      </c>
      <c r="C73" s="80" t="s">
        <v>129</v>
      </c>
      <c r="D73" s="76">
        <v>1</v>
      </c>
      <c r="E73" s="76">
        <v>0</v>
      </c>
      <c r="F73" s="76">
        <v>28</v>
      </c>
      <c r="G73" s="76">
        <v>15</v>
      </c>
      <c r="H73" s="76">
        <v>3</v>
      </c>
      <c r="I73" s="76" t="s">
        <v>71</v>
      </c>
      <c r="K73" s="76" t="s">
        <v>109</v>
      </c>
      <c r="L73" s="85"/>
    </row>
    <row r="74" spans="1:12">
      <c r="A74" s="50" t="s">
        <v>29</v>
      </c>
      <c r="B74" s="76">
        <v>100</v>
      </c>
      <c r="C74" s="80" t="s">
        <v>70</v>
      </c>
      <c r="D74" s="76">
        <v>10.3</v>
      </c>
      <c r="E74" s="76">
        <v>0</v>
      </c>
      <c r="F74" s="76">
        <v>4.7</v>
      </c>
      <c r="I74" s="76" t="s">
        <v>71</v>
      </c>
      <c r="J74" s="76" t="s">
        <v>71</v>
      </c>
      <c r="K74" s="76" t="s">
        <v>94</v>
      </c>
      <c r="L74" s="85"/>
    </row>
    <row r="75" spans="1:12">
      <c r="A75" s="50" t="s">
        <v>186</v>
      </c>
      <c r="B75" s="76">
        <v>100</v>
      </c>
      <c r="C75" s="80" t="s">
        <v>70</v>
      </c>
      <c r="D75" s="76">
        <v>24.8</v>
      </c>
      <c r="E75" s="76">
        <v>0.4</v>
      </c>
      <c r="F75" s="76">
        <v>0</v>
      </c>
      <c r="H75" s="76">
        <v>0</v>
      </c>
      <c r="I75" s="76" t="s">
        <v>71</v>
      </c>
      <c r="J75" s="76" t="s">
        <v>71</v>
      </c>
      <c r="K75" s="76" t="s">
        <v>157</v>
      </c>
      <c r="L75" s="85"/>
    </row>
    <row r="76" spans="1:12">
      <c r="A76" s="50" t="s">
        <v>31</v>
      </c>
      <c r="B76" s="76">
        <v>100</v>
      </c>
      <c r="C76" s="80" t="s">
        <v>68</v>
      </c>
      <c r="D76" s="76">
        <v>0</v>
      </c>
      <c r="E76" s="76">
        <v>0</v>
      </c>
      <c r="F76" s="76">
        <v>2</v>
      </c>
      <c r="G76" s="76">
        <v>0</v>
      </c>
      <c r="H76" s="76">
        <v>0</v>
      </c>
      <c r="I76" s="76" t="s">
        <v>71</v>
      </c>
      <c r="J76" s="76" t="s">
        <v>71</v>
      </c>
      <c r="K76" s="76" t="s">
        <v>187</v>
      </c>
      <c r="L76" s="85"/>
    </row>
    <row r="77" spans="1:12">
      <c r="A77" s="50" t="s">
        <v>188</v>
      </c>
      <c r="B77" s="76">
        <v>100</v>
      </c>
      <c r="C77" s="80" t="s">
        <v>68</v>
      </c>
      <c r="D77" s="76">
        <v>0</v>
      </c>
      <c r="E77" s="76">
        <v>0</v>
      </c>
      <c r="F77" s="76">
        <v>40.8</v>
      </c>
      <c r="G77" s="76">
        <v>35.1</v>
      </c>
      <c r="H77" s="76">
        <v>0</v>
      </c>
      <c r="I77" s="76" t="s">
        <v>71</v>
      </c>
      <c r="J77" s="76" t="s">
        <v>71</v>
      </c>
      <c r="K77" s="76" t="s">
        <v>154</v>
      </c>
      <c r="L77" s="85"/>
    </row>
    <row r="78" spans="1:12">
      <c r="A78" s="50" t="s">
        <v>189</v>
      </c>
      <c r="B78" s="76">
        <v>100</v>
      </c>
      <c r="C78" s="80" t="s">
        <v>68</v>
      </c>
      <c r="D78" s="76">
        <v>0</v>
      </c>
      <c r="E78" s="76">
        <v>0</v>
      </c>
      <c r="F78" s="76">
        <v>25</v>
      </c>
      <c r="G78" s="76">
        <v>20.4</v>
      </c>
      <c r="H78" s="76">
        <v>0</v>
      </c>
      <c r="I78" s="76" t="s">
        <v>71</v>
      </c>
      <c r="J78" s="76" t="s">
        <v>71</v>
      </c>
      <c r="K78" s="76" t="s">
        <v>154</v>
      </c>
      <c r="L78" s="85"/>
    </row>
    <row r="79" spans="1:12">
      <c r="A79" s="50" t="s">
        <v>190</v>
      </c>
      <c r="B79" s="76">
        <v>100</v>
      </c>
      <c r="C79" s="80" t="s">
        <v>70</v>
      </c>
      <c r="D79" s="76">
        <v>16.1</v>
      </c>
      <c r="E79" s="76">
        <v>8.6</v>
      </c>
      <c r="F79" s="76">
        <v>0</v>
      </c>
      <c r="G79" s="76">
        <v>0</v>
      </c>
      <c r="H79" s="76">
        <v>0</v>
      </c>
      <c r="I79" s="76" t="s">
        <v>71</v>
      </c>
      <c r="K79" s="76" t="s">
        <v>77</v>
      </c>
      <c r="L79" s="85"/>
    </row>
    <row r="80" spans="1:12">
      <c r="A80" s="50" t="s">
        <v>50</v>
      </c>
      <c r="B80" s="76">
        <v>100</v>
      </c>
      <c r="C80" s="80" t="s">
        <v>70</v>
      </c>
      <c r="D80" s="76">
        <v>0</v>
      </c>
      <c r="E80" s="76">
        <v>1.1</v>
      </c>
      <c r="F80" s="76">
        <v>23.9</v>
      </c>
      <c r="G80" s="76">
        <v>17.7</v>
      </c>
      <c r="H80" s="76">
        <v>0</v>
      </c>
      <c r="I80" s="76" t="s">
        <v>71</v>
      </c>
      <c r="J80" s="76" t="s">
        <v>71</v>
      </c>
      <c r="K80" s="76" t="s">
        <v>145</v>
      </c>
      <c r="L80" s="85"/>
    </row>
    <row r="81" spans="1:12">
      <c r="A81" s="50" t="s">
        <v>32</v>
      </c>
      <c r="B81" s="76">
        <v>1</v>
      </c>
      <c r="C81" s="80" t="s">
        <v>129</v>
      </c>
      <c r="D81" s="76">
        <v>1</v>
      </c>
      <c r="E81" s="76">
        <v>0</v>
      </c>
      <c r="F81" s="76">
        <v>25</v>
      </c>
      <c r="G81" s="76">
        <v>19</v>
      </c>
      <c r="H81" s="76">
        <v>3</v>
      </c>
      <c r="I81" s="76" t="s">
        <v>71</v>
      </c>
      <c r="K81" s="76" t="s">
        <v>109</v>
      </c>
      <c r="L81" s="85"/>
    </row>
    <row r="82" spans="1:12">
      <c r="A82" s="50" t="s">
        <v>52</v>
      </c>
      <c r="B82" s="76">
        <v>100</v>
      </c>
      <c r="C82" s="80" t="s">
        <v>70</v>
      </c>
      <c r="D82" s="76">
        <v>18.6</v>
      </c>
      <c r="E82" s="76">
        <v>5.4</v>
      </c>
      <c r="F82" s="76">
        <v>3.8</v>
      </c>
      <c r="G82" s="76">
        <v>3.8</v>
      </c>
      <c r="I82" s="76" t="s">
        <v>71</v>
      </c>
      <c r="J82" s="76" t="s">
        <v>71</v>
      </c>
      <c r="K82" s="76" t="s">
        <v>135</v>
      </c>
      <c r="L82" s="85"/>
    </row>
    <row r="83" spans="1:12">
      <c r="A83" s="50" t="s">
        <v>191</v>
      </c>
      <c r="B83" s="76">
        <v>100</v>
      </c>
      <c r="C83" s="80" t="s">
        <v>70</v>
      </c>
      <c r="D83" s="76">
        <v>21.6</v>
      </c>
      <c r="E83" s="76">
        <v>1.7</v>
      </c>
      <c r="F83" s="76">
        <v>2.3</v>
      </c>
      <c r="G83" s="76">
        <v>0.3</v>
      </c>
      <c r="I83" s="76" t="s">
        <v>71</v>
      </c>
      <c r="J83" s="76" t="s">
        <v>71</v>
      </c>
      <c r="K83" s="76" t="s">
        <v>135</v>
      </c>
      <c r="L83" s="85"/>
    </row>
    <row r="84" spans="1:12">
      <c r="A84" s="50" t="s">
        <v>192</v>
      </c>
      <c r="B84" s="76">
        <v>100</v>
      </c>
      <c r="C84" s="80" t="s">
        <v>70</v>
      </c>
      <c r="D84" s="76">
        <v>12.3</v>
      </c>
      <c r="E84" s="76">
        <v>4.8</v>
      </c>
      <c r="F84" s="76">
        <v>16.9</v>
      </c>
      <c r="G84" s="76">
        <v>2</v>
      </c>
      <c r="H84" s="76">
        <v>2</v>
      </c>
      <c r="I84" s="76" t="s">
        <v>71</v>
      </c>
      <c r="K84" s="76" t="s">
        <v>135</v>
      </c>
      <c r="L84" s="85"/>
    </row>
    <row r="85" spans="1:12">
      <c r="A85" s="50" t="s">
        <v>193</v>
      </c>
      <c r="B85" s="76">
        <v>100</v>
      </c>
      <c r="C85" s="80" t="s">
        <v>70</v>
      </c>
      <c r="D85" s="76">
        <v>19.5</v>
      </c>
      <c r="E85" s="76">
        <v>3.2</v>
      </c>
      <c r="F85" s="76">
        <v>6.9</v>
      </c>
      <c r="G85" s="76">
        <v>0.4</v>
      </c>
      <c r="I85" s="76" t="s">
        <v>71</v>
      </c>
      <c r="J85" s="76" t="s">
        <v>71</v>
      </c>
      <c r="K85" s="76" t="s">
        <v>135</v>
      </c>
      <c r="L85" s="85"/>
    </row>
    <row r="86" spans="1:12">
      <c r="A86" s="50" t="s">
        <v>28</v>
      </c>
      <c r="B86" s="76">
        <v>1</v>
      </c>
      <c r="C86" s="80" t="s">
        <v>93</v>
      </c>
      <c r="D86" s="76">
        <v>5.8</v>
      </c>
      <c r="E86" s="76">
        <v>2.6</v>
      </c>
      <c r="F86" s="76">
        <v>0</v>
      </c>
      <c r="G86" s="76">
        <v>0</v>
      </c>
      <c r="H86" s="76">
        <v>0</v>
      </c>
      <c r="I86" s="76" t="s">
        <v>71</v>
      </c>
      <c r="J86" s="76" t="s">
        <v>194</v>
      </c>
      <c r="K86" s="76" t="s">
        <v>94</v>
      </c>
      <c r="L86" s="85"/>
    </row>
    <row r="87" spans="1:12">
      <c r="A87" s="50" t="s">
        <v>195</v>
      </c>
      <c r="B87" s="76">
        <v>100</v>
      </c>
      <c r="C87" s="80" t="s">
        <v>70</v>
      </c>
      <c r="D87" s="76">
        <v>17.5</v>
      </c>
      <c r="E87" s="76">
        <v>5.9</v>
      </c>
      <c r="F87" s="76">
        <v>9.3</v>
      </c>
      <c r="G87" s="76">
        <v>5.3</v>
      </c>
      <c r="H87" s="76">
        <v>0</v>
      </c>
      <c r="I87" s="76" t="s">
        <v>71</v>
      </c>
      <c r="K87" s="76" t="s">
        <v>135</v>
      </c>
      <c r="L87" s="85"/>
    </row>
    <row r="88" spans="1:12">
      <c r="A88" s="86" t="s">
        <v>33</v>
      </c>
      <c r="B88" s="76">
        <v>100</v>
      </c>
      <c r="C88" s="80" t="s">
        <v>70</v>
      </c>
      <c r="D88" s="76">
        <v>1.6</v>
      </c>
      <c r="E88" s="76">
        <v>1.3</v>
      </c>
      <c r="F88" s="76">
        <v>9.3</v>
      </c>
      <c r="G88" s="76">
        <v>6.2</v>
      </c>
      <c r="H88" s="76">
        <v>0</v>
      </c>
      <c r="I88" s="76" t="s">
        <v>71</v>
      </c>
      <c r="K88" s="76" t="s">
        <v>154</v>
      </c>
      <c r="L88" s="85"/>
    </row>
    <row r="89" spans="1:12">
      <c r="A89" s="50" t="s">
        <v>55</v>
      </c>
      <c r="B89" s="76">
        <v>100</v>
      </c>
      <c r="C89" s="80" t="s">
        <v>70</v>
      </c>
      <c r="D89" s="76">
        <v>19.7</v>
      </c>
      <c r="E89" s="76">
        <v>2.8</v>
      </c>
      <c r="F89" s="76">
        <v>0</v>
      </c>
      <c r="G89" s="76">
        <v>0</v>
      </c>
      <c r="H89" s="76">
        <v>0</v>
      </c>
      <c r="I89" s="76" t="s">
        <v>71</v>
      </c>
      <c r="J89" s="76" t="s">
        <v>196</v>
      </c>
      <c r="K89" s="76" t="s">
        <v>157</v>
      </c>
      <c r="L89" s="85"/>
    </row>
    <row r="90" spans="1:12">
      <c r="A90" s="50" t="s">
        <v>57</v>
      </c>
      <c r="B90" s="76">
        <v>100</v>
      </c>
      <c r="C90" s="80" t="s">
        <v>70</v>
      </c>
      <c r="D90" s="76">
        <v>15</v>
      </c>
      <c r="E90" s="76">
        <v>2.1</v>
      </c>
      <c r="F90" s="76">
        <v>3</v>
      </c>
      <c r="G90" s="76">
        <v>1.5</v>
      </c>
      <c r="I90" s="76" t="s">
        <v>71</v>
      </c>
      <c r="J90" s="76" t="s">
        <v>197</v>
      </c>
      <c r="K90" s="76" t="s">
        <v>157</v>
      </c>
      <c r="L90" s="85"/>
    </row>
    <row r="91" spans="1:12">
      <c r="A91" s="50" t="s">
        <v>58</v>
      </c>
      <c r="B91" s="76">
        <v>100</v>
      </c>
      <c r="C91" s="80" t="s">
        <v>70</v>
      </c>
      <c r="D91" s="76">
        <v>0</v>
      </c>
      <c r="E91" s="76">
        <v>0</v>
      </c>
      <c r="F91" s="76">
        <v>14.2</v>
      </c>
      <c r="G91" s="76">
        <v>11.3</v>
      </c>
      <c r="H91" s="76">
        <v>1.8</v>
      </c>
      <c r="I91" s="76" t="s">
        <v>71</v>
      </c>
      <c r="J91" s="76" t="s">
        <v>198</v>
      </c>
      <c r="K91" s="76" t="s">
        <v>174</v>
      </c>
      <c r="L91" s="85"/>
    </row>
    <row r="92" spans="1:12">
      <c r="A92" s="50" t="s">
        <v>199</v>
      </c>
      <c r="B92" s="76">
        <v>100</v>
      </c>
      <c r="C92" s="80" t="s">
        <v>70</v>
      </c>
      <c r="D92" s="76">
        <v>9.5</v>
      </c>
      <c r="E92" s="76">
        <v>0.5</v>
      </c>
      <c r="F92" s="76">
        <v>4</v>
      </c>
      <c r="G92" s="76">
        <v>3.2</v>
      </c>
      <c r="H92" s="76">
        <v>0</v>
      </c>
      <c r="I92" s="76" t="s">
        <v>71</v>
      </c>
      <c r="J92" s="76" t="s">
        <v>200</v>
      </c>
      <c r="K92" s="76" t="s">
        <v>94</v>
      </c>
      <c r="L92" s="85"/>
    </row>
    <row r="93" spans="1:12">
      <c r="A93" s="50" t="s">
        <v>54</v>
      </c>
      <c r="B93" s="76">
        <v>100</v>
      </c>
      <c r="C93" s="80" t="s">
        <v>70</v>
      </c>
      <c r="D93" s="76">
        <v>18.9</v>
      </c>
      <c r="E93" s="76">
        <v>4.3</v>
      </c>
      <c r="F93" s="76">
        <v>3.5</v>
      </c>
      <c r="G93" s="76">
        <v>2.4</v>
      </c>
      <c r="H93" s="76">
        <v>0</v>
      </c>
      <c r="I93" s="76" t="s">
        <v>201</v>
      </c>
      <c r="K93" s="76" t="s">
        <v>135</v>
      </c>
      <c r="L93" s="85"/>
    </row>
    <row r="94" spans="1:12">
      <c r="A94" s="50" t="s">
        <v>39</v>
      </c>
      <c r="B94" s="76">
        <v>100</v>
      </c>
      <c r="C94" s="80" t="s">
        <v>70</v>
      </c>
      <c r="D94" s="76">
        <v>6.5</v>
      </c>
      <c r="E94" s="76">
        <v>37.8</v>
      </c>
      <c r="F94" s="76">
        <v>7.2</v>
      </c>
      <c r="G94" s="76">
        <v>5</v>
      </c>
      <c r="H94" s="76">
        <v>28.3</v>
      </c>
      <c r="I94" s="76" t="s">
        <v>71</v>
      </c>
      <c r="J94" s="76" t="s">
        <v>202</v>
      </c>
      <c r="K94" s="76" t="s">
        <v>131</v>
      </c>
      <c r="L94" s="85"/>
    </row>
    <row r="95" spans="1:12">
      <c r="A95" s="50" t="s">
        <v>37</v>
      </c>
      <c r="B95" s="76">
        <v>100</v>
      </c>
      <c r="C95" s="80" t="s">
        <v>70</v>
      </c>
      <c r="D95" s="76">
        <v>4.2</v>
      </c>
      <c r="E95" s="76">
        <v>2.5</v>
      </c>
      <c r="F95" s="76">
        <v>2.8</v>
      </c>
      <c r="G95" s="76">
        <v>0.1</v>
      </c>
      <c r="H95" s="76">
        <v>0.2</v>
      </c>
      <c r="I95" s="76" t="s">
        <v>71</v>
      </c>
      <c r="J95" s="76" t="s">
        <v>203</v>
      </c>
      <c r="K95" s="76" t="s">
        <v>131</v>
      </c>
      <c r="L95" s="85"/>
    </row>
    <row r="96" spans="1:12">
      <c r="A96" s="50" t="s">
        <v>56</v>
      </c>
      <c r="B96" s="76">
        <v>100</v>
      </c>
      <c r="C96" s="80" t="s">
        <v>70</v>
      </c>
      <c r="D96" s="76">
        <v>22</v>
      </c>
      <c r="E96" s="76">
        <v>3</v>
      </c>
      <c r="F96" s="76">
        <v>0</v>
      </c>
      <c r="G96" s="76">
        <v>0</v>
      </c>
      <c r="H96" s="76">
        <v>0</v>
      </c>
      <c r="I96" s="76" t="s">
        <v>71</v>
      </c>
      <c r="K96" s="76" t="s">
        <v>135</v>
      </c>
      <c r="L96" s="85"/>
    </row>
    <row r="97" spans="1:12">
      <c r="A97" s="50" t="s">
        <v>34</v>
      </c>
      <c r="B97" s="76">
        <v>100</v>
      </c>
      <c r="C97" s="80" t="s">
        <v>70</v>
      </c>
      <c r="D97" s="76">
        <v>13.4</v>
      </c>
      <c r="E97" s="76">
        <v>9</v>
      </c>
      <c r="F97" s="76">
        <v>55.1</v>
      </c>
      <c r="G97" s="76">
        <v>0</v>
      </c>
      <c r="H97" s="76">
        <v>11.3</v>
      </c>
      <c r="I97" s="76" t="s">
        <v>71</v>
      </c>
      <c r="J97" s="76" t="s">
        <v>143</v>
      </c>
      <c r="K97" s="76" t="s">
        <v>204</v>
      </c>
      <c r="L97" s="85"/>
    </row>
    <row r="98" spans="1:12">
      <c r="A98" s="50" t="s">
        <v>36</v>
      </c>
      <c r="B98" s="76">
        <v>100</v>
      </c>
      <c r="C98" s="80" t="s">
        <v>68</v>
      </c>
      <c r="D98" s="76">
        <v>0</v>
      </c>
      <c r="E98" s="76">
        <v>0</v>
      </c>
      <c r="F98" s="76">
        <v>3.6</v>
      </c>
      <c r="G98" s="76">
        <v>2.4</v>
      </c>
      <c r="H98" s="76">
        <v>0.1</v>
      </c>
      <c r="I98" s="76" t="s">
        <v>71</v>
      </c>
      <c r="J98" s="76" t="s">
        <v>71</v>
      </c>
      <c r="K98" s="76" t="s">
        <v>83</v>
      </c>
      <c r="L98" s="85"/>
    </row>
    <row r="99" spans="1:12">
      <c r="A99" s="50"/>
      <c r="C99" s="80"/>
      <c r="L99" s="85"/>
    </row>
    <row r="100" spans="1:12">
      <c r="A100" s="50"/>
      <c r="C100" s="80"/>
      <c r="L100" s="85"/>
    </row>
    <row r="101" spans="1:12">
      <c r="A101" s="50"/>
      <c r="C101" s="80"/>
      <c r="L101" s="85"/>
    </row>
    <row r="102" spans="1:12">
      <c r="A102" s="50"/>
      <c r="C102" s="80"/>
      <c r="L102" s="85"/>
    </row>
    <row r="103" spans="1:12">
      <c r="A103" s="50"/>
      <c r="C103" s="80"/>
      <c r="L103" s="85"/>
    </row>
    <row r="104" spans="1:12">
      <c r="A104" s="50"/>
      <c r="C104" s="80"/>
      <c r="L104" s="85"/>
    </row>
    <row r="105" spans="1:12">
      <c r="A105" s="50"/>
      <c r="C105" s="80"/>
      <c r="L105" s="85"/>
    </row>
    <row r="106" spans="1:12">
      <c r="A106" s="50"/>
      <c r="C106" s="80"/>
      <c r="L106" s="85"/>
    </row>
    <row r="107" spans="1:12">
      <c r="A107" s="50"/>
      <c r="C107" s="80"/>
      <c r="L107" s="85"/>
    </row>
    <row r="108" spans="1:12">
      <c r="A108" s="50"/>
      <c r="C108" s="80"/>
      <c r="L108" s="85"/>
    </row>
    <row r="109" spans="1:12">
      <c r="A109" s="50"/>
      <c r="C109" s="80"/>
      <c r="L109" s="85"/>
    </row>
    <row r="110" spans="1:12">
      <c r="A110" s="50"/>
      <c r="C110" s="80"/>
      <c r="L110" s="85"/>
    </row>
    <row r="111" spans="1:12">
      <c r="A111" s="50"/>
      <c r="C111" s="80"/>
      <c r="L111" s="85"/>
    </row>
    <row r="112" spans="1:12">
      <c r="A112" s="50"/>
      <c r="C112" s="80"/>
      <c r="L112" s="85"/>
    </row>
    <row r="113" spans="1:12">
      <c r="A113" s="50"/>
      <c r="C113" s="80"/>
      <c r="L113" s="85"/>
    </row>
    <row r="114" spans="1:12">
      <c r="A114" s="50"/>
      <c r="C114" s="80"/>
      <c r="L114" s="85"/>
    </row>
    <row r="115" spans="1:12">
      <c r="A115" s="50"/>
      <c r="C115" s="80"/>
      <c r="L115" s="85"/>
    </row>
    <row r="116" spans="1:12">
      <c r="A116" s="50"/>
      <c r="C116" s="80"/>
      <c r="L116" s="85"/>
    </row>
    <row r="117" spans="1:12">
      <c r="A117" s="50"/>
      <c r="C117" s="80"/>
      <c r="L117" s="85"/>
    </row>
    <row r="118" spans="1:12">
      <c r="A118" s="50"/>
      <c r="C118" s="80"/>
      <c r="L118" s="85"/>
    </row>
    <row r="119" spans="1:12">
      <c r="A119" s="50"/>
      <c r="C119" s="80"/>
      <c r="L119" s="85"/>
    </row>
    <row r="120" spans="1:12">
      <c r="A120" s="50"/>
      <c r="C120" s="80"/>
      <c r="L120" s="85"/>
    </row>
    <row r="121" spans="1:12">
      <c r="A121" s="50"/>
      <c r="C121" s="80"/>
      <c r="L121" s="85"/>
    </row>
    <row r="122" spans="1:12">
      <c r="A122" s="50"/>
      <c r="C122" s="80"/>
      <c r="L122" s="85"/>
    </row>
    <row r="123" spans="1:12">
      <c r="A123" s="50"/>
      <c r="C123" s="80"/>
      <c r="L123" s="85"/>
    </row>
    <row r="124" spans="1:12">
      <c r="A124" s="50"/>
      <c r="C124" s="80"/>
      <c r="L124" s="85"/>
    </row>
    <row r="125" spans="1:12">
      <c r="A125" s="50"/>
      <c r="C125" s="80"/>
      <c r="L125" s="85"/>
    </row>
    <row r="126" spans="1:12">
      <c r="A126" s="50"/>
      <c r="C126" s="80"/>
      <c r="L126" s="85"/>
    </row>
    <row r="127" spans="1:12">
      <c r="A127" s="50"/>
      <c r="C127" s="80"/>
      <c r="L127" s="85"/>
    </row>
    <row r="128" spans="1:12">
      <c r="A128" s="50"/>
      <c r="C128" s="80"/>
      <c r="L128" s="85"/>
    </row>
    <row r="129" spans="1:12">
      <c r="A129" s="50"/>
      <c r="C129" s="80"/>
      <c r="L129" s="85"/>
    </row>
    <row r="130" spans="1:12">
      <c r="A130" s="50"/>
      <c r="C130" s="80"/>
      <c r="L130" s="85"/>
    </row>
    <row r="131" spans="1:12">
      <c r="A131" s="50"/>
      <c r="C131" s="80"/>
      <c r="L131" s="85"/>
    </row>
    <row r="132" spans="1:12">
      <c r="A132" s="50"/>
      <c r="C132" s="80"/>
      <c r="L132" s="85"/>
    </row>
    <row r="133" spans="1:12">
      <c r="A133" s="50"/>
      <c r="C133" s="80"/>
      <c r="L133" s="85"/>
    </row>
    <row r="134" spans="1:12">
      <c r="A134" s="50"/>
      <c r="C134" s="80"/>
      <c r="L134" s="85"/>
    </row>
    <row r="135" spans="1:12">
      <c r="A135" s="50"/>
      <c r="C135" s="80"/>
      <c r="L135" s="85"/>
    </row>
    <row r="136" spans="1:12">
      <c r="A136" s="50"/>
      <c r="C136" s="80"/>
      <c r="L136" s="85"/>
    </row>
    <row r="137" spans="1:12">
      <c r="A137" s="50"/>
      <c r="C137" s="80"/>
      <c r="L137" s="85"/>
    </row>
    <row r="138" spans="1:12">
      <c r="A138" s="50"/>
      <c r="C138" s="80"/>
      <c r="L138" s="85"/>
    </row>
    <row r="139" spans="1:12">
      <c r="A139" s="50"/>
      <c r="C139" s="80"/>
      <c r="L139" s="85"/>
    </row>
    <row r="140" spans="1:12">
      <c r="A140" s="50"/>
      <c r="C140" s="80"/>
      <c r="L140" s="85"/>
    </row>
    <row r="141" spans="1:12">
      <c r="A141" s="50"/>
      <c r="C141" s="80"/>
      <c r="L141" s="85"/>
    </row>
    <row r="142" spans="1:12">
      <c r="A142" s="50"/>
      <c r="C142" s="80"/>
      <c r="L142" s="85"/>
    </row>
    <row r="143" spans="1:12">
      <c r="A143" s="50"/>
      <c r="C143" s="80"/>
      <c r="L143" s="85"/>
    </row>
    <row r="144" spans="1:12">
      <c r="A144" s="50"/>
      <c r="C144" s="80"/>
      <c r="L144" s="85"/>
    </row>
    <row r="145" spans="1:12">
      <c r="A145" s="50"/>
      <c r="C145" s="80"/>
      <c r="L145" s="85"/>
    </row>
    <row r="146" spans="1:12">
      <c r="A146" s="50"/>
      <c r="C146" s="80"/>
      <c r="L146" s="85"/>
    </row>
    <row r="147" spans="1:12">
      <c r="A147" s="50"/>
      <c r="C147" s="80"/>
      <c r="L147" s="85"/>
    </row>
    <row r="148" spans="1:12">
      <c r="A148" s="50"/>
      <c r="C148" s="80"/>
      <c r="L148" s="85"/>
    </row>
    <row r="149" spans="1:12">
      <c r="A149" s="50"/>
      <c r="C149" s="80"/>
      <c r="L149" s="85"/>
    </row>
    <row r="150" spans="1:12">
      <c r="A150" s="50"/>
      <c r="C150" s="80"/>
      <c r="L150" s="85"/>
    </row>
    <row r="151" spans="1:12">
      <c r="A151" s="50"/>
      <c r="C151" s="80"/>
      <c r="L151" s="85"/>
    </row>
    <row r="152" spans="1:12">
      <c r="A152" s="50"/>
      <c r="C152" s="80"/>
      <c r="L152" s="85"/>
    </row>
    <row r="153" spans="1:12">
      <c r="A153" s="50"/>
      <c r="C153" s="80"/>
      <c r="L153" s="85"/>
    </row>
    <row r="154" spans="1:12">
      <c r="A154" s="50"/>
      <c r="C154" s="80"/>
      <c r="L154" s="85"/>
    </row>
    <row r="155" spans="1:12">
      <c r="A155" s="50"/>
      <c r="C155" s="80"/>
      <c r="L155" s="85"/>
    </row>
    <row r="156" spans="1:12">
      <c r="A156" s="50"/>
      <c r="C156" s="80"/>
      <c r="L156" s="85"/>
    </row>
    <row r="157" spans="1:12">
      <c r="A157" s="50"/>
      <c r="C157" s="80"/>
      <c r="L157" s="85"/>
    </row>
    <row r="158" spans="1:12">
      <c r="A158" s="50"/>
      <c r="C158" s="80"/>
      <c r="L158" s="85"/>
    </row>
    <row r="159" spans="1:12">
      <c r="A159" s="50"/>
      <c r="C159" s="80"/>
      <c r="L159" s="85"/>
    </row>
    <row r="160" spans="1:12">
      <c r="A160" s="50"/>
      <c r="C160" s="80"/>
      <c r="L160" s="85"/>
    </row>
    <row r="161" spans="1:12">
      <c r="A161" s="50"/>
      <c r="C161" s="80"/>
      <c r="L161" s="85"/>
    </row>
    <row r="162" spans="1:12">
      <c r="A162" s="50"/>
      <c r="C162" s="80"/>
      <c r="L162" s="85"/>
    </row>
    <row r="163" spans="1:12">
      <c r="A163" s="50"/>
      <c r="C163" s="80"/>
      <c r="L163" s="85"/>
    </row>
    <row r="164" spans="1:12">
      <c r="A164" s="50"/>
      <c r="C164" s="80"/>
      <c r="L164" s="85"/>
    </row>
    <row r="165" spans="1:12">
      <c r="A165" s="50"/>
      <c r="C165" s="80"/>
      <c r="L165" s="85"/>
    </row>
    <row r="166" spans="1:12">
      <c r="A166" s="50"/>
      <c r="C166" s="80"/>
      <c r="L166" s="85"/>
    </row>
    <row r="167" spans="1:12">
      <c r="A167" s="50"/>
      <c r="C167" s="80"/>
      <c r="L167" s="85"/>
    </row>
    <row r="168" spans="1:12">
      <c r="A168" s="50"/>
      <c r="C168" s="80"/>
      <c r="L168" s="85"/>
    </row>
    <row r="169" spans="1:12">
      <c r="A169" s="50"/>
      <c r="C169" s="80"/>
      <c r="L169" s="85"/>
    </row>
    <row r="170" spans="1:12">
      <c r="A170" s="50"/>
      <c r="C170" s="80"/>
      <c r="L170" s="85"/>
    </row>
    <row r="171" spans="1:12">
      <c r="A171" s="50"/>
      <c r="C171" s="80"/>
      <c r="L171" s="85"/>
    </row>
    <row r="172" spans="1:12">
      <c r="A172" s="50"/>
      <c r="C172" s="80"/>
      <c r="L172" s="85"/>
    </row>
    <row r="173" spans="1:12">
      <c r="A173" s="50"/>
      <c r="C173" s="80"/>
      <c r="L173" s="85"/>
    </row>
    <row r="174" spans="1:12">
      <c r="A174" s="50"/>
      <c r="C174" s="80"/>
      <c r="L174" s="85"/>
    </row>
    <row r="175" spans="1:12">
      <c r="A175" s="50"/>
      <c r="C175" s="80"/>
      <c r="L175" s="85"/>
    </row>
    <row r="176" spans="1:12">
      <c r="A176" s="50"/>
      <c r="C176" s="80"/>
      <c r="L176" s="85"/>
    </row>
    <row r="177" spans="1:12">
      <c r="A177" s="50"/>
      <c r="C177" s="80"/>
      <c r="L177" s="85"/>
    </row>
    <row r="178" spans="1:12">
      <c r="A178" s="50"/>
      <c r="C178" s="80"/>
      <c r="L178" s="85"/>
    </row>
    <row r="179" spans="1:12">
      <c r="A179" s="50"/>
      <c r="C179" s="80"/>
      <c r="L179" s="85"/>
    </row>
    <row r="180" spans="1:12">
      <c r="A180" s="50"/>
      <c r="C180" s="80"/>
      <c r="L180" s="85"/>
    </row>
    <row r="181" spans="1:12">
      <c r="A181" s="50"/>
      <c r="C181" s="80"/>
      <c r="L181" s="85"/>
    </row>
    <row r="182" spans="1:12">
      <c r="A182" s="50"/>
      <c r="C182" s="80"/>
      <c r="L182" s="85"/>
    </row>
    <row r="183" spans="1:12">
      <c r="A183" s="50"/>
      <c r="C183" s="80"/>
      <c r="L183" s="85"/>
    </row>
    <row r="184" spans="1:12">
      <c r="A184" s="50"/>
      <c r="C184" s="80"/>
      <c r="L184" s="85"/>
    </row>
    <row r="185" spans="1:12">
      <c r="A185" s="50"/>
      <c r="C185" s="80"/>
      <c r="L185" s="85"/>
    </row>
    <row r="186" spans="1:12">
      <c r="A186" s="50"/>
      <c r="C186" s="80"/>
      <c r="L186" s="85"/>
    </row>
    <row r="187" spans="1:12">
      <c r="A187" s="50"/>
      <c r="C187" s="80"/>
      <c r="L187" s="85"/>
    </row>
    <row r="188" spans="1:12">
      <c r="A188" s="50"/>
      <c r="C188" s="80"/>
      <c r="L188" s="85"/>
    </row>
    <row r="189" spans="1:12">
      <c r="A189" s="50"/>
      <c r="C189" s="80"/>
      <c r="L189" s="85"/>
    </row>
    <row r="190" spans="1:12">
      <c r="A190" s="50"/>
      <c r="C190" s="80"/>
      <c r="L190" s="85"/>
    </row>
    <row r="191" spans="1:12">
      <c r="A191" s="50"/>
      <c r="C191" s="80"/>
      <c r="L191" s="85"/>
    </row>
    <row r="192" spans="1:12">
      <c r="A192" s="50"/>
      <c r="C192" s="80"/>
      <c r="L192" s="85"/>
    </row>
    <row r="193" spans="1:12">
      <c r="A193" s="50"/>
      <c r="C193" s="80"/>
      <c r="L193" s="85"/>
    </row>
    <row r="194" spans="1:12">
      <c r="A194" s="50"/>
      <c r="C194" s="80"/>
      <c r="L194" s="85"/>
    </row>
    <row r="195" spans="1:12">
      <c r="A195" s="50"/>
      <c r="C195" s="80"/>
      <c r="L195" s="85"/>
    </row>
    <row r="196" spans="1:12">
      <c r="A196" s="50"/>
      <c r="C196" s="80"/>
      <c r="L196" s="85"/>
    </row>
    <row r="197" spans="1:12">
      <c r="A197" s="50"/>
      <c r="C197" s="80"/>
      <c r="L197" s="85"/>
    </row>
    <row r="198" spans="1:12">
      <c r="A198" s="50"/>
      <c r="C198" s="80"/>
      <c r="L198" s="85"/>
    </row>
    <row r="199" spans="1:12">
      <c r="A199" s="50"/>
      <c r="C199" s="80"/>
      <c r="L199" s="85"/>
    </row>
    <row r="200" spans="1:12">
      <c r="A200" s="50"/>
      <c r="C200" s="80"/>
      <c r="L200" s="85"/>
    </row>
    <row r="201" spans="1:12">
      <c r="A201" s="50"/>
      <c r="C201" s="80"/>
      <c r="L201" s="85"/>
    </row>
    <row r="202" spans="1:12">
      <c r="A202" s="50"/>
      <c r="C202" s="80"/>
      <c r="L202" s="85"/>
    </row>
    <row r="203" spans="1:12">
      <c r="A203" s="50"/>
      <c r="C203" s="80"/>
      <c r="L203" s="85"/>
    </row>
    <row r="204" spans="1:12">
      <c r="A204" s="50"/>
      <c r="C204" s="80"/>
      <c r="L204" s="85"/>
    </row>
    <row r="205" spans="1:12">
      <c r="A205" s="50"/>
      <c r="C205" s="80"/>
      <c r="L205" s="85"/>
    </row>
    <row r="206" spans="1:12">
      <c r="A206" s="50"/>
      <c r="C206" s="80"/>
      <c r="L206" s="85"/>
    </row>
    <row r="207" spans="1:12">
      <c r="A207" s="50"/>
      <c r="C207" s="80"/>
      <c r="L207" s="85"/>
    </row>
    <row r="208" spans="1:12">
      <c r="A208" s="50"/>
      <c r="C208" s="80"/>
      <c r="L208" s="85"/>
    </row>
    <row r="209" spans="1:12">
      <c r="A209" s="50"/>
      <c r="C209" s="80"/>
      <c r="L209" s="85"/>
    </row>
    <row r="210" spans="1:12">
      <c r="A210" s="50"/>
      <c r="C210" s="80"/>
      <c r="L210" s="85"/>
    </row>
    <row r="211" spans="1:12">
      <c r="A211" s="50"/>
      <c r="C211" s="80"/>
      <c r="L211" s="85"/>
    </row>
    <row r="212" spans="1:12">
      <c r="A212" s="50"/>
      <c r="C212" s="80"/>
      <c r="L212" s="85"/>
    </row>
    <row r="213" spans="1:12">
      <c r="A213" s="50"/>
      <c r="C213" s="80"/>
      <c r="L213" s="85"/>
    </row>
    <row r="214" spans="1:12">
      <c r="A214" s="50"/>
      <c r="C214" s="80"/>
      <c r="L214" s="85"/>
    </row>
    <row r="215" spans="1:12">
      <c r="A215" s="50"/>
      <c r="C215" s="80"/>
      <c r="L215" s="85"/>
    </row>
    <row r="216" spans="1:12">
      <c r="A216" s="50"/>
      <c r="C216" s="80"/>
      <c r="L216" s="85"/>
    </row>
    <row r="217" spans="1:12">
      <c r="A217" s="50"/>
      <c r="C217" s="80"/>
      <c r="L217" s="85"/>
    </row>
    <row r="218" spans="1:12">
      <c r="A218" s="50"/>
      <c r="C218" s="80"/>
      <c r="L218" s="85"/>
    </row>
    <row r="219" spans="1:12">
      <c r="A219" s="50"/>
      <c r="C219" s="80"/>
      <c r="L219" s="85"/>
    </row>
    <row r="220" spans="1:12">
      <c r="A220" s="50"/>
      <c r="C220" s="80"/>
      <c r="L220" s="85"/>
    </row>
    <row r="221" spans="1:12">
      <c r="A221" s="50"/>
      <c r="C221" s="80"/>
      <c r="L221" s="85"/>
    </row>
    <row r="222" spans="1:12">
      <c r="A222" s="50"/>
      <c r="C222" s="80"/>
      <c r="L222" s="85"/>
    </row>
    <row r="223" spans="1:12">
      <c r="A223" s="50"/>
      <c r="C223" s="80"/>
      <c r="L223" s="85"/>
    </row>
    <row r="224" spans="1:12">
      <c r="A224" s="50"/>
      <c r="C224" s="80"/>
      <c r="L224" s="85"/>
    </row>
    <row r="225" spans="1:12">
      <c r="A225" s="50"/>
      <c r="C225" s="80"/>
      <c r="L225" s="85"/>
    </row>
    <row r="226" spans="1:12">
      <c r="A226" s="50"/>
      <c r="C226" s="80"/>
      <c r="L226" s="85"/>
    </row>
    <row r="227" spans="1:12">
      <c r="A227" s="50"/>
      <c r="C227" s="80"/>
      <c r="L227" s="85"/>
    </row>
    <row r="228" spans="1:12">
      <c r="A228" s="50"/>
      <c r="C228" s="80"/>
      <c r="L228" s="85"/>
    </row>
    <row r="229" spans="1:12">
      <c r="A229" s="50"/>
      <c r="C229" s="80"/>
      <c r="L229" s="85"/>
    </row>
    <row r="230" spans="1:12">
      <c r="A230" s="50"/>
      <c r="C230" s="80"/>
      <c r="L230" s="85"/>
    </row>
    <row r="231" spans="1:12">
      <c r="A231" s="50"/>
      <c r="C231" s="80"/>
      <c r="L231" s="85"/>
    </row>
    <row r="232" spans="1:12">
      <c r="A232" s="50"/>
      <c r="C232" s="80"/>
      <c r="L232" s="85"/>
    </row>
    <row r="233" spans="1:12">
      <c r="A233" s="50"/>
      <c r="C233" s="80"/>
      <c r="L233" s="85"/>
    </row>
    <row r="234" spans="1:12">
      <c r="A234" s="50"/>
      <c r="C234" s="80"/>
      <c r="L234" s="85"/>
    </row>
    <row r="235" spans="1:12">
      <c r="A235" s="50"/>
      <c r="C235" s="80"/>
      <c r="L235" s="85"/>
    </row>
    <row r="236" spans="1:12">
      <c r="A236" s="50"/>
      <c r="C236" s="80"/>
      <c r="L236" s="85"/>
    </row>
    <row r="237" spans="1:12">
      <c r="A237" s="50"/>
      <c r="C237" s="80"/>
      <c r="L237" s="85"/>
    </row>
    <row r="238" spans="1:12">
      <c r="A238" s="50"/>
      <c r="C238" s="80"/>
      <c r="L238" s="85"/>
    </row>
    <row r="239" spans="1:12">
      <c r="A239" s="50"/>
      <c r="C239" s="80"/>
      <c r="L239" s="85"/>
    </row>
    <row r="240" spans="1:12">
      <c r="A240" s="50"/>
      <c r="C240" s="80"/>
      <c r="L240" s="85"/>
    </row>
    <row r="241" spans="1:12">
      <c r="A241" s="50"/>
      <c r="C241" s="80"/>
      <c r="L241" s="85"/>
    </row>
    <row r="242" spans="1:12">
      <c r="A242" s="50"/>
      <c r="C242" s="80"/>
      <c r="L242" s="85"/>
    </row>
    <row r="243" spans="1:12">
      <c r="A243" s="50"/>
      <c r="C243" s="80"/>
      <c r="L243" s="85"/>
    </row>
    <row r="244" spans="1:12">
      <c r="A244" s="50"/>
      <c r="C244" s="80"/>
      <c r="L244" s="85"/>
    </row>
    <row r="245" spans="1:12">
      <c r="A245" s="50"/>
      <c r="C245" s="80"/>
      <c r="L245" s="85"/>
    </row>
    <row r="246" spans="1:12">
      <c r="A246" s="50"/>
      <c r="C246" s="80"/>
      <c r="L246" s="85"/>
    </row>
    <row r="247" spans="1:12">
      <c r="A247" s="50"/>
      <c r="C247" s="80"/>
      <c r="L247" s="85"/>
    </row>
    <row r="248" spans="1:12">
      <c r="A248" s="50"/>
      <c r="C248" s="80"/>
      <c r="L248" s="85"/>
    </row>
    <row r="249" spans="1:12">
      <c r="A249" s="50"/>
      <c r="C249" s="80"/>
      <c r="L249" s="85"/>
    </row>
    <row r="250" spans="1:12">
      <c r="A250" s="50"/>
      <c r="C250" s="80"/>
      <c r="L250" s="85"/>
    </row>
    <row r="251" spans="1:12">
      <c r="A251" s="50"/>
      <c r="C251" s="80"/>
      <c r="L251" s="85"/>
    </row>
    <row r="252" spans="1:12">
      <c r="A252" s="50"/>
      <c r="C252" s="80"/>
      <c r="L252" s="85"/>
    </row>
    <row r="253" spans="1:12">
      <c r="A253" s="50"/>
      <c r="C253" s="80"/>
      <c r="L253" s="85"/>
    </row>
    <row r="254" spans="1:12">
      <c r="A254" s="50"/>
      <c r="C254" s="80"/>
      <c r="L254" s="85"/>
    </row>
    <row r="255" spans="1:12">
      <c r="A255" s="50"/>
      <c r="C255" s="80"/>
      <c r="L255" s="85"/>
    </row>
    <row r="256" spans="1:12">
      <c r="A256" s="50"/>
      <c r="C256" s="80"/>
      <c r="L256" s="85"/>
    </row>
    <row r="257" spans="1:12">
      <c r="A257" s="50"/>
      <c r="C257" s="80"/>
      <c r="L257" s="85"/>
    </row>
    <row r="258" spans="1:12">
      <c r="A258" s="50"/>
      <c r="C258" s="80"/>
      <c r="L258" s="85"/>
    </row>
    <row r="259" spans="1:12">
      <c r="A259" s="50"/>
      <c r="C259" s="80"/>
      <c r="L259" s="85"/>
    </row>
    <row r="260" spans="1:12">
      <c r="A260" s="50"/>
      <c r="C260" s="80"/>
      <c r="L260" s="85"/>
    </row>
    <row r="261" spans="1:12">
      <c r="A261" s="50"/>
      <c r="C261" s="80"/>
      <c r="L261" s="85"/>
    </row>
    <row r="262" spans="1:12">
      <c r="A262" s="50"/>
      <c r="C262" s="80"/>
      <c r="L262" s="85"/>
    </row>
    <row r="263" spans="1:12">
      <c r="A263" s="50"/>
      <c r="C263" s="80"/>
      <c r="L263" s="85"/>
    </row>
    <row r="264" spans="1:12">
      <c r="A264" s="50"/>
      <c r="C264" s="80"/>
      <c r="L264" s="85"/>
    </row>
    <row r="265" spans="1:12">
      <c r="A265" s="50"/>
      <c r="C265" s="80"/>
      <c r="L265" s="85"/>
    </row>
    <row r="266" spans="1:12">
      <c r="A266" s="50"/>
      <c r="C266" s="80"/>
      <c r="L266" s="85"/>
    </row>
    <row r="267" spans="1:12">
      <c r="A267" s="50"/>
      <c r="C267" s="80"/>
      <c r="L267" s="85"/>
    </row>
    <row r="268" spans="1:12">
      <c r="A268" s="50"/>
      <c r="C268" s="80"/>
      <c r="L268" s="85"/>
    </row>
    <row r="269" spans="1:12">
      <c r="A269" s="50"/>
      <c r="C269" s="80"/>
      <c r="L269" s="85"/>
    </row>
    <row r="270" spans="1:12">
      <c r="A270" s="50"/>
      <c r="C270" s="80"/>
      <c r="L270" s="85"/>
    </row>
    <row r="271" spans="1:12">
      <c r="A271" s="50"/>
      <c r="C271" s="80"/>
      <c r="L271" s="85"/>
    </row>
    <row r="272" spans="1:12">
      <c r="A272" s="50"/>
      <c r="C272" s="80"/>
      <c r="L272" s="85"/>
    </row>
    <row r="273" spans="1:12">
      <c r="A273" s="50"/>
      <c r="C273" s="80"/>
      <c r="L273" s="85"/>
    </row>
    <row r="274" spans="1:12">
      <c r="A274" s="50"/>
      <c r="C274" s="80"/>
      <c r="L274" s="85"/>
    </row>
    <row r="275" spans="1:12">
      <c r="A275" s="50"/>
      <c r="C275" s="80"/>
      <c r="L275" s="85"/>
    </row>
    <row r="276" spans="1:12">
      <c r="A276" s="50"/>
      <c r="C276" s="80"/>
      <c r="L276" s="85"/>
    </row>
    <row r="277" spans="1:12">
      <c r="A277" s="50"/>
      <c r="C277" s="80"/>
      <c r="L277" s="85"/>
    </row>
    <row r="278" spans="1:12">
      <c r="A278" s="50"/>
      <c r="C278" s="80"/>
      <c r="L278" s="85"/>
    </row>
    <row r="279" spans="1:12">
      <c r="A279" s="50"/>
      <c r="C279" s="80"/>
      <c r="L279" s="85"/>
    </row>
    <row r="280" spans="1:12">
      <c r="A280" s="50"/>
      <c r="C280" s="80"/>
      <c r="L280" s="85"/>
    </row>
    <row r="281" spans="1:12">
      <c r="A281" s="50"/>
      <c r="C281" s="80"/>
      <c r="L281" s="85"/>
    </row>
    <row r="282" spans="1:12">
      <c r="A282" s="50"/>
      <c r="C282" s="80"/>
      <c r="L282" s="85"/>
    </row>
    <row r="283" spans="1:12">
      <c r="A283" s="50"/>
      <c r="C283" s="80"/>
      <c r="L283" s="85"/>
    </row>
    <row r="284" spans="1:12">
      <c r="A284" s="50"/>
      <c r="C284" s="80"/>
      <c r="L284" s="85"/>
    </row>
    <row r="285" spans="1:12">
      <c r="A285" s="50"/>
      <c r="C285" s="80"/>
      <c r="L285" s="85"/>
    </row>
    <row r="286" spans="1:12">
      <c r="A286" s="50"/>
      <c r="C286" s="80"/>
      <c r="L286" s="85"/>
    </row>
    <row r="287" spans="1:12">
      <c r="A287" s="50"/>
      <c r="C287" s="80"/>
      <c r="L287" s="85"/>
    </row>
    <row r="288" spans="1:12">
      <c r="A288" s="50"/>
      <c r="C288" s="80"/>
      <c r="L288" s="85"/>
    </row>
    <row r="289" spans="1:12">
      <c r="A289" s="50"/>
      <c r="C289" s="80"/>
      <c r="L289" s="85"/>
    </row>
    <row r="290" spans="1:12">
      <c r="A290" s="50"/>
      <c r="C290" s="80"/>
      <c r="L290" s="85"/>
    </row>
    <row r="291" spans="1:12">
      <c r="A291" s="50"/>
      <c r="C291" s="80"/>
      <c r="L291" s="85"/>
    </row>
    <row r="292" spans="1:12">
      <c r="A292" s="50"/>
      <c r="C292" s="80"/>
      <c r="L292" s="85"/>
    </row>
    <row r="293" spans="1:12">
      <c r="A293" s="50"/>
      <c r="C293" s="80"/>
      <c r="L293" s="85"/>
    </row>
    <row r="294" spans="1:12">
      <c r="A294" s="50"/>
      <c r="C294" s="80"/>
      <c r="L294" s="85"/>
    </row>
    <row r="295" spans="1:12">
      <c r="A295" s="50"/>
      <c r="C295" s="80"/>
      <c r="L295" s="85"/>
    </row>
    <row r="296" spans="1:12">
      <c r="A296" s="50"/>
      <c r="C296" s="80"/>
      <c r="L296" s="85"/>
    </row>
    <row r="297" spans="1:12">
      <c r="A297" s="50"/>
      <c r="C297" s="80"/>
      <c r="L297" s="85"/>
    </row>
    <row r="298" spans="1:12">
      <c r="A298" s="50"/>
      <c r="C298" s="80"/>
      <c r="L298" s="85"/>
    </row>
    <row r="299" spans="1:12">
      <c r="A299" s="50"/>
      <c r="C299" s="80"/>
      <c r="L299" s="85"/>
    </row>
    <row r="300" spans="1:12">
      <c r="A300" s="50"/>
      <c r="C300" s="80"/>
      <c r="L300" s="85"/>
    </row>
    <row r="301" spans="1:12">
      <c r="A301" s="50"/>
      <c r="C301" s="80"/>
      <c r="L301" s="85"/>
    </row>
    <row r="302" spans="1:12">
      <c r="A302" s="50"/>
      <c r="C302" s="80"/>
      <c r="L302" s="85"/>
    </row>
    <row r="303" spans="1:12">
      <c r="A303" s="50"/>
      <c r="C303" s="80"/>
      <c r="L303" s="85"/>
    </row>
    <row r="304" spans="1:12">
      <c r="A304" s="50"/>
      <c r="C304" s="80"/>
      <c r="L304" s="85"/>
    </row>
    <row r="305" spans="1:12">
      <c r="A305" s="50"/>
      <c r="C305" s="80"/>
      <c r="L305" s="85"/>
    </row>
    <row r="306" spans="1:12">
      <c r="A306" s="50"/>
      <c r="C306" s="80"/>
      <c r="L306" s="85"/>
    </row>
    <row r="307" spans="1:12">
      <c r="A307" s="50"/>
      <c r="C307" s="80"/>
      <c r="L307" s="85"/>
    </row>
    <row r="308" spans="1:12">
      <c r="A308" s="50"/>
      <c r="C308" s="80"/>
      <c r="L308" s="85"/>
    </row>
    <row r="309" spans="1:12">
      <c r="A309" s="50"/>
      <c r="C309" s="80"/>
      <c r="L309" s="85"/>
    </row>
    <row r="310" spans="1:12">
      <c r="A310" s="50"/>
      <c r="C310" s="80"/>
      <c r="L310" s="85"/>
    </row>
    <row r="311" spans="1:12">
      <c r="A311" s="50"/>
      <c r="C311" s="80"/>
      <c r="L311" s="85"/>
    </row>
    <row r="312" spans="1:12">
      <c r="A312" s="50"/>
      <c r="C312" s="80"/>
      <c r="L312" s="85"/>
    </row>
    <row r="313" spans="1:12">
      <c r="A313" s="50"/>
      <c r="C313" s="80"/>
      <c r="L313" s="85"/>
    </row>
    <row r="314" spans="1:12">
      <c r="A314" s="50"/>
      <c r="C314" s="80"/>
      <c r="L314" s="85"/>
    </row>
    <row r="315" spans="1:12">
      <c r="A315" s="50"/>
      <c r="C315" s="80"/>
      <c r="L315" s="85"/>
    </row>
    <row r="316" spans="1:12">
      <c r="A316" s="50"/>
      <c r="C316" s="80"/>
      <c r="L316" s="85"/>
    </row>
    <row r="317" spans="1:12">
      <c r="A317" s="50"/>
      <c r="C317" s="80"/>
      <c r="L317" s="85"/>
    </row>
    <row r="318" spans="1:12">
      <c r="A318" s="50"/>
      <c r="C318" s="80"/>
      <c r="L318" s="85"/>
    </row>
    <row r="319" spans="1:12">
      <c r="A319" s="50"/>
      <c r="C319" s="80"/>
      <c r="L319" s="85"/>
    </row>
    <row r="320" spans="1:12">
      <c r="A320" s="50"/>
      <c r="C320" s="80"/>
      <c r="L320" s="85"/>
    </row>
    <row r="321" spans="1:12">
      <c r="A321" s="50"/>
      <c r="C321" s="80"/>
      <c r="L321" s="85"/>
    </row>
    <row r="322" spans="1:12">
      <c r="A322" s="50"/>
      <c r="C322" s="80"/>
      <c r="L322" s="85"/>
    </row>
    <row r="323" spans="1:12">
      <c r="A323" s="50"/>
      <c r="C323" s="80"/>
      <c r="L323" s="85"/>
    </row>
    <row r="324" spans="1:12">
      <c r="A324" s="50"/>
      <c r="C324" s="80"/>
      <c r="L324" s="85"/>
    </row>
    <row r="325" spans="1:12">
      <c r="A325" s="50"/>
      <c r="C325" s="80"/>
      <c r="L325" s="85"/>
    </row>
    <row r="326" spans="1:12">
      <c r="A326" s="50"/>
      <c r="C326" s="80"/>
      <c r="L326" s="85"/>
    </row>
    <row r="327" spans="1:12">
      <c r="A327" s="50"/>
      <c r="C327" s="80"/>
      <c r="L327" s="85"/>
    </row>
    <row r="328" spans="1:12">
      <c r="A328" s="50"/>
      <c r="C328" s="80"/>
      <c r="L328" s="85"/>
    </row>
    <row r="329" spans="1:12">
      <c r="A329" s="50"/>
      <c r="C329" s="80"/>
      <c r="L329" s="85"/>
    </row>
    <row r="330" spans="1:12">
      <c r="A330" s="50"/>
      <c r="C330" s="80"/>
      <c r="L330" s="85"/>
    </row>
    <row r="331" spans="1:12">
      <c r="A331" s="50"/>
      <c r="C331" s="80"/>
      <c r="L331" s="85"/>
    </row>
    <row r="332" spans="1:12">
      <c r="A332" s="50"/>
      <c r="C332" s="80"/>
      <c r="L332" s="85"/>
    </row>
    <row r="333" spans="1:12">
      <c r="A333" s="50"/>
      <c r="C333" s="80"/>
      <c r="L333" s="85"/>
    </row>
    <row r="334" spans="1:12">
      <c r="A334" s="50"/>
      <c r="C334" s="80"/>
      <c r="L334" s="85"/>
    </row>
    <row r="335" spans="1:12">
      <c r="A335" s="50"/>
      <c r="C335" s="80"/>
      <c r="L335" s="85"/>
    </row>
    <row r="336" spans="1:12">
      <c r="A336" s="50"/>
      <c r="C336" s="80"/>
      <c r="L336" s="85"/>
    </row>
    <row r="337" spans="1:12">
      <c r="A337" s="50"/>
      <c r="C337" s="80"/>
      <c r="L337" s="85"/>
    </row>
    <row r="338" spans="1:12">
      <c r="A338" s="50"/>
      <c r="C338" s="80"/>
      <c r="L338" s="85"/>
    </row>
    <row r="339" spans="1:12">
      <c r="A339" s="50"/>
      <c r="C339" s="80"/>
      <c r="L339" s="85"/>
    </row>
    <row r="340" spans="1:12">
      <c r="A340" s="50"/>
      <c r="C340" s="80"/>
      <c r="L340" s="85"/>
    </row>
    <row r="341" spans="1:12">
      <c r="A341" s="50"/>
      <c r="C341" s="80"/>
      <c r="L341" s="85"/>
    </row>
    <row r="342" spans="1:12">
      <c r="A342" s="50"/>
      <c r="C342" s="80"/>
      <c r="L342" s="85"/>
    </row>
    <row r="343" spans="1:12">
      <c r="A343" s="50"/>
      <c r="C343" s="80"/>
      <c r="L343" s="85"/>
    </row>
    <row r="344" spans="1:12">
      <c r="A344" s="50"/>
      <c r="C344" s="80"/>
      <c r="L344" s="85"/>
    </row>
    <row r="345" spans="1:12">
      <c r="A345" s="50"/>
      <c r="C345" s="80"/>
      <c r="L345" s="85"/>
    </row>
    <row r="346" spans="1:12">
      <c r="A346" s="50"/>
      <c r="C346" s="80"/>
      <c r="L346" s="85"/>
    </row>
    <row r="347" spans="1:12">
      <c r="A347" s="50"/>
      <c r="C347" s="80"/>
      <c r="L347" s="85"/>
    </row>
    <row r="348" spans="1:12">
      <c r="A348" s="50"/>
      <c r="C348" s="80"/>
      <c r="L348" s="85"/>
    </row>
    <row r="349" spans="1:12">
      <c r="A349" s="50"/>
      <c r="C349" s="80"/>
      <c r="L349" s="85"/>
    </row>
    <row r="350" spans="1:12">
      <c r="A350" s="50"/>
      <c r="C350" s="80"/>
      <c r="L350" s="85"/>
    </row>
    <row r="351" spans="1:12">
      <c r="A351" s="50"/>
      <c r="C351" s="80"/>
      <c r="L351" s="85"/>
    </row>
    <row r="352" spans="1:12">
      <c r="A352" s="50"/>
      <c r="C352" s="80"/>
      <c r="L352" s="85"/>
    </row>
    <row r="353" spans="1:12">
      <c r="A353" s="50"/>
      <c r="C353" s="80"/>
      <c r="L353" s="85"/>
    </row>
    <row r="354" spans="1:12">
      <c r="A354" s="50"/>
      <c r="C354" s="80"/>
      <c r="L354" s="85"/>
    </row>
    <row r="355" spans="1:12">
      <c r="A355" s="50"/>
      <c r="C355" s="80"/>
      <c r="L355" s="85"/>
    </row>
    <row r="356" spans="1:12">
      <c r="A356" s="50"/>
      <c r="C356" s="80"/>
      <c r="L356" s="85"/>
    </row>
    <row r="357" spans="1:12">
      <c r="A357" s="50"/>
      <c r="C357" s="80"/>
      <c r="L357" s="85"/>
    </row>
    <row r="358" spans="1:12">
      <c r="A358" s="50"/>
      <c r="C358" s="80"/>
      <c r="L358" s="85"/>
    </row>
    <row r="359" spans="1:12">
      <c r="A359" s="50"/>
      <c r="C359" s="80"/>
      <c r="L359" s="85"/>
    </row>
    <row r="360" spans="1:12">
      <c r="A360" s="50"/>
      <c r="C360" s="80"/>
      <c r="L360" s="85"/>
    </row>
    <row r="361" spans="1:12">
      <c r="A361" s="50"/>
      <c r="C361" s="80"/>
      <c r="L361" s="85"/>
    </row>
    <row r="362" spans="1:12">
      <c r="A362" s="50"/>
      <c r="C362" s="80"/>
      <c r="L362" s="85"/>
    </row>
    <row r="363" spans="1:12">
      <c r="A363" s="50"/>
      <c r="C363" s="80"/>
      <c r="L363" s="85"/>
    </row>
    <row r="364" spans="1:12">
      <c r="A364" s="50"/>
      <c r="C364" s="80"/>
      <c r="L364" s="85"/>
    </row>
    <row r="365" spans="1:12">
      <c r="A365" s="50"/>
      <c r="C365" s="80"/>
      <c r="L365" s="85"/>
    </row>
    <row r="366" spans="1:12">
      <c r="A366" s="50"/>
      <c r="C366" s="80"/>
      <c r="L366" s="85"/>
    </row>
    <row r="367" spans="1:12">
      <c r="A367" s="50"/>
      <c r="C367" s="80"/>
      <c r="L367" s="85"/>
    </row>
    <row r="368" spans="1:12">
      <c r="A368" s="50"/>
      <c r="C368" s="80"/>
      <c r="L368" s="85"/>
    </row>
    <row r="369" spans="1:12">
      <c r="A369" s="50"/>
      <c r="C369" s="80"/>
      <c r="L369" s="85"/>
    </row>
    <row r="370" spans="1:12">
      <c r="A370" s="50"/>
      <c r="C370" s="80"/>
      <c r="L370" s="85"/>
    </row>
    <row r="371" spans="1:12">
      <c r="A371" s="50"/>
      <c r="C371" s="80"/>
      <c r="L371" s="85"/>
    </row>
    <row r="372" spans="1:12">
      <c r="A372" s="50"/>
      <c r="C372" s="80"/>
      <c r="L372" s="85"/>
    </row>
    <row r="373" spans="1:12">
      <c r="A373" s="50"/>
      <c r="C373" s="80"/>
      <c r="L373" s="85"/>
    </row>
    <row r="374" spans="1:12">
      <c r="A374" s="50"/>
      <c r="C374" s="80"/>
      <c r="L374" s="85"/>
    </row>
    <row r="375" spans="1:12">
      <c r="A375" s="50"/>
      <c r="C375" s="80"/>
      <c r="L375" s="85"/>
    </row>
    <row r="376" spans="1:12">
      <c r="A376" s="50"/>
      <c r="C376" s="80"/>
      <c r="L376" s="85"/>
    </row>
    <row r="377" spans="1:12">
      <c r="A377" s="50"/>
      <c r="C377" s="80"/>
      <c r="L377" s="85"/>
    </row>
    <row r="378" spans="1:12">
      <c r="A378" s="50"/>
      <c r="C378" s="80"/>
      <c r="L378" s="85"/>
    </row>
    <row r="379" spans="1:12">
      <c r="A379" s="50"/>
      <c r="C379" s="80"/>
      <c r="L379" s="85"/>
    </row>
    <row r="380" spans="1:12">
      <c r="A380" s="50"/>
      <c r="C380" s="80"/>
      <c r="L380" s="85"/>
    </row>
    <row r="381" spans="1:12">
      <c r="A381" s="50"/>
      <c r="C381" s="80"/>
      <c r="L381" s="85"/>
    </row>
    <row r="382" spans="1:12">
      <c r="A382" s="50"/>
      <c r="C382" s="80"/>
      <c r="L382" s="85"/>
    </row>
    <row r="383" spans="1:12">
      <c r="A383" s="50"/>
      <c r="C383" s="80"/>
      <c r="L383" s="85"/>
    </row>
    <row r="384" spans="1:12">
      <c r="A384" s="50"/>
      <c r="C384" s="80"/>
      <c r="L384" s="85"/>
    </row>
    <row r="385" spans="1:12">
      <c r="A385" s="50"/>
      <c r="C385" s="80"/>
      <c r="L385" s="85"/>
    </row>
    <row r="386" spans="1:12">
      <c r="A386" s="50"/>
      <c r="C386" s="80"/>
      <c r="L386" s="85"/>
    </row>
    <row r="387" spans="1:12">
      <c r="A387" s="50"/>
      <c r="C387" s="80"/>
      <c r="L387" s="85"/>
    </row>
    <row r="388" spans="1:12">
      <c r="A388" s="50"/>
      <c r="C388" s="80"/>
      <c r="L388" s="85"/>
    </row>
    <row r="389" spans="1:12">
      <c r="A389" s="50"/>
      <c r="C389" s="80"/>
      <c r="L389" s="85"/>
    </row>
    <row r="390" spans="1:12">
      <c r="A390" s="50"/>
      <c r="C390" s="80"/>
      <c r="L390" s="85"/>
    </row>
    <row r="391" spans="1:12">
      <c r="A391" s="50"/>
      <c r="C391" s="80"/>
      <c r="L391" s="85"/>
    </row>
    <row r="392" spans="1:12">
      <c r="A392" s="50"/>
      <c r="C392" s="80"/>
      <c r="L392" s="85"/>
    </row>
    <row r="393" spans="1:12">
      <c r="A393" s="50"/>
      <c r="C393" s="80"/>
      <c r="L393" s="85"/>
    </row>
    <row r="394" spans="1:12">
      <c r="A394" s="50"/>
      <c r="C394" s="80"/>
      <c r="L394" s="85"/>
    </row>
    <row r="395" spans="1:12">
      <c r="A395" s="50"/>
      <c r="C395" s="80"/>
      <c r="L395" s="85"/>
    </row>
    <row r="396" spans="1:12">
      <c r="A396" s="50"/>
      <c r="C396" s="80"/>
      <c r="L396" s="85"/>
    </row>
    <row r="397" spans="1:12">
      <c r="A397" s="50"/>
      <c r="C397" s="80"/>
      <c r="L397" s="85"/>
    </row>
    <row r="398" spans="1:12">
      <c r="A398" s="50"/>
      <c r="C398" s="80"/>
      <c r="L398" s="85"/>
    </row>
    <row r="399" spans="1:12">
      <c r="A399" s="50"/>
      <c r="C399" s="80"/>
      <c r="L399" s="85"/>
    </row>
    <row r="400" spans="1:12">
      <c r="A400" s="50"/>
      <c r="C400" s="80"/>
      <c r="L400" s="85"/>
    </row>
    <row r="401" spans="1:12">
      <c r="A401" s="50"/>
      <c r="C401" s="80"/>
      <c r="L401" s="85"/>
    </row>
    <row r="402" spans="1:12">
      <c r="A402" s="50"/>
      <c r="C402" s="80"/>
      <c r="L402" s="85"/>
    </row>
    <row r="403" spans="1:12">
      <c r="A403" s="50"/>
      <c r="C403" s="80"/>
      <c r="L403" s="85"/>
    </row>
    <row r="404" spans="1:12">
      <c r="A404" s="50"/>
      <c r="C404" s="80"/>
      <c r="L404" s="85"/>
    </row>
    <row r="405" spans="1:12">
      <c r="A405" s="50"/>
      <c r="C405" s="80"/>
      <c r="L405" s="85"/>
    </row>
    <row r="406" spans="1:12">
      <c r="A406" s="50"/>
      <c r="C406" s="80"/>
      <c r="L406" s="85"/>
    </row>
    <row r="407" spans="1:12">
      <c r="A407" s="50"/>
      <c r="C407" s="80"/>
      <c r="L407" s="85"/>
    </row>
    <row r="408" spans="1:12">
      <c r="A408" s="50"/>
      <c r="C408" s="80"/>
      <c r="L408" s="85"/>
    </row>
    <row r="409" spans="1:12">
      <c r="A409" s="50"/>
      <c r="C409" s="80"/>
      <c r="L409" s="85"/>
    </row>
    <row r="410" spans="1:12">
      <c r="A410" s="50"/>
      <c r="C410" s="80"/>
      <c r="L410" s="85"/>
    </row>
    <row r="411" spans="1:12">
      <c r="A411" s="50"/>
      <c r="C411" s="80"/>
      <c r="L411" s="85"/>
    </row>
    <row r="412" spans="1:12">
      <c r="A412" s="50"/>
      <c r="C412" s="80"/>
      <c r="L412" s="85"/>
    </row>
    <row r="413" spans="1:12">
      <c r="A413" s="50"/>
      <c r="C413" s="80"/>
      <c r="L413" s="85"/>
    </row>
    <row r="414" spans="1:12">
      <c r="A414" s="50"/>
      <c r="C414" s="80"/>
      <c r="L414" s="85"/>
    </row>
    <row r="415" spans="1:12">
      <c r="A415" s="50"/>
      <c r="C415" s="80"/>
      <c r="L415" s="85"/>
    </row>
    <row r="416" spans="1:12">
      <c r="A416" s="50"/>
      <c r="C416" s="80"/>
      <c r="L416" s="85"/>
    </row>
    <row r="417" spans="1:12">
      <c r="A417" s="50"/>
      <c r="C417" s="80"/>
      <c r="L417" s="85"/>
    </row>
    <row r="418" spans="1:12">
      <c r="A418" s="50"/>
      <c r="C418" s="80"/>
      <c r="L418" s="85"/>
    </row>
    <row r="419" spans="1:12">
      <c r="A419" s="50"/>
      <c r="C419" s="80"/>
      <c r="L419" s="85"/>
    </row>
    <row r="420" spans="1:12">
      <c r="A420" s="50"/>
      <c r="C420" s="80"/>
      <c r="L420" s="85"/>
    </row>
    <row r="421" spans="1:12">
      <c r="A421" s="50"/>
      <c r="C421" s="80"/>
      <c r="L421" s="85"/>
    </row>
    <row r="422" spans="1:12">
      <c r="A422" s="50"/>
      <c r="C422" s="80"/>
      <c r="L422" s="85"/>
    </row>
    <row r="423" spans="1:12">
      <c r="A423" s="50"/>
      <c r="C423" s="80"/>
      <c r="L423" s="85"/>
    </row>
    <row r="424" spans="1:12">
      <c r="A424" s="50"/>
      <c r="C424" s="80"/>
      <c r="L424" s="85"/>
    </row>
    <row r="425" spans="1:12">
      <c r="A425" s="50"/>
      <c r="C425" s="80"/>
      <c r="L425" s="85"/>
    </row>
    <row r="426" spans="1:12">
      <c r="A426" s="50"/>
      <c r="C426" s="80"/>
      <c r="L426" s="85"/>
    </row>
    <row r="427" spans="1:12">
      <c r="A427" s="50"/>
      <c r="C427" s="80"/>
      <c r="L427" s="85"/>
    </row>
    <row r="428" spans="1:12">
      <c r="A428" s="50"/>
      <c r="C428" s="80"/>
      <c r="L428" s="85"/>
    </row>
    <row r="429" spans="1:12">
      <c r="A429" s="50"/>
      <c r="C429" s="80"/>
      <c r="L429" s="85"/>
    </row>
    <row r="430" spans="1:12">
      <c r="A430" s="50"/>
      <c r="C430" s="80"/>
      <c r="L430" s="85"/>
    </row>
    <row r="431" spans="1:12">
      <c r="A431" s="50"/>
      <c r="C431" s="80"/>
      <c r="L431" s="85"/>
    </row>
    <row r="432" spans="1:12">
      <c r="A432" s="50"/>
      <c r="C432" s="80"/>
      <c r="L432" s="85"/>
    </row>
    <row r="433" spans="1:12">
      <c r="A433" s="50"/>
      <c r="C433" s="80"/>
      <c r="L433" s="85"/>
    </row>
    <row r="434" spans="1:12">
      <c r="A434" s="50"/>
      <c r="C434" s="80"/>
      <c r="L434" s="85"/>
    </row>
    <row r="435" spans="1:12">
      <c r="A435" s="50"/>
      <c r="C435" s="80"/>
      <c r="L435" s="85"/>
    </row>
    <row r="436" spans="1:12">
      <c r="A436" s="50"/>
      <c r="C436" s="80"/>
      <c r="L436" s="85"/>
    </row>
    <row r="437" spans="1:12">
      <c r="A437" s="50"/>
      <c r="C437" s="80"/>
      <c r="L437" s="85"/>
    </row>
    <row r="438" spans="1:12">
      <c r="A438" s="50"/>
      <c r="C438" s="80"/>
      <c r="L438" s="85"/>
    </row>
    <row r="439" spans="1:12">
      <c r="A439" s="50"/>
      <c r="C439" s="80"/>
      <c r="L439" s="85"/>
    </row>
    <row r="440" spans="1:12">
      <c r="A440" s="50"/>
      <c r="C440" s="80"/>
      <c r="L440" s="85"/>
    </row>
    <row r="441" spans="1:12">
      <c r="A441" s="50"/>
      <c r="C441" s="80"/>
      <c r="L441" s="85"/>
    </row>
    <row r="442" spans="1:12">
      <c r="A442" s="50"/>
      <c r="C442" s="80"/>
      <c r="L442" s="85"/>
    </row>
    <row r="443" spans="1:12">
      <c r="A443" s="50"/>
      <c r="C443" s="80"/>
      <c r="L443" s="85"/>
    </row>
    <row r="444" spans="1:12">
      <c r="A444" s="50"/>
      <c r="C444" s="80"/>
      <c r="L444" s="85"/>
    </row>
    <row r="445" spans="1:12">
      <c r="A445" s="50"/>
      <c r="C445" s="80"/>
      <c r="L445" s="85"/>
    </row>
    <row r="446" spans="1:12">
      <c r="A446" s="50"/>
      <c r="C446" s="80"/>
      <c r="L446" s="85"/>
    </row>
    <row r="447" spans="1:12">
      <c r="A447" s="50"/>
      <c r="C447" s="80"/>
      <c r="L447" s="85"/>
    </row>
    <row r="448" spans="1:12">
      <c r="A448" s="50"/>
      <c r="C448" s="80"/>
      <c r="L448" s="85"/>
    </row>
    <row r="449" spans="1:12">
      <c r="A449" s="50"/>
      <c r="C449" s="80"/>
      <c r="L449" s="85"/>
    </row>
    <row r="450" spans="1:12">
      <c r="A450" s="50"/>
      <c r="C450" s="80"/>
      <c r="L450" s="85"/>
    </row>
    <row r="451" spans="1:12">
      <c r="A451" s="50"/>
      <c r="C451" s="80"/>
      <c r="L451" s="85"/>
    </row>
    <row r="452" spans="1:12">
      <c r="A452" s="50"/>
      <c r="C452" s="80"/>
      <c r="L452" s="85"/>
    </row>
    <row r="453" spans="1:12">
      <c r="A453" s="50"/>
      <c r="C453" s="80"/>
      <c r="L453" s="85"/>
    </row>
    <row r="454" spans="1:12">
      <c r="A454" s="50"/>
      <c r="C454" s="80"/>
      <c r="L454" s="85"/>
    </row>
    <row r="455" spans="1:12">
      <c r="A455" s="50"/>
      <c r="C455" s="80"/>
      <c r="L455" s="85"/>
    </row>
    <row r="456" spans="1:12">
      <c r="A456" s="50"/>
      <c r="C456" s="80"/>
      <c r="L456" s="85"/>
    </row>
    <row r="457" spans="1:12">
      <c r="A457" s="50"/>
      <c r="C457" s="80"/>
      <c r="L457" s="85"/>
    </row>
    <row r="458" spans="1:12">
      <c r="A458" s="50"/>
      <c r="C458" s="80"/>
      <c r="L458" s="85"/>
    </row>
    <row r="459" spans="1:12">
      <c r="A459" s="50"/>
      <c r="C459" s="80"/>
      <c r="L459" s="85"/>
    </row>
    <row r="460" spans="1:12">
      <c r="A460" s="50"/>
      <c r="C460" s="80"/>
      <c r="L460" s="85"/>
    </row>
    <row r="461" spans="1:12">
      <c r="A461" s="50"/>
      <c r="C461" s="80"/>
      <c r="L461" s="85"/>
    </row>
    <row r="462" spans="1:12">
      <c r="A462" s="50"/>
      <c r="C462" s="80"/>
      <c r="L462" s="85"/>
    </row>
    <row r="463" spans="1:12">
      <c r="A463" s="50"/>
      <c r="C463" s="80"/>
      <c r="L463" s="85"/>
    </row>
    <row r="464" spans="1:12">
      <c r="A464" s="50"/>
      <c r="C464" s="80"/>
      <c r="L464" s="85"/>
    </row>
    <row r="465" spans="1:12">
      <c r="A465" s="50"/>
      <c r="C465" s="80"/>
      <c r="L465" s="85"/>
    </row>
    <row r="466" spans="1:12">
      <c r="A466" s="50"/>
      <c r="C466" s="80"/>
      <c r="L466" s="85"/>
    </row>
    <row r="467" spans="1:12">
      <c r="A467" s="50"/>
      <c r="C467" s="80"/>
      <c r="L467" s="85"/>
    </row>
    <row r="468" spans="1:12">
      <c r="A468" s="50"/>
      <c r="C468" s="80"/>
      <c r="L468" s="85"/>
    </row>
    <row r="469" spans="1:12">
      <c r="A469" s="50"/>
      <c r="C469" s="80"/>
      <c r="L469" s="85"/>
    </row>
    <row r="470" spans="1:12">
      <c r="A470" s="50"/>
      <c r="C470" s="80"/>
      <c r="L470" s="85"/>
    </row>
    <row r="471" spans="1:12">
      <c r="A471" s="50"/>
      <c r="C471" s="80"/>
      <c r="L471" s="85"/>
    </row>
    <row r="472" spans="1:12">
      <c r="A472" s="50"/>
      <c r="C472" s="80"/>
      <c r="L472" s="85"/>
    </row>
    <row r="473" spans="1:12">
      <c r="A473" s="50"/>
      <c r="C473" s="80"/>
      <c r="L473" s="85"/>
    </row>
    <row r="474" spans="1:12">
      <c r="A474" s="50"/>
      <c r="C474" s="80"/>
      <c r="L474" s="85"/>
    </row>
    <row r="475" spans="1:12">
      <c r="A475" s="50"/>
      <c r="C475" s="80"/>
      <c r="L475" s="85"/>
    </row>
    <row r="476" spans="1:12">
      <c r="A476" s="50"/>
      <c r="C476" s="80"/>
      <c r="L476" s="85"/>
    </row>
    <row r="477" spans="1:12">
      <c r="A477" s="50"/>
      <c r="C477" s="80"/>
      <c r="L477" s="85"/>
    </row>
    <row r="478" spans="1:12">
      <c r="A478" s="50"/>
      <c r="C478" s="80"/>
      <c r="L478" s="85"/>
    </row>
    <row r="479" spans="1:12">
      <c r="A479" s="50"/>
      <c r="C479" s="80"/>
      <c r="L479" s="85"/>
    </row>
    <row r="480" spans="1:12">
      <c r="A480" s="50"/>
      <c r="C480" s="80"/>
      <c r="L480" s="85"/>
    </row>
    <row r="481" spans="1:12">
      <c r="A481" s="50"/>
      <c r="C481" s="80"/>
      <c r="L481" s="85"/>
    </row>
    <row r="482" spans="1:12">
      <c r="A482" s="50"/>
      <c r="C482" s="80"/>
      <c r="L482" s="85"/>
    </row>
    <row r="483" spans="1:12">
      <c r="A483" s="50"/>
      <c r="C483" s="80"/>
      <c r="L483" s="85"/>
    </row>
    <row r="484" spans="1:12">
      <c r="A484" s="50"/>
      <c r="C484" s="80"/>
      <c r="L484" s="85"/>
    </row>
    <row r="485" spans="1:12">
      <c r="A485" s="50"/>
      <c r="C485" s="80"/>
      <c r="L485" s="85"/>
    </row>
    <row r="486" spans="1:12">
      <c r="A486" s="50"/>
      <c r="L486" s="85"/>
    </row>
    <row r="487" spans="1:12">
      <c r="A487" s="50"/>
      <c r="L487" s="85"/>
    </row>
    <row r="488" spans="1:12">
      <c r="A488" s="50"/>
      <c r="L488" s="85"/>
    </row>
    <row r="489" spans="1:12">
      <c r="A489" s="50"/>
      <c r="L489" s="85"/>
    </row>
    <row r="490" spans="1:12">
      <c r="A490" s="50"/>
      <c r="L490" s="85"/>
    </row>
    <row r="491" spans="1:12">
      <c r="A491" s="50"/>
      <c r="L491" s="85"/>
    </row>
    <row r="492" spans="1:12">
      <c r="A492" s="50"/>
      <c r="L492" s="85"/>
    </row>
    <row r="493" spans="1:12">
      <c r="A493" s="50"/>
      <c r="L493" s="85"/>
    </row>
    <row r="494" spans="1:12">
      <c r="A494" s="50"/>
      <c r="L494" s="85"/>
    </row>
    <row r="495" spans="1:12">
      <c r="A495" s="50"/>
      <c r="L495" s="85"/>
    </row>
    <row r="496" spans="1:12">
      <c r="A496" s="50"/>
      <c r="L496" s="85"/>
    </row>
    <row r="497" spans="1:12">
      <c r="A497" s="50"/>
      <c r="L497" s="85"/>
    </row>
    <row r="498" spans="1:12">
      <c r="A498" s="50"/>
      <c r="L498" s="85"/>
    </row>
    <row r="499" spans="1:12">
      <c r="A499" s="50"/>
      <c r="L499" s="85"/>
    </row>
    <row r="500" spans="1:12">
      <c r="A500" s="50"/>
      <c r="L500" s="85"/>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AU53"/>
  <sheetViews>
    <sheetView workbookViewId="0">
      <pane ySplit="1" topLeftCell="A2" activePane="bottomLeft" state="frozen"/>
      <selection/>
      <selection pane="bottomLeft" activeCell="F28" sqref="F28"/>
    </sheetView>
  </sheetViews>
  <sheetFormatPr defaultColWidth="9" defaultRowHeight="15"/>
  <cols>
    <col min="1" max="1" width="12.4285714285714" style="63" customWidth="1"/>
    <col min="2" max="3" width="9.14285714285714" style="62"/>
    <col min="4" max="4" width="3" style="64" customWidth="1"/>
    <col min="5" max="5" width="9.14285714285714" style="65"/>
    <col min="6" max="6" width="10.7142857142857" customWidth="1"/>
    <col min="9" max="9" width="9.14285714285714" style="65"/>
    <col min="10" max="10" width="10.7142857142857" customWidth="1"/>
    <col min="13" max="13" width="9.14285714285714" style="65"/>
    <col min="14" max="14" width="10.7142857142857" customWidth="1"/>
    <col min="17" max="17" width="9.14285714285714" style="65"/>
    <col min="18" max="18" width="10.7142857142857" customWidth="1"/>
    <col min="21" max="21" width="9.14285714285714" style="65"/>
    <col min="22" max="22" width="10.7142857142857" customWidth="1"/>
    <col min="25" max="25" width="9.14285714285714" style="65"/>
    <col min="26" max="26" width="10.7142857142857" customWidth="1"/>
    <col min="29" max="29" width="9.14285714285714" style="65"/>
    <col min="30" max="30" width="10.7142857142857" customWidth="1"/>
    <col min="33" max="33" width="3" style="64" customWidth="1"/>
    <col min="34" max="34" width="14.5714285714286" customWidth="1"/>
    <col min="35" max="36" width="11.7142857142857" customWidth="1"/>
    <col min="37" max="37" width="22.1428571428571" customWidth="1"/>
    <col min="38" max="38" width="18.5714285714286" customWidth="1"/>
    <col min="39" max="39" width="17.4285714285714" style="62" customWidth="1"/>
    <col min="40" max="40" width="14.8571428571429" customWidth="1"/>
    <col min="42" max="42" width="15.2857142857143" customWidth="1"/>
    <col min="43" max="43" width="44.8571428571429" customWidth="1"/>
  </cols>
  <sheetData>
    <row r="1" s="62" customFormat="1" spans="1:42">
      <c r="A1" s="63" t="s">
        <v>205</v>
      </c>
      <c r="B1" s="62" t="s">
        <v>206</v>
      </c>
      <c r="C1" s="62" t="s">
        <v>207</v>
      </c>
      <c r="D1" s="64"/>
      <c r="E1" s="66" t="s">
        <v>208</v>
      </c>
      <c r="F1" s="67" t="s">
        <v>209</v>
      </c>
      <c r="G1" s="68" t="s">
        <v>210</v>
      </c>
      <c r="H1" s="69" t="s">
        <v>211</v>
      </c>
      <c r="I1" s="66" t="s">
        <v>212</v>
      </c>
      <c r="J1" s="67" t="s">
        <v>209</v>
      </c>
      <c r="K1" s="68" t="s">
        <v>210</v>
      </c>
      <c r="L1" s="69" t="s">
        <v>211</v>
      </c>
      <c r="M1" s="66" t="s">
        <v>213</v>
      </c>
      <c r="N1" s="67" t="s">
        <v>209</v>
      </c>
      <c r="O1" s="68" t="s">
        <v>210</v>
      </c>
      <c r="P1" s="69" t="s">
        <v>211</v>
      </c>
      <c r="Q1" s="66" t="s">
        <v>214</v>
      </c>
      <c r="R1" s="67" t="s">
        <v>209</v>
      </c>
      <c r="S1" s="68" t="s">
        <v>210</v>
      </c>
      <c r="T1" s="69" t="s">
        <v>211</v>
      </c>
      <c r="U1" s="66" t="s">
        <v>215</v>
      </c>
      <c r="V1" s="67" t="s">
        <v>209</v>
      </c>
      <c r="W1" s="68" t="s">
        <v>210</v>
      </c>
      <c r="X1" s="69" t="s">
        <v>211</v>
      </c>
      <c r="Y1" s="66" t="s">
        <v>216</v>
      </c>
      <c r="Z1" s="67" t="s">
        <v>209</v>
      </c>
      <c r="AA1" s="68" t="s">
        <v>210</v>
      </c>
      <c r="AB1" s="69" t="s">
        <v>211</v>
      </c>
      <c r="AC1" s="66" t="s">
        <v>217</v>
      </c>
      <c r="AD1" s="67" t="s">
        <v>209</v>
      </c>
      <c r="AE1" s="68" t="s">
        <v>210</v>
      </c>
      <c r="AF1" s="69" t="s">
        <v>211</v>
      </c>
      <c r="AG1" s="64"/>
      <c r="AH1" s="67" t="s">
        <v>218</v>
      </c>
      <c r="AI1" s="68" t="s">
        <v>219</v>
      </c>
      <c r="AJ1" s="69" t="s">
        <v>220</v>
      </c>
      <c r="AK1" s="70" t="s">
        <v>221</v>
      </c>
      <c r="AL1" s="70" t="s">
        <v>222</v>
      </c>
      <c r="AM1" s="71" t="s">
        <v>223</v>
      </c>
      <c r="AN1" s="72" t="s">
        <v>224</v>
      </c>
      <c r="AP1" s="62" t="s">
        <v>225</v>
      </c>
    </row>
    <row r="2" spans="1:47">
      <c r="A2" s="63">
        <v>44613</v>
      </c>
      <c r="B2" s="62">
        <v>1</v>
      </c>
      <c r="C2" s="62">
        <f>IF(G2="","",G2)</f>
        <v>85.4</v>
      </c>
      <c r="F2">
        <v>1800</v>
      </c>
      <c r="G2">
        <v>85.4</v>
      </c>
      <c r="H2">
        <v>300</v>
      </c>
      <c r="J2">
        <v>1800</v>
      </c>
      <c r="K2">
        <v>85.7</v>
      </c>
      <c r="L2">
        <v>300</v>
      </c>
      <c r="N2">
        <v>1800</v>
      </c>
      <c r="O2">
        <v>85.9</v>
      </c>
      <c r="P2">
        <v>350</v>
      </c>
      <c r="R2">
        <v>1800</v>
      </c>
      <c r="S2">
        <v>85.7</v>
      </c>
      <c r="T2">
        <v>350</v>
      </c>
      <c r="V2">
        <v>1700</v>
      </c>
      <c r="W2">
        <v>85.8</v>
      </c>
      <c r="X2">
        <v>300</v>
      </c>
      <c r="Z2">
        <v>1800</v>
      </c>
      <c r="AA2">
        <v>85.1</v>
      </c>
      <c r="AB2">
        <v>400</v>
      </c>
      <c r="AD2">
        <v>1800</v>
      </c>
      <c r="AE2">
        <v>85.1</v>
      </c>
      <c r="AF2">
        <v>120</v>
      </c>
      <c r="AH2">
        <f>IFERROR(SUM(F2,J2,N2,R2,V2,Z2,AD2)/COUNT(F2,J2,N2,R2,V2,Z2,AD2),"")</f>
        <v>1785.71428571429</v>
      </c>
      <c r="AI2" s="73">
        <f>IFERROR(SUM(G2,K2,O2,S2,W2,AA2,AE2)/COUNT(G2,K2,O2,S2,W2,AA2,AE2),"")</f>
        <v>85.5285714285714</v>
      </c>
      <c r="AJ2" s="74">
        <f>IFERROR(SUM(H2,L2,P2,T2,X2,AB2,AF2)/COUNT(H2,L2,P2,T2,X2,AB2,AF2),"")</f>
        <v>302.857142857143</v>
      </c>
      <c r="AK2" s="62">
        <f>SUM(F2,J2,N2,R2,V2,Z2,AD2)-SUM(H2,L2,P2,T2,X2,AB2,AF2)</f>
        <v>10380</v>
      </c>
      <c r="AL2" s="62">
        <f>IFERROR(ROUND(AK2/COUNT(F2,J2,N2,R2,V2,Z2,AD2),0),"")</f>
        <v>1483</v>
      </c>
      <c r="AM2" s="62" t="str">
        <f t="shared" ref="AM2:AM53" si="0">IF(C3="","",IF(C3-C2&lt;0,CONCATENATE("Lost ",ROUND(ABS(C3-C2),2)," kg "),IF(C3-C2&gt;0,CONCATENATE("Gained ",ROUND(ABS(C3-C2),2)," kg "),IF(C3-C2=0,"No weight change"))))</f>
        <v>Lost 0.3 kg </v>
      </c>
      <c r="AQ2" s="75" t="s">
        <v>226</v>
      </c>
      <c r="AR2" s="62"/>
      <c r="AS2" s="62"/>
      <c r="AT2" s="62"/>
      <c r="AU2" s="62"/>
    </row>
    <row r="3" spans="1:47">
      <c r="A3" s="63">
        <v>44620</v>
      </c>
      <c r="B3" s="62">
        <f>IF(AI3="","",B2+1)</f>
        <v>2</v>
      </c>
      <c r="C3" s="62">
        <f t="shared" ref="C3:C53" si="1">IF(G3="","",G3)</f>
        <v>85.1</v>
      </c>
      <c r="F3">
        <v>1800</v>
      </c>
      <c r="G3">
        <v>85.1</v>
      </c>
      <c r="H3">
        <v>400</v>
      </c>
      <c r="J3">
        <v>1655</v>
      </c>
      <c r="K3">
        <v>85.1</v>
      </c>
      <c r="L3">
        <v>400</v>
      </c>
      <c r="N3">
        <v>1624</v>
      </c>
      <c r="O3">
        <v>84.7</v>
      </c>
      <c r="P3">
        <v>200</v>
      </c>
      <c r="R3">
        <v>1650</v>
      </c>
      <c r="S3">
        <v>84.9</v>
      </c>
      <c r="T3">
        <v>250</v>
      </c>
      <c r="V3">
        <v>1724</v>
      </c>
      <c r="W3">
        <v>85.1</v>
      </c>
      <c r="X3">
        <v>350</v>
      </c>
      <c r="Z3">
        <v>1675</v>
      </c>
      <c r="AA3">
        <v>85</v>
      </c>
      <c r="AB3">
        <v>459</v>
      </c>
      <c r="AD3">
        <v>1650</v>
      </c>
      <c r="AE3">
        <v>85</v>
      </c>
      <c r="AF3">
        <v>350</v>
      </c>
      <c r="AH3">
        <f>IFERROR(SUM(F3,J3,N3,R3,V3,Z3,AD3)/COUNT(F3,J3,N3,R3,V3,Z3,AD3),"")</f>
        <v>1682.57142857143</v>
      </c>
      <c r="AI3" s="73">
        <f>IFERROR(SUM(G3,K3,O3,S3,W3,AA3,AE3)/COUNT(G3,K3,O3,S3,W3,AA3,AE3),"")</f>
        <v>84.9857142857143</v>
      </c>
      <c r="AJ3" s="74">
        <f t="shared" ref="AJ3:AJ53" si="2">IFERROR(SUM(H3,L3,P3,T3,X3,AB3,AF3)/COUNT(H3,L3,P3,T3,X3,AB3,AF3),"")</f>
        <v>344.142857142857</v>
      </c>
      <c r="AK3" s="62">
        <f>SUM(F3,J3,N3,R3,V3,Z3,AD3)-SUM(H3,L3,P3,T3,X3,AB3,AF3)</f>
        <v>9369</v>
      </c>
      <c r="AL3" s="62">
        <f t="shared" ref="AL3:AL53" si="3">IFERROR(ROUND(AK3/COUNT(F3,J3,N3,R3,V3,Z3,AD3),0),"")</f>
        <v>1338</v>
      </c>
      <c r="AM3" s="62" t="str">
        <f t="shared" si="0"/>
        <v>Lost 0.7 kg </v>
      </c>
      <c r="AN3" s="73">
        <f>IFERROR(AI3-AI2,"")</f>
        <v>-0.542857142857159</v>
      </c>
      <c r="AQ3" s="75" t="s">
        <v>227</v>
      </c>
      <c r="AR3" s="62"/>
      <c r="AS3" s="62"/>
      <c r="AT3" s="62"/>
      <c r="AU3" s="62"/>
    </row>
    <row r="4" spans="1:47">
      <c r="A4" s="63">
        <v>44627</v>
      </c>
      <c r="B4" s="62">
        <f t="shared" ref="B4:B53" si="4">IF(AI4="","",B3+1)</f>
        <v>3</v>
      </c>
      <c r="C4" s="62">
        <f t="shared" si="1"/>
        <v>84.4</v>
      </c>
      <c r="F4">
        <v>1650</v>
      </c>
      <c r="G4">
        <v>84.4</v>
      </c>
      <c r="H4">
        <v>300</v>
      </c>
      <c r="J4">
        <v>1650</v>
      </c>
      <c r="K4">
        <v>84.7</v>
      </c>
      <c r="L4">
        <v>400</v>
      </c>
      <c r="N4">
        <v>1650</v>
      </c>
      <c r="O4">
        <v>84</v>
      </c>
      <c r="P4">
        <v>350</v>
      </c>
      <c r="R4">
        <v>1650</v>
      </c>
      <c r="S4">
        <v>84.1</v>
      </c>
      <c r="T4">
        <v>250</v>
      </c>
      <c r="V4">
        <v>1837</v>
      </c>
      <c r="W4">
        <v>84.4</v>
      </c>
      <c r="X4">
        <v>380</v>
      </c>
      <c r="Z4">
        <v>1850</v>
      </c>
      <c r="AA4">
        <v>84.6</v>
      </c>
      <c r="AB4">
        <v>800</v>
      </c>
      <c r="AD4">
        <v>1650</v>
      </c>
      <c r="AE4">
        <v>85</v>
      </c>
      <c r="AF4">
        <v>340</v>
      </c>
      <c r="AH4">
        <f t="shared" ref="AH4:AH53" si="5">IFERROR(SUM(F4,J4,N4,R4,V4,Z4,AD4)/COUNT(F4,J4,N4,R4,V4,Z4,AD4),"")</f>
        <v>1705.28571428571</v>
      </c>
      <c r="AI4" s="73">
        <f t="shared" ref="AI4:AI53" si="6">IFERROR(SUM(G4,K4,O4,S4,W4,AA4,AE4)/COUNT(G4,K4,O4,S4,W4,AA4,AE4),"")</f>
        <v>84.4571428571429</v>
      </c>
      <c r="AJ4" s="74">
        <f t="shared" si="2"/>
        <v>402.857142857143</v>
      </c>
      <c r="AK4" s="62">
        <f t="shared" ref="AK4:AK53" si="7">SUM(F4,J4,N4,R4,V4,Z4,AD4)-SUM(H4,L4,P4,T4,X4,AB4,AF4)</f>
        <v>9117</v>
      </c>
      <c r="AL4" s="62">
        <f t="shared" si="3"/>
        <v>1302</v>
      </c>
      <c r="AM4" s="62" t="str">
        <f t="shared" si="0"/>
        <v>Gained 0.1 kg </v>
      </c>
      <c r="AN4" s="73">
        <f t="shared" ref="AN4:AN53" si="8">IFERROR(AI4-AI3,"")</f>
        <v>-0.528571428571411</v>
      </c>
      <c r="AQ4" s="75" t="s">
        <v>228</v>
      </c>
      <c r="AR4" s="62"/>
      <c r="AS4" s="62"/>
      <c r="AT4" s="62"/>
      <c r="AU4" s="62"/>
    </row>
    <row r="5" spans="1:40">
      <c r="A5" s="63">
        <v>44634</v>
      </c>
      <c r="B5" s="62">
        <f t="shared" si="4"/>
        <v>4</v>
      </c>
      <c r="C5" s="62">
        <f t="shared" si="1"/>
        <v>84.5</v>
      </c>
      <c r="F5">
        <v>1650</v>
      </c>
      <c r="G5">
        <v>84.5</v>
      </c>
      <c r="H5">
        <v>300</v>
      </c>
      <c r="J5">
        <v>1750</v>
      </c>
      <c r="K5">
        <v>84.1</v>
      </c>
      <c r="L5">
        <v>400</v>
      </c>
      <c r="N5">
        <v>1470</v>
      </c>
      <c r="O5">
        <v>83.9</v>
      </c>
      <c r="P5">
        <v>220</v>
      </c>
      <c r="R5">
        <v>1600</v>
      </c>
      <c r="S5">
        <v>83.8</v>
      </c>
      <c r="T5">
        <v>350</v>
      </c>
      <c r="V5">
        <v>1569</v>
      </c>
      <c r="W5">
        <v>84</v>
      </c>
      <c r="X5">
        <v>337</v>
      </c>
      <c r="Z5">
        <v>1650</v>
      </c>
      <c r="AA5">
        <v>83.6</v>
      </c>
      <c r="AB5">
        <v>150</v>
      </c>
      <c r="AD5">
        <v>1500</v>
      </c>
      <c r="AE5">
        <v>82.9</v>
      </c>
      <c r="AF5">
        <v>200</v>
      </c>
      <c r="AH5">
        <f t="shared" si="5"/>
        <v>1598.42857142857</v>
      </c>
      <c r="AI5" s="73">
        <f t="shared" si="6"/>
        <v>83.8285714285714</v>
      </c>
      <c r="AJ5" s="74">
        <f t="shared" si="2"/>
        <v>279.571428571429</v>
      </c>
      <c r="AK5" s="62">
        <f t="shared" si="7"/>
        <v>9232</v>
      </c>
      <c r="AL5" s="62">
        <f t="shared" si="3"/>
        <v>1319</v>
      </c>
      <c r="AM5" s="62" t="str">
        <f t="shared" si="0"/>
        <v>Lost 1.4 kg </v>
      </c>
      <c r="AN5" s="73">
        <f t="shared" si="8"/>
        <v>-0.628571428571448</v>
      </c>
    </row>
    <row r="6" spans="1:40">
      <c r="A6" s="63">
        <v>44641</v>
      </c>
      <c r="B6" s="62">
        <f t="shared" si="4"/>
        <v>5</v>
      </c>
      <c r="C6" s="62">
        <f t="shared" si="1"/>
        <v>83.1</v>
      </c>
      <c r="F6">
        <v>2000</v>
      </c>
      <c r="G6">
        <v>83.1</v>
      </c>
      <c r="H6">
        <v>320</v>
      </c>
      <c r="J6">
        <v>2000</v>
      </c>
      <c r="K6">
        <v>83.5</v>
      </c>
      <c r="L6">
        <v>180</v>
      </c>
      <c r="N6">
        <v>1933</v>
      </c>
      <c r="O6">
        <v>83.9</v>
      </c>
      <c r="P6">
        <v>330</v>
      </c>
      <c r="R6">
        <v>1750</v>
      </c>
      <c r="S6">
        <v>83.9</v>
      </c>
      <c r="T6">
        <v>250</v>
      </c>
      <c r="V6">
        <v>2050</v>
      </c>
      <c r="W6">
        <v>83</v>
      </c>
      <c r="X6">
        <v>350</v>
      </c>
      <c r="Z6">
        <v>1700</v>
      </c>
      <c r="AA6">
        <v>83.1</v>
      </c>
      <c r="AB6">
        <v>500</v>
      </c>
      <c r="AD6">
        <v>1750</v>
      </c>
      <c r="AE6">
        <v>82.6</v>
      </c>
      <c r="AF6">
        <v>130</v>
      </c>
      <c r="AH6">
        <f t="shared" si="5"/>
        <v>1883.28571428571</v>
      </c>
      <c r="AI6" s="73">
        <f t="shared" si="6"/>
        <v>83.3</v>
      </c>
      <c r="AJ6" s="74">
        <f t="shared" si="2"/>
        <v>294.285714285714</v>
      </c>
      <c r="AK6" s="62">
        <f t="shared" si="7"/>
        <v>11123</v>
      </c>
      <c r="AL6" s="62">
        <f t="shared" si="3"/>
        <v>1589</v>
      </c>
      <c r="AM6" s="62" t="str">
        <f t="shared" si="0"/>
        <v>No weight change</v>
      </c>
      <c r="AN6" s="73">
        <f t="shared" si="8"/>
        <v>-0.528571428571425</v>
      </c>
    </row>
    <row r="7" spans="1:40">
      <c r="A7" s="63">
        <v>44648</v>
      </c>
      <c r="B7" s="62">
        <f t="shared" si="4"/>
        <v>6</v>
      </c>
      <c r="C7" s="62">
        <f t="shared" si="1"/>
        <v>83.1</v>
      </c>
      <c r="F7">
        <v>1620</v>
      </c>
      <c r="G7">
        <v>83.1</v>
      </c>
      <c r="H7">
        <v>300</v>
      </c>
      <c r="J7">
        <v>1600</v>
      </c>
      <c r="K7">
        <v>83.1</v>
      </c>
      <c r="L7">
        <v>270</v>
      </c>
      <c r="N7">
        <v>1700</v>
      </c>
      <c r="O7">
        <v>82.8</v>
      </c>
      <c r="P7">
        <v>250</v>
      </c>
      <c r="R7">
        <v>1630</v>
      </c>
      <c r="S7">
        <v>82.6</v>
      </c>
      <c r="T7">
        <v>150</v>
      </c>
      <c r="V7">
        <v>1900</v>
      </c>
      <c r="W7">
        <v>82.6</v>
      </c>
      <c r="X7">
        <v>250</v>
      </c>
      <c r="Z7">
        <v>1650</v>
      </c>
      <c r="AA7">
        <v>82.8</v>
      </c>
      <c r="AB7">
        <v>200</v>
      </c>
      <c r="AD7">
        <v>1500</v>
      </c>
      <c r="AE7">
        <v>82.9</v>
      </c>
      <c r="AF7">
        <v>200</v>
      </c>
      <c r="AH7">
        <f t="shared" si="5"/>
        <v>1657.14285714286</v>
      </c>
      <c r="AI7" s="73">
        <f t="shared" si="6"/>
        <v>82.8428571428572</v>
      </c>
      <c r="AJ7" s="74">
        <f t="shared" si="2"/>
        <v>231.428571428571</v>
      </c>
      <c r="AK7" s="62">
        <f t="shared" si="7"/>
        <v>9980</v>
      </c>
      <c r="AL7" s="62">
        <f t="shared" si="3"/>
        <v>1426</v>
      </c>
      <c r="AM7" s="62" t="str">
        <f t="shared" si="0"/>
        <v>Lost 0.2 kg </v>
      </c>
      <c r="AN7" s="73">
        <f t="shared" si="8"/>
        <v>-0.457142857142841</v>
      </c>
    </row>
    <row r="8" spans="1:40">
      <c r="A8" s="63">
        <v>44655</v>
      </c>
      <c r="B8" s="62">
        <f t="shared" si="4"/>
        <v>7</v>
      </c>
      <c r="C8" s="62">
        <f t="shared" si="1"/>
        <v>82.9</v>
      </c>
      <c r="F8">
        <v>1600</v>
      </c>
      <c r="G8">
        <v>82.9</v>
      </c>
      <c r="H8">
        <v>200</v>
      </c>
      <c r="J8">
        <v>1550</v>
      </c>
      <c r="K8">
        <v>82.9</v>
      </c>
      <c r="L8">
        <v>250</v>
      </c>
      <c r="N8">
        <v>1300</v>
      </c>
      <c r="O8">
        <v>83.3</v>
      </c>
      <c r="P8">
        <v>80</v>
      </c>
      <c r="R8">
        <v>1500</v>
      </c>
      <c r="S8">
        <v>82.7</v>
      </c>
      <c r="T8">
        <v>180</v>
      </c>
      <c r="V8">
        <v>2000</v>
      </c>
      <c r="W8">
        <v>82.7</v>
      </c>
      <c r="X8">
        <v>260</v>
      </c>
      <c r="Z8">
        <v>1600</v>
      </c>
      <c r="AA8">
        <v>82.6</v>
      </c>
      <c r="AB8">
        <v>130</v>
      </c>
      <c r="AD8">
        <v>1950</v>
      </c>
      <c r="AE8">
        <v>82.2</v>
      </c>
      <c r="AF8">
        <v>342</v>
      </c>
      <c r="AH8">
        <f t="shared" si="5"/>
        <v>1642.85714285714</v>
      </c>
      <c r="AI8" s="73">
        <f t="shared" si="6"/>
        <v>82.7571428571429</v>
      </c>
      <c r="AJ8" s="74">
        <f t="shared" si="2"/>
        <v>206</v>
      </c>
      <c r="AK8" s="62">
        <f t="shared" si="7"/>
        <v>10058</v>
      </c>
      <c r="AL8" s="62">
        <f t="shared" si="3"/>
        <v>1437</v>
      </c>
      <c r="AM8" s="62" t="str">
        <f t="shared" si="0"/>
        <v>Lost 0.4 kg </v>
      </c>
      <c r="AN8" s="73">
        <f t="shared" si="8"/>
        <v>-0.085714285714289</v>
      </c>
    </row>
    <row r="9" spans="1:40">
      <c r="A9" s="63">
        <v>44662</v>
      </c>
      <c r="B9" s="62">
        <f t="shared" si="4"/>
        <v>8</v>
      </c>
      <c r="C9" s="62">
        <f t="shared" si="1"/>
        <v>82.5</v>
      </c>
      <c r="F9">
        <v>1500</v>
      </c>
      <c r="G9">
        <v>82.5</v>
      </c>
      <c r="H9">
        <v>320</v>
      </c>
      <c r="J9">
        <v>1650</v>
      </c>
      <c r="K9">
        <v>82.3</v>
      </c>
      <c r="L9">
        <v>300</v>
      </c>
      <c r="N9">
        <v>1600</v>
      </c>
      <c r="O9">
        <v>82.2</v>
      </c>
      <c r="P9">
        <v>270</v>
      </c>
      <c r="R9">
        <v>1550</v>
      </c>
      <c r="S9">
        <v>82</v>
      </c>
      <c r="T9">
        <v>180</v>
      </c>
      <c r="V9">
        <v>1600</v>
      </c>
      <c r="W9">
        <v>82.2</v>
      </c>
      <c r="X9">
        <v>200</v>
      </c>
      <c r="Z9">
        <v>1900</v>
      </c>
      <c r="AA9">
        <v>81.9</v>
      </c>
      <c r="AB9">
        <v>100</v>
      </c>
      <c r="AD9">
        <v>2200</v>
      </c>
      <c r="AE9">
        <v>82.2</v>
      </c>
      <c r="AF9">
        <v>300</v>
      </c>
      <c r="AH9">
        <f t="shared" si="5"/>
        <v>1714.28571428571</v>
      </c>
      <c r="AI9" s="73">
        <f t="shared" si="6"/>
        <v>82.1857142857143</v>
      </c>
      <c r="AJ9" s="74">
        <f t="shared" si="2"/>
        <v>238.571428571429</v>
      </c>
      <c r="AK9" s="62">
        <f t="shared" si="7"/>
        <v>10330</v>
      </c>
      <c r="AL9" s="62">
        <f t="shared" si="3"/>
        <v>1476</v>
      </c>
      <c r="AM9" s="62" t="str">
        <f t="shared" si="0"/>
        <v>Lost 0.3 kg </v>
      </c>
      <c r="AN9" s="73">
        <f t="shared" si="8"/>
        <v>-0.571428571428569</v>
      </c>
    </row>
    <row r="10" spans="1:40">
      <c r="A10" s="63">
        <v>44669</v>
      </c>
      <c r="B10" s="62">
        <f t="shared" si="4"/>
        <v>9</v>
      </c>
      <c r="C10" s="62">
        <f t="shared" si="1"/>
        <v>82.2</v>
      </c>
      <c r="F10">
        <v>1750</v>
      </c>
      <c r="G10">
        <v>82.2</v>
      </c>
      <c r="H10">
        <v>350</v>
      </c>
      <c r="J10">
        <v>1700</v>
      </c>
      <c r="K10">
        <v>82.2</v>
      </c>
      <c r="L10">
        <v>350</v>
      </c>
      <c r="N10">
        <v>1550</v>
      </c>
      <c r="O10">
        <v>82.4</v>
      </c>
      <c r="P10">
        <v>366</v>
      </c>
      <c r="R10">
        <v>1520</v>
      </c>
      <c r="S10">
        <v>82.6</v>
      </c>
      <c r="T10">
        <v>180</v>
      </c>
      <c r="V10">
        <v>1600</v>
      </c>
      <c r="W10">
        <v>81.6</v>
      </c>
      <c r="X10">
        <v>250</v>
      </c>
      <c r="Z10">
        <v>1950</v>
      </c>
      <c r="AA10">
        <v>81.5</v>
      </c>
      <c r="AB10">
        <v>200</v>
      </c>
      <c r="AD10">
        <v>1700</v>
      </c>
      <c r="AE10">
        <v>81.8</v>
      </c>
      <c r="AF10">
        <v>350</v>
      </c>
      <c r="AH10">
        <f t="shared" si="5"/>
        <v>1681.42857142857</v>
      </c>
      <c r="AI10" s="73">
        <f t="shared" si="6"/>
        <v>82.0428571428571</v>
      </c>
      <c r="AJ10" s="74">
        <f t="shared" si="2"/>
        <v>292.285714285714</v>
      </c>
      <c r="AK10" s="62">
        <f t="shared" si="7"/>
        <v>9724</v>
      </c>
      <c r="AL10" s="62">
        <f t="shared" si="3"/>
        <v>1389</v>
      </c>
      <c r="AM10" s="62" t="str">
        <f t="shared" si="0"/>
        <v>Lost 0.7 kg </v>
      </c>
      <c r="AN10" s="73">
        <f t="shared" si="8"/>
        <v>-0.142857142857167</v>
      </c>
    </row>
    <row r="11" spans="1:40">
      <c r="A11" s="63">
        <v>44676</v>
      </c>
      <c r="B11" s="62">
        <f t="shared" si="4"/>
        <v>10</v>
      </c>
      <c r="C11" s="62">
        <f t="shared" si="1"/>
        <v>81.5</v>
      </c>
      <c r="F11">
        <v>1730</v>
      </c>
      <c r="G11">
        <v>81.5</v>
      </c>
      <c r="H11">
        <v>150</v>
      </c>
      <c r="J11">
        <v>1700</v>
      </c>
      <c r="K11">
        <v>81.8</v>
      </c>
      <c r="L11">
        <v>100</v>
      </c>
      <c r="N11">
        <v>1900</v>
      </c>
      <c r="O11">
        <v>81.9</v>
      </c>
      <c r="P11">
        <v>100</v>
      </c>
      <c r="R11">
        <v>2000</v>
      </c>
      <c r="S11">
        <v>82.1</v>
      </c>
      <c r="T11">
        <v>300</v>
      </c>
      <c r="V11">
        <v>1500</v>
      </c>
      <c r="W11">
        <v>81.8</v>
      </c>
      <c r="X11">
        <v>350</v>
      </c>
      <c r="Z11">
        <v>1650</v>
      </c>
      <c r="AA11">
        <v>81.5</v>
      </c>
      <c r="AB11">
        <v>220</v>
      </c>
      <c r="AD11">
        <v>1600</v>
      </c>
      <c r="AE11">
        <v>81.3</v>
      </c>
      <c r="AF11">
        <v>200</v>
      </c>
      <c r="AH11">
        <f t="shared" si="5"/>
        <v>1725.71428571429</v>
      </c>
      <c r="AI11" s="73">
        <f t="shared" si="6"/>
        <v>81.7</v>
      </c>
      <c r="AJ11" s="74">
        <f t="shared" si="2"/>
        <v>202.857142857143</v>
      </c>
      <c r="AK11" s="62">
        <f t="shared" si="7"/>
        <v>10660</v>
      </c>
      <c r="AL11" s="62">
        <f t="shared" si="3"/>
        <v>1523</v>
      </c>
      <c r="AM11" s="62" t="str">
        <f t="shared" si="0"/>
        <v>Lost 0.5 kg </v>
      </c>
      <c r="AN11" s="73">
        <f t="shared" si="8"/>
        <v>-0.342857142857127</v>
      </c>
    </row>
    <row r="12" spans="1:40">
      <c r="A12" s="63">
        <v>44683</v>
      </c>
      <c r="B12" s="62">
        <f t="shared" si="4"/>
        <v>11</v>
      </c>
      <c r="C12" s="62">
        <f t="shared" si="1"/>
        <v>81</v>
      </c>
      <c r="F12">
        <v>1830</v>
      </c>
      <c r="G12">
        <v>81</v>
      </c>
      <c r="H12">
        <v>518</v>
      </c>
      <c r="J12">
        <v>1520</v>
      </c>
      <c r="K12">
        <v>81.3</v>
      </c>
      <c r="L12">
        <v>350</v>
      </c>
      <c r="N12">
        <v>1530</v>
      </c>
      <c r="O12">
        <v>81.6</v>
      </c>
      <c r="P12">
        <v>300</v>
      </c>
      <c r="R12">
        <v>1700</v>
      </c>
      <c r="S12">
        <v>81.6</v>
      </c>
      <c r="T12">
        <v>335</v>
      </c>
      <c r="V12">
        <v>1480</v>
      </c>
      <c r="W12">
        <v>81.1</v>
      </c>
      <c r="X12">
        <v>200</v>
      </c>
      <c r="Z12">
        <v>2000</v>
      </c>
      <c r="AA12">
        <v>80.6</v>
      </c>
      <c r="AB12">
        <v>530</v>
      </c>
      <c r="AD12">
        <v>2200</v>
      </c>
      <c r="AE12">
        <v>81.2</v>
      </c>
      <c r="AF12">
        <v>600</v>
      </c>
      <c r="AH12">
        <f t="shared" si="5"/>
        <v>1751.42857142857</v>
      </c>
      <c r="AI12" s="73">
        <f t="shared" si="6"/>
        <v>81.2</v>
      </c>
      <c r="AJ12" s="74">
        <f t="shared" si="2"/>
        <v>404.714285714286</v>
      </c>
      <c r="AK12" s="62">
        <f t="shared" si="7"/>
        <v>9427</v>
      </c>
      <c r="AL12" s="62">
        <f t="shared" si="3"/>
        <v>1347</v>
      </c>
      <c r="AM12" s="62" t="str">
        <f t="shared" si="0"/>
        <v>Lost 0.2 kg </v>
      </c>
      <c r="AN12" s="73">
        <f t="shared" si="8"/>
        <v>-0.499999999999986</v>
      </c>
    </row>
    <row r="13" spans="1:40">
      <c r="A13" s="63">
        <v>44690</v>
      </c>
      <c r="B13" s="62">
        <f t="shared" si="4"/>
        <v>12</v>
      </c>
      <c r="C13" s="62">
        <f t="shared" si="1"/>
        <v>80.8</v>
      </c>
      <c r="F13">
        <v>1450</v>
      </c>
      <c r="G13">
        <v>80.8</v>
      </c>
      <c r="H13">
        <v>170</v>
      </c>
      <c r="J13">
        <v>1700</v>
      </c>
      <c r="K13">
        <v>80.3</v>
      </c>
      <c r="L13">
        <v>300</v>
      </c>
      <c r="N13">
        <v>1700</v>
      </c>
      <c r="O13">
        <v>80.6</v>
      </c>
      <c r="P13">
        <v>300</v>
      </c>
      <c r="R13">
        <v>1600</v>
      </c>
      <c r="S13">
        <v>80.5</v>
      </c>
      <c r="T13">
        <v>300</v>
      </c>
      <c r="V13">
        <v>2000</v>
      </c>
      <c r="W13">
        <v>80.5</v>
      </c>
      <c r="X13">
        <v>300</v>
      </c>
      <c r="Z13">
        <v>2100</v>
      </c>
      <c r="AA13">
        <v>81.1</v>
      </c>
      <c r="AB13">
        <v>600</v>
      </c>
      <c r="AD13">
        <v>2200</v>
      </c>
      <c r="AE13">
        <v>81.3</v>
      </c>
      <c r="AF13">
        <v>600</v>
      </c>
      <c r="AH13">
        <f t="shared" si="5"/>
        <v>1821.42857142857</v>
      </c>
      <c r="AI13" s="73">
        <f t="shared" si="6"/>
        <v>80.7285714285714</v>
      </c>
      <c r="AJ13" s="74">
        <f t="shared" si="2"/>
        <v>367.142857142857</v>
      </c>
      <c r="AK13" s="62">
        <f t="shared" si="7"/>
        <v>10180</v>
      </c>
      <c r="AL13" s="62">
        <f t="shared" si="3"/>
        <v>1454</v>
      </c>
      <c r="AM13" s="62" t="str">
        <f t="shared" si="0"/>
        <v>Gained 0.8 kg </v>
      </c>
      <c r="AN13" s="73">
        <f t="shared" si="8"/>
        <v>-0.471428571428604</v>
      </c>
    </row>
    <row r="14" spans="1:42">
      <c r="A14" s="63">
        <v>44697</v>
      </c>
      <c r="B14" s="62">
        <f t="shared" si="4"/>
        <v>13</v>
      </c>
      <c r="C14" s="62">
        <f t="shared" si="1"/>
        <v>81.6</v>
      </c>
      <c r="F14">
        <v>1550</v>
      </c>
      <c r="G14">
        <v>81.6</v>
      </c>
      <c r="H14">
        <v>330</v>
      </c>
      <c r="J14">
        <v>1600</v>
      </c>
      <c r="K14">
        <v>80.8</v>
      </c>
      <c r="L14">
        <v>460</v>
      </c>
      <c r="N14">
        <v>1450</v>
      </c>
      <c r="O14">
        <v>81.1</v>
      </c>
      <c r="P14">
        <v>350</v>
      </c>
      <c r="R14">
        <v>1500</v>
      </c>
      <c r="S14">
        <v>80.7</v>
      </c>
      <c r="T14">
        <v>400</v>
      </c>
      <c r="V14">
        <v>1600</v>
      </c>
      <c r="W14">
        <v>80.2</v>
      </c>
      <c r="X14">
        <v>400</v>
      </c>
      <c r="Z14">
        <v>2000</v>
      </c>
      <c r="AA14">
        <v>80.3</v>
      </c>
      <c r="AB14">
        <v>160</v>
      </c>
      <c r="AD14">
        <v>1700</v>
      </c>
      <c r="AE14">
        <v>80.5</v>
      </c>
      <c r="AF14">
        <v>300</v>
      </c>
      <c r="AH14">
        <f t="shared" si="5"/>
        <v>1628.57142857143</v>
      </c>
      <c r="AI14" s="73">
        <f t="shared" si="6"/>
        <v>80.7428571428571</v>
      </c>
      <c r="AJ14" s="74">
        <f t="shared" si="2"/>
        <v>342.857142857143</v>
      </c>
      <c r="AK14" s="62">
        <f t="shared" si="7"/>
        <v>9000</v>
      </c>
      <c r="AL14" s="62">
        <f t="shared" si="3"/>
        <v>1286</v>
      </c>
      <c r="AM14" s="62" t="str">
        <f t="shared" si="0"/>
        <v>Lost 1.1 kg </v>
      </c>
      <c r="AN14" s="73">
        <f t="shared" si="8"/>
        <v>0.0142857142857338</v>
      </c>
      <c r="AP14" t="s">
        <v>229</v>
      </c>
    </row>
    <row r="15" spans="1:40">
      <c r="A15" s="63">
        <v>44704</v>
      </c>
      <c r="B15" s="62">
        <f t="shared" si="4"/>
        <v>14</v>
      </c>
      <c r="C15" s="62">
        <f t="shared" si="1"/>
        <v>80.5</v>
      </c>
      <c r="F15">
        <v>1700</v>
      </c>
      <c r="G15">
        <v>80.5</v>
      </c>
      <c r="H15">
        <v>100</v>
      </c>
      <c r="J15">
        <v>1550</v>
      </c>
      <c r="K15">
        <v>80.6</v>
      </c>
      <c r="L15">
        <v>350</v>
      </c>
      <c r="N15">
        <v>1770</v>
      </c>
      <c r="O15">
        <v>80.8</v>
      </c>
      <c r="P15">
        <v>300</v>
      </c>
      <c r="R15">
        <v>1600</v>
      </c>
      <c r="S15">
        <v>81</v>
      </c>
      <c r="T15">
        <v>320</v>
      </c>
      <c r="V15">
        <v>1700</v>
      </c>
      <c r="W15">
        <v>80.6</v>
      </c>
      <c r="X15">
        <v>380</v>
      </c>
      <c r="Z15">
        <v>1600</v>
      </c>
      <c r="AA15">
        <v>80.6</v>
      </c>
      <c r="AB15">
        <v>200</v>
      </c>
      <c r="AD15">
        <v>1730</v>
      </c>
      <c r="AE15">
        <v>80.6</v>
      </c>
      <c r="AF15">
        <v>520</v>
      </c>
      <c r="AH15">
        <f t="shared" si="5"/>
        <v>1664.28571428571</v>
      </c>
      <c r="AI15" s="73">
        <f t="shared" si="6"/>
        <v>80.6714285714286</v>
      </c>
      <c r="AJ15" s="74">
        <f t="shared" si="2"/>
        <v>310</v>
      </c>
      <c r="AK15" s="62">
        <f t="shared" si="7"/>
        <v>9480</v>
      </c>
      <c r="AL15" s="62">
        <f t="shared" si="3"/>
        <v>1354</v>
      </c>
      <c r="AM15" s="62" t="str">
        <f t="shared" si="0"/>
        <v>Lost 0.1 kg </v>
      </c>
      <c r="AN15" s="73">
        <f t="shared" si="8"/>
        <v>-0.0714285714285694</v>
      </c>
    </row>
    <row r="16" spans="1:40">
      <c r="A16" s="63">
        <v>44711</v>
      </c>
      <c r="B16" s="62">
        <f t="shared" si="4"/>
        <v>15</v>
      </c>
      <c r="C16" s="62">
        <f t="shared" si="1"/>
        <v>80.4</v>
      </c>
      <c r="F16">
        <v>1800</v>
      </c>
      <c r="G16">
        <v>80.4</v>
      </c>
      <c r="H16">
        <v>320</v>
      </c>
      <c r="J16">
        <v>1800</v>
      </c>
      <c r="K16">
        <v>80.8</v>
      </c>
      <c r="L16">
        <v>330</v>
      </c>
      <c r="N16">
        <v>1700</v>
      </c>
      <c r="O16">
        <v>80.9</v>
      </c>
      <c r="P16">
        <v>380</v>
      </c>
      <c r="R16">
        <v>1650</v>
      </c>
      <c r="S16">
        <v>81.4</v>
      </c>
      <c r="T16">
        <v>250</v>
      </c>
      <c r="V16">
        <v>1800</v>
      </c>
      <c r="W16">
        <v>80.9</v>
      </c>
      <c r="X16">
        <v>300</v>
      </c>
      <c r="Z16">
        <v>1950</v>
      </c>
      <c r="AA16">
        <v>80.7</v>
      </c>
      <c r="AB16">
        <v>300</v>
      </c>
      <c r="AD16">
        <v>2300</v>
      </c>
      <c r="AE16">
        <v>80.9</v>
      </c>
      <c r="AF16">
        <v>500</v>
      </c>
      <c r="AH16">
        <f t="shared" si="5"/>
        <v>1857.14285714286</v>
      </c>
      <c r="AI16" s="73">
        <f t="shared" si="6"/>
        <v>80.8571428571429</v>
      </c>
      <c r="AJ16" s="74">
        <f t="shared" si="2"/>
        <v>340</v>
      </c>
      <c r="AK16" s="62">
        <f t="shared" si="7"/>
        <v>10620</v>
      </c>
      <c r="AL16" s="62">
        <f t="shared" si="3"/>
        <v>1517</v>
      </c>
      <c r="AM16" s="62" t="str">
        <f t="shared" si="0"/>
        <v>Gained 0.9 kg </v>
      </c>
      <c r="AN16" s="73">
        <f t="shared" si="8"/>
        <v>0.185714285714283</v>
      </c>
    </row>
    <row r="17" spans="1:40">
      <c r="A17" s="63">
        <v>44718</v>
      </c>
      <c r="B17" s="62">
        <f t="shared" si="4"/>
        <v>16</v>
      </c>
      <c r="C17" s="62">
        <f t="shared" si="1"/>
        <v>81.3</v>
      </c>
      <c r="F17">
        <v>1750</v>
      </c>
      <c r="G17">
        <v>81.3</v>
      </c>
      <c r="H17">
        <v>330</v>
      </c>
      <c r="J17">
        <v>1830</v>
      </c>
      <c r="K17">
        <v>81.2</v>
      </c>
      <c r="L17">
        <v>550</v>
      </c>
      <c r="N17">
        <v>1500</v>
      </c>
      <c r="O17">
        <v>81.2</v>
      </c>
      <c r="P17">
        <v>250</v>
      </c>
      <c r="R17">
        <v>1650</v>
      </c>
      <c r="S17">
        <v>81.3</v>
      </c>
      <c r="T17">
        <v>450</v>
      </c>
      <c r="V17">
        <v>2000</v>
      </c>
      <c r="W17">
        <v>81.4</v>
      </c>
      <c r="X17">
        <v>300</v>
      </c>
      <c r="Z17">
        <v>1700</v>
      </c>
      <c r="AA17">
        <v>81.6</v>
      </c>
      <c r="AB17">
        <v>300</v>
      </c>
      <c r="AD17">
        <v>2000</v>
      </c>
      <c r="AE17">
        <v>81.6</v>
      </c>
      <c r="AF17">
        <v>500</v>
      </c>
      <c r="AH17">
        <f t="shared" si="5"/>
        <v>1775.71428571429</v>
      </c>
      <c r="AI17" s="73">
        <f t="shared" si="6"/>
        <v>81.3714285714286</v>
      </c>
      <c r="AJ17" s="74">
        <f t="shared" si="2"/>
        <v>382.857142857143</v>
      </c>
      <c r="AK17" s="62">
        <f t="shared" si="7"/>
        <v>9750</v>
      </c>
      <c r="AL17" s="62">
        <f t="shared" si="3"/>
        <v>1393</v>
      </c>
      <c r="AM17" s="62" t="str">
        <f t="shared" si="0"/>
        <v>Gained 0.3 kg </v>
      </c>
      <c r="AN17" s="73">
        <f t="shared" si="8"/>
        <v>0.51428571428572</v>
      </c>
    </row>
    <row r="18" spans="1:40">
      <c r="A18" s="63">
        <v>44725</v>
      </c>
      <c r="B18" s="62">
        <f t="shared" si="4"/>
        <v>17</v>
      </c>
      <c r="C18" s="62">
        <f t="shared" si="1"/>
        <v>81.6</v>
      </c>
      <c r="F18">
        <v>1950</v>
      </c>
      <c r="G18">
        <v>81.6</v>
      </c>
      <c r="H18">
        <v>400</v>
      </c>
      <c r="J18">
        <v>1750</v>
      </c>
      <c r="K18">
        <v>81.8</v>
      </c>
      <c r="L18">
        <v>600</v>
      </c>
      <c r="N18">
        <v>1550</v>
      </c>
      <c r="O18">
        <v>81.3</v>
      </c>
      <c r="P18">
        <v>250</v>
      </c>
      <c r="R18">
        <v>1950</v>
      </c>
      <c r="S18">
        <v>81.3</v>
      </c>
      <c r="T18">
        <v>400</v>
      </c>
      <c r="V18">
        <v>1820</v>
      </c>
      <c r="W18">
        <v>82.3</v>
      </c>
      <c r="X18">
        <v>250</v>
      </c>
      <c r="Z18">
        <v>1800</v>
      </c>
      <c r="AA18">
        <v>80.8</v>
      </c>
      <c r="AB18">
        <v>250</v>
      </c>
      <c r="AD18">
        <v>2000</v>
      </c>
      <c r="AE18">
        <v>80.6</v>
      </c>
      <c r="AF18">
        <v>250</v>
      </c>
      <c r="AH18">
        <f t="shared" si="5"/>
        <v>1831.42857142857</v>
      </c>
      <c r="AI18" s="73">
        <f t="shared" si="6"/>
        <v>81.3857142857143</v>
      </c>
      <c r="AJ18" s="74">
        <f t="shared" si="2"/>
        <v>342.857142857143</v>
      </c>
      <c r="AK18" s="62">
        <f t="shared" si="7"/>
        <v>10420</v>
      </c>
      <c r="AL18" s="62">
        <f t="shared" si="3"/>
        <v>1489</v>
      </c>
      <c r="AM18" s="62" t="str">
        <f t="shared" si="0"/>
        <v>Lost 0.6 kg </v>
      </c>
      <c r="AN18" s="73">
        <f t="shared" si="8"/>
        <v>0.0142857142857054</v>
      </c>
    </row>
    <row r="19" spans="1:40">
      <c r="A19" s="63">
        <v>44732</v>
      </c>
      <c r="B19" s="62">
        <f t="shared" si="4"/>
        <v>18</v>
      </c>
      <c r="C19" s="62">
        <f t="shared" si="1"/>
        <v>81</v>
      </c>
      <c r="F19">
        <v>2000</v>
      </c>
      <c r="G19">
        <v>81</v>
      </c>
      <c r="H19">
        <v>350</v>
      </c>
      <c r="J19">
        <v>1600</v>
      </c>
      <c r="K19">
        <v>81.2</v>
      </c>
      <c r="L19">
        <v>200</v>
      </c>
      <c r="N19">
        <v>1800</v>
      </c>
      <c r="O19">
        <v>80.4</v>
      </c>
      <c r="P19">
        <v>500</v>
      </c>
      <c r="R19">
        <v>1800</v>
      </c>
      <c r="S19">
        <v>80.5</v>
      </c>
      <c r="T19">
        <v>500</v>
      </c>
      <c r="V19">
        <v>1900</v>
      </c>
      <c r="W19">
        <v>81.2</v>
      </c>
      <c r="X19">
        <v>150</v>
      </c>
      <c r="Z19">
        <v>1730</v>
      </c>
      <c r="AA19">
        <v>80.6</v>
      </c>
      <c r="AB19">
        <v>730</v>
      </c>
      <c r="AD19">
        <v>1750</v>
      </c>
      <c r="AE19">
        <v>79.8</v>
      </c>
      <c r="AF19">
        <v>150</v>
      </c>
      <c r="AH19">
        <f t="shared" si="5"/>
        <v>1797.14285714286</v>
      </c>
      <c r="AI19" s="73">
        <f t="shared" si="6"/>
        <v>80.6714285714286</v>
      </c>
      <c r="AJ19" s="74">
        <f t="shared" si="2"/>
        <v>368.571428571429</v>
      </c>
      <c r="AK19" s="62">
        <f t="shared" si="7"/>
        <v>10000</v>
      </c>
      <c r="AL19" s="62">
        <f t="shared" si="3"/>
        <v>1429</v>
      </c>
      <c r="AM19" s="62" t="str">
        <f t="shared" si="0"/>
        <v>Lost 0.5 kg </v>
      </c>
      <c r="AN19" s="73">
        <f t="shared" si="8"/>
        <v>-0.714285714285722</v>
      </c>
    </row>
    <row r="20" spans="1:40">
      <c r="A20" s="63">
        <v>44739</v>
      </c>
      <c r="B20" s="62">
        <f t="shared" si="4"/>
        <v>19</v>
      </c>
      <c r="C20" s="62">
        <f t="shared" si="1"/>
        <v>80.5</v>
      </c>
      <c r="F20">
        <v>1900</v>
      </c>
      <c r="G20">
        <v>80.5</v>
      </c>
      <c r="H20">
        <v>200</v>
      </c>
      <c r="J20">
        <v>2000</v>
      </c>
      <c r="K20">
        <v>80.5</v>
      </c>
      <c r="L20">
        <v>200</v>
      </c>
      <c r="N20">
        <v>2000</v>
      </c>
      <c r="O20">
        <v>80.7</v>
      </c>
      <c r="P20">
        <v>200</v>
      </c>
      <c r="R20">
        <v>1600</v>
      </c>
      <c r="S20">
        <v>80.8</v>
      </c>
      <c r="T20">
        <v>200</v>
      </c>
      <c r="V20">
        <v>1600</v>
      </c>
      <c r="W20">
        <v>80.3</v>
      </c>
      <c r="X20">
        <v>250</v>
      </c>
      <c r="Z20">
        <v>1700</v>
      </c>
      <c r="AA20">
        <v>80.2</v>
      </c>
      <c r="AB20">
        <v>300</v>
      </c>
      <c r="AD20">
        <v>1700</v>
      </c>
      <c r="AE20">
        <v>80.1</v>
      </c>
      <c r="AF20">
        <v>500</v>
      </c>
      <c r="AH20">
        <f t="shared" si="5"/>
        <v>1785.71428571429</v>
      </c>
      <c r="AI20" s="73">
        <f t="shared" si="6"/>
        <v>80.4428571428572</v>
      </c>
      <c r="AJ20" s="74">
        <f t="shared" si="2"/>
        <v>264.285714285714</v>
      </c>
      <c r="AK20" s="62">
        <f t="shared" si="7"/>
        <v>10650</v>
      </c>
      <c r="AL20" s="62">
        <f t="shared" si="3"/>
        <v>1521</v>
      </c>
      <c r="AM20" s="62" t="str">
        <f t="shared" si="0"/>
        <v>Lost 0.9 kg </v>
      </c>
      <c r="AN20" s="73">
        <f t="shared" si="8"/>
        <v>-0.228571428571414</v>
      </c>
    </row>
    <row r="21" spans="1:40">
      <c r="A21" s="63">
        <v>44746</v>
      </c>
      <c r="B21" s="62">
        <f t="shared" si="4"/>
        <v>20</v>
      </c>
      <c r="C21" s="62">
        <f t="shared" si="1"/>
        <v>79.6</v>
      </c>
      <c r="F21">
        <v>1800</v>
      </c>
      <c r="G21">
        <v>79.6</v>
      </c>
      <c r="H21">
        <v>350</v>
      </c>
      <c r="J21">
        <v>1600</v>
      </c>
      <c r="K21">
        <v>79.6</v>
      </c>
      <c r="L21">
        <v>250</v>
      </c>
      <c r="N21">
        <v>1600</v>
      </c>
      <c r="O21">
        <v>79.6</v>
      </c>
      <c r="P21">
        <v>200</v>
      </c>
      <c r="R21">
        <v>1500</v>
      </c>
      <c r="S21">
        <v>80</v>
      </c>
      <c r="T21">
        <v>200</v>
      </c>
      <c r="V21">
        <v>1500</v>
      </c>
      <c r="W21">
        <v>80</v>
      </c>
      <c r="X21">
        <v>200</v>
      </c>
      <c r="Z21">
        <v>1500</v>
      </c>
      <c r="AA21">
        <v>79.6</v>
      </c>
      <c r="AB21">
        <v>100</v>
      </c>
      <c r="AD21">
        <v>1600</v>
      </c>
      <c r="AE21">
        <v>78.9</v>
      </c>
      <c r="AF21">
        <v>150</v>
      </c>
      <c r="AH21">
        <f t="shared" si="5"/>
        <v>1585.71428571429</v>
      </c>
      <c r="AI21" s="73">
        <f t="shared" si="6"/>
        <v>79.6142857142857</v>
      </c>
      <c r="AJ21" s="74">
        <f t="shared" si="2"/>
        <v>207.142857142857</v>
      </c>
      <c r="AK21" s="62">
        <f t="shared" si="7"/>
        <v>9650</v>
      </c>
      <c r="AL21" s="62">
        <f t="shared" si="3"/>
        <v>1379</v>
      </c>
      <c r="AM21" s="62" t="str">
        <f t="shared" si="0"/>
        <v>No weight change</v>
      </c>
      <c r="AN21" s="73">
        <f t="shared" si="8"/>
        <v>-0.828571428571436</v>
      </c>
    </row>
    <row r="22" spans="1:40">
      <c r="A22" s="63">
        <v>44753</v>
      </c>
      <c r="B22" s="62">
        <f t="shared" si="4"/>
        <v>21</v>
      </c>
      <c r="C22" s="62">
        <f t="shared" si="1"/>
        <v>79.6</v>
      </c>
      <c r="F22">
        <v>1800</v>
      </c>
      <c r="G22">
        <v>79.6</v>
      </c>
      <c r="H22">
        <v>400</v>
      </c>
      <c r="J22">
        <v>1550</v>
      </c>
      <c r="K22">
        <v>80</v>
      </c>
      <c r="L22">
        <v>350</v>
      </c>
      <c r="N22">
        <v>2000</v>
      </c>
      <c r="O22">
        <v>80</v>
      </c>
      <c r="P22">
        <v>300</v>
      </c>
      <c r="R22">
        <v>1700</v>
      </c>
      <c r="S22">
        <v>80.5</v>
      </c>
      <c r="T22">
        <v>400</v>
      </c>
      <c r="V22">
        <v>1700</v>
      </c>
      <c r="W22">
        <v>79.9</v>
      </c>
      <c r="X22">
        <v>200</v>
      </c>
      <c r="Z22">
        <v>1700</v>
      </c>
      <c r="AA22">
        <v>80</v>
      </c>
      <c r="AB22">
        <v>500</v>
      </c>
      <c r="AD22">
        <v>1900</v>
      </c>
      <c r="AE22">
        <v>80.3</v>
      </c>
      <c r="AF22">
        <v>500</v>
      </c>
      <c r="AH22">
        <f t="shared" si="5"/>
        <v>1764.28571428571</v>
      </c>
      <c r="AI22" s="73">
        <f t="shared" si="6"/>
        <v>80.0428571428571</v>
      </c>
      <c r="AJ22" s="74">
        <f t="shared" si="2"/>
        <v>378.571428571429</v>
      </c>
      <c r="AK22" s="62">
        <f t="shared" si="7"/>
        <v>9700</v>
      </c>
      <c r="AL22" s="62">
        <f t="shared" si="3"/>
        <v>1386</v>
      </c>
      <c r="AM22" s="62" t="str">
        <f t="shared" si="0"/>
        <v>Gained 0.5 kg </v>
      </c>
      <c r="AN22" s="73">
        <f t="shared" si="8"/>
        <v>0.428571428571416</v>
      </c>
    </row>
    <row r="23" spans="1:40">
      <c r="A23" s="63">
        <v>44760</v>
      </c>
      <c r="B23" s="62">
        <f t="shared" si="4"/>
        <v>22</v>
      </c>
      <c r="C23" s="62">
        <f t="shared" si="1"/>
        <v>80.1</v>
      </c>
      <c r="F23">
        <v>1400</v>
      </c>
      <c r="G23">
        <v>80.1</v>
      </c>
      <c r="H23">
        <v>100</v>
      </c>
      <c r="J23">
        <v>1700</v>
      </c>
      <c r="K23">
        <v>80</v>
      </c>
      <c r="L23">
        <v>400</v>
      </c>
      <c r="N23">
        <v>1800</v>
      </c>
      <c r="O23">
        <v>79.6</v>
      </c>
      <c r="P23">
        <v>400</v>
      </c>
      <c r="R23">
        <v>1600</v>
      </c>
      <c r="S23">
        <v>80</v>
      </c>
      <c r="T23">
        <v>350</v>
      </c>
      <c r="V23">
        <v>1600</v>
      </c>
      <c r="W23">
        <v>79.9</v>
      </c>
      <c r="X23">
        <v>200</v>
      </c>
      <c r="Z23">
        <v>1700</v>
      </c>
      <c r="AA23">
        <v>79.6</v>
      </c>
      <c r="AB23">
        <v>300</v>
      </c>
      <c r="AD23">
        <v>2000</v>
      </c>
      <c r="AE23">
        <v>79.9</v>
      </c>
      <c r="AF23">
        <v>500</v>
      </c>
      <c r="AH23">
        <f t="shared" si="5"/>
        <v>1685.71428571429</v>
      </c>
      <c r="AI23" s="73">
        <f t="shared" si="6"/>
        <v>79.8714285714286</v>
      </c>
      <c r="AJ23" s="74">
        <f t="shared" si="2"/>
        <v>321.428571428571</v>
      </c>
      <c r="AK23" s="62">
        <f t="shared" si="7"/>
        <v>9550</v>
      </c>
      <c r="AL23" s="62">
        <f t="shared" si="3"/>
        <v>1364</v>
      </c>
      <c r="AM23" s="62" t="str">
        <f t="shared" si="0"/>
        <v>Lost 0.1 kg </v>
      </c>
      <c r="AN23" s="73">
        <f t="shared" si="8"/>
        <v>-0.17142857142855</v>
      </c>
    </row>
    <row r="24" spans="1:40">
      <c r="A24" s="63">
        <v>44767</v>
      </c>
      <c r="B24" s="62">
        <f t="shared" si="4"/>
        <v>23</v>
      </c>
      <c r="C24" s="62">
        <f t="shared" si="1"/>
        <v>80</v>
      </c>
      <c r="F24">
        <v>1700</v>
      </c>
      <c r="G24">
        <v>80</v>
      </c>
      <c r="H24">
        <v>400</v>
      </c>
      <c r="J24">
        <v>1700</v>
      </c>
      <c r="K24">
        <v>79.6</v>
      </c>
      <c r="L24">
        <v>200</v>
      </c>
      <c r="N24">
        <v>1800</v>
      </c>
      <c r="O24">
        <v>79.7</v>
      </c>
      <c r="P24">
        <v>200</v>
      </c>
      <c r="R24">
        <v>1700</v>
      </c>
      <c r="S24">
        <v>79.6</v>
      </c>
      <c r="T24">
        <v>200</v>
      </c>
      <c r="V24">
        <v>1700</v>
      </c>
      <c r="W24">
        <v>79.6</v>
      </c>
      <c r="X24">
        <v>200</v>
      </c>
      <c r="Z24">
        <v>2400</v>
      </c>
      <c r="AA24">
        <v>79.7</v>
      </c>
      <c r="AB24">
        <v>500</v>
      </c>
      <c r="AD24">
        <v>1700</v>
      </c>
      <c r="AE24">
        <v>80</v>
      </c>
      <c r="AF24">
        <v>400</v>
      </c>
      <c r="AH24">
        <f t="shared" si="5"/>
        <v>1814.28571428571</v>
      </c>
      <c r="AI24" s="73">
        <f t="shared" si="6"/>
        <v>79.7428571428571</v>
      </c>
      <c r="AJ24" s="74">
        <f t="shared" si="2"/>
        <v>300</v>
      </c>
      <c r="AK24" s="62">
        <f t="shared" si="7"/>
        <v>10600</v>
      </c>
      <c r="AL24" s="62">
        <f t="shared" si="3"/>
        <v>1514</v>
      </c>
      <c r="AM24" s="62" t="str">
        <f t="shared" si="0"/>
        <v>No weight change</v>
      </c>
      <c r="AN24" s="73">
        <f t="shared" si="8"/>
        <v>-0.128571428571433</v>
      </c>
    </row>
    <row r="25" spans="1:42">
      <c r="A25" s="63">
        <v>44774</v>
      </c>
      <c r="B25" s="62">
        <f t="shared" si="4"/>
        <v>24</v>
      </c>
      <c r="C25" s="62">
        <f t="shared" si="1"/>
        <v>80</v>
      </c>
      <c r="F25">
        <v>2000</v>
      </c>
      <c r="G25">
        <v>80</v>
      </c>
      <c r="H25">
        <v>100</v>
      </c>
      <c r="K25">
        <v>81</v>
      </c>
      <c r="O25">
        <v>80.8</v>
      </c>
      <c r="S25">
        <v>80.8</v>
      </c>
      <c r="W25">
        <v>80.8</v>
      </c>
      <c r="AA25">
        <v>80.8</v>
      </c>
      <c r="AE25">
        <v>81</v>
      </c>
      <c r="AH25">
        <f t="shared" si="5"/>
        <v>2000</v>
      </c>
      <c r="AI25" s="73">
        <f t="shared" si="6"/>
        <v>80.7428571428571</v>
      </c>
      <c r="AJ25" s="74">
        <f t="shared" si="2"/>
        <v>100</v>
      </c>
      <c r="AK25" s="62">
        <f t="shared" si="7"/>
        <v>1900</v>
      </c>
      <c r="AL25" s="62">
        <f t="shared" si="3"/>
        <v>1900</v>
      </c>
      <c r="AM25" s="62" t="str">
        <f t="shared" si="0"/>
        <v>Gained 0.8 kg </v>
      </c>
      <c r="AN25" s="73">
        <f t="shared" si="8"/>
        <v>1</v>
      </c>
      <c r="AP25" t="s">
        <v>230</v>
      </c>
    </row>
    <row r="26" spans="1:40">
      <c r="A26" s="63">
        <v>44781</v>
      </c>
      <c r="B26" s="62">
        <f t="shared" si="4"/>
        <v>25</v>
      </c>
      <c r="C26" s="62">
        <f t="shared" si="1"/>
        <v>80.8</v>
      </c>
      <c r="F26">
        <v>1600</v>
      </c>
      <c r="G26">
        <v>80.8</v>
      </c>
      <c r="H26">
        <v>150</v>
      </c>
      <c r="J26">
        <v>2000</v>
      </c>
      <c r="K26">
        <v>80.2</v>
      </c>
      <c r="L26">
        <v>200</v>
      </c>
      <c r="N26">
        <v>2000</v>
      </c>
      <c r="O26">
        <v>80.4</v>
      </c>
      <c r="P26">
        <v>150</v>
      </c>
      <c r="R26">
        <v>1700</v>
      </c>
      <c r="S26">
        <v>81.5</v>
      </c>
      <c r="T26">
        <v>150</v>
      </c>
      <c r="V26">
        <v>1500</v>
      </c>
      <c r="W26">
        <v>80.1</v>
      </c>
      <c r="X26">
        <v>184</v>
      </c>
      <c r="Z26">
        <v>1700</v>
      </c>
      <c r="AA26">
        <v>79.9</v>
      </c>
      <c r="AB26">
        <v>150</v>
      </c>
      <c r="AE26">
        <v>80.4</v>
      </c>
      <c r="AH26">
        <f t="shared" si="5"/>
        <v>1750</v>
      </c>
      <c r="AI26" s="73">
        <f t="shared" si="6"/>
        <v>80.4714285714286</v>
      </c>
      <c r="AJ26" s="74">
        <f t="shared" si="2"/>
        <v>164</v>
      </c>
      <c r="AK26" s="62">
        <f t="shared" si="7"/>
        <v>9516</v>
      </c>
      <c r="AL26" s="62">
        <f t="shared" si="3"/>
        <v>1586</v>
      </c>
      <c r="AM26" s="62" t="str">
        <f t="shared" si="0"/>
        <v/>
      </c>
      <c r="AN26" s="73">
        <f t="shared" si="8"/>
        <v>-0.271428571428586</v>
      </c>
    </row>
    <row r="27" spans="1:41">
      <c r="A27" s="63">
        <v>44788</v>
      </c>
      <c r="B27" s="62" t="str">
        <f t="shared" si="4"/>
        <v/>
      </c>
      <c r="C27" s="62" t="str">
        <f t="shared" si="1"/>
        <v/>
      </c>
      <c r="AH27" t="str">
        <f t="shared" si="5"/>
        <v/>
      </c>
      <c r="AI27" s="73" t="str">
        <f t="shared" si="6"/>
        <v/>
      </c>
      <c r="AJ27" s="74" t="str">
        <f t="shared" si="2"/>
        <v/>
      </c>
      <c r="AK27" s="62">
        <f t="shared" si="7"/>
        <v>0</v>
      </c>
      <c r="AL27" s="62" t="str">
        <f t="shared" si="3"/>
        <v/>
      </c>
      <c r="AM27" s="62" t="str">
        <f t="shared" si="0"/>
        <v/>
      </c>
      <c r="AN27" s="73" t="str">
        <f t="shared" si="8"/>
        <v/>
      </c>
      <c r="AO27" s="73"/>
    </row>
    <row r="28" spans="1:40">
      <c r="A28" s="63">
        <v>44795</v>
      </c>
      <c r="B28" s="62" t="str">
        <f t="shared" si="4"/>
        <v/>
      </c>
      <c r="C28" s="62" t="str">
        <f t="shared" si="1"/>
        <v/>
      </c>
      <c r="AH28" t="str">
        <f t="shared" si="5"/>
        <v/>
      </c>
      <c r="AI28" s="73" t="str">
        <f t="shared" si="6"/>
        <v/>
      </c>
      <c r="AJ28" s="74" t="str">
        <f t="shared" si="2"/>
        <v/>
      </c>
      <c r="AK28" s="62">
        <f t="shared" si="7"/>
        <v>0</v>
      </c>
      <c r="AL28" s="62" t="str">
        <f t="shared" si="3"/>
        <v/>
      </c>
      <c r="AM28" s="62" t="str">
        <f t="shared" si="0"/>
        <v/>
      </c>
      <c r="AN28" s="73" t="str">
        <f t="shared" si="8"/>
        <v/>
      </c>
    </row>
    <row r="29" spans="2:40">
      <c r="B29" s="62" t="str">
        <f t="shared" si="4"/>
        <v/>
      </c>
      <c r="C29" s="62" t="str">
        <f t="shared" si="1"/>
        <v/>
      </c>
      <c r="AH29" t="str">
        <f t="shared" si="5"/>
        <v/>
      </c>
      <c r="AI29" s="73" t="str">
        <f t="shared" si="6"/>
        <v/>
      </c>
      <c r="AJ29" s="74" t="str">
        <f t="shared" si="2"/>
        <v/>
      </c>
      <c r="AK29" s="62">
        <f t="shared" si="7"/>
        <v>0</v>
      </c>
      <c r="AL29" s="62" t="str">
        <f t="shared" si="3"/>
        <v/>
      </c>
      <c r="AM29" s="62" t="str">
        <f t="shared" si="0"/>
        <v/>
      </c>
      <c r="AN29" s="73" t="str">
        <f t="shared" si="8"/>
        <v/>
      </c>
    </row>
    <row r="30" spans="2:40">
      <c r="B30" s="62" t="str">
        <f t="shared" si="4"/>
        <v/>
      </c>
      <c r="C30" s="62" t="str">
        <f t="shared" si="1"/>
        <v/>
      </c>
      <c r="AH30" t="str">
        <f t="shared" si="5"/>
        <v/>
      </c>
      <c r="AI30" s="73" t="str">
        <f t="shared" si="6"/>
        <v/>
      </c>
      <c r="AJ30" s="74" t="str">
        <f t="shared" si="2"/>
        <v/>
      </c>
      <c r="AK30" s="62">
        <f t="shared" si="7"/>
        <v>0</v>
      </c>
      <c r="AL30" s="62" t="str">
        <f t="shared" si="3"/>
        <v/>
      </c>
      <c r="AM30" s="62" t="str">
        <f t="shared" si="0"/>
        <v/>
      </c>
      <c r="AN30" s="73" t="str">
        <f t="shared" si="8"/>
        <v/>
      </c>
    </row>
    <row r="31" spans="2:40">
      <c r="B31" s="62" t="str">
        <f t="shared" si="4"/>
        <v/>
      </c>
      <c r="C31" s="62" t="str">
        <f t="shared" si="1"/>
        <v/>
      </c>
      <c r="AH31" t="str">
        <f t="shared" si="5"/>
        <v/>
      </c>
      <c r="AI31" s="73" t="str">
        <f t="shared" si="6"/>
        <v/>
      </c>
      <c r="AJ31" s="74" t="str">
        <f t="shared" si="2"/>
        <v/>
      </c>
      <c r="AK31" s="62">
        <f t="shared" si="7"/>
        <v>0</v>
      </c>
      <c r="AL31" s="62" t="str">
        <f t="shared" si="3"/>
        <v/>
      </c>
      <c r="AM31" s="62" t="str">
        <f t="shared" si="0"/>
        <v/>
      </c>
      <c r="AN31" s="73" t="str">
        <f t="shared" si="8"/>
        <v/>
      </c>
    </row>
    <row r="32" spans="2:40">
      <c r="B32" s="62" t="str">
        <f t="shared" si="4"/>
        <v/>
      </c>
      <c r="C32" s="62" t="str">
        <f t="shared" si="1"/>
        <v/>
      </c>
      <c r="AH32" t="str">
        <f t="shared" si="5"/>
        <v/>
      </c>
      <c r="AI32" s="73" t="str">
        <f t="shared" si="6"/>
        <v/>
      </c>
      <c r="AJ32" s="74" t="str">
        <f t="shared" si="2"/>
        <v/>
      </c>
      <c r="AK32" s="62">
        <f t="shared" si="7"/>
        <v>0</v>
      </c>
      <c r="AL32" s="62" t="str">
        <f t="shared" si="3"/>
        <v/>
      </c>
      <c r="AM32" s="62" t="str">
        <f t="shared" si="0"/>
        <v/>
      </c>
      <c r="AN32" s="73" t="str">
        <f t="shared" si="8"/>
        <v/>
      </c>
    </row>
    <row r="33" spans="2:40">
      <c r="B33" s="62" t="str">
        <f t="shared" si="4"/>
        <v/>
      </c>
      <c r="C33" s="62" t="str">
        <f t="shared" si="1"/>
        <v/>
      </c>
      <c r="AH33" t="str">
        <f t="shared" si="5"/>
        <v/>
      </c>
      <c r="AI33" s="73" t="str">
        <f t="shared" si="6"/>
        <v/>
      </c>
      <c r="AJ33" s="74" t="str">
        <f t="shared" si="2"/>
        <v/>
      </c>
      <c r="AK33" s="62">
        <f t="shared" si="7"/>
        <v>0</v>
      </c>
      <c r="AL33" s="62" t="str">
        <f t="shared" si="3"/>
        <v/>
      </c>
      <c r="AM33" s="62" t="str">
        <f t="shared" si="0"/>
        <v/>
      </c>
      <c r="AN33" s="73" t="str">
        <f t="shared" si="8"/>
        <v/>
      </c>
    </row>
    <row r="34" spans="2:40">
      <c r="B34" s="62" t="str">
        <f t="shared" si="4"/>
        <v/>
      </c>
      <c r="C34" s="62" t="str">
        <f t="shared" si="1"/>
        <v/>
      </c>
      <c r="AH34" t="str">
        <f t="shared" si="5"/>
        <v/>
      </c>
      <c r="AI34" s="73" t="str">
        <f t="shared" si="6"/>
        <v/>
      </c>
      <c r="AJ34" s="74" t="str">
        <f t="shared" si="2"/>
        <v/>
      </c>
      <c r="AK34" s="62">
        <f t="shared" si="7"/>
        <v>0</v>
      </c>
      <c r="AL34" s="62" t="str">
        <f t="shared" si="3"/>
        <v/>
      </c>
      <c r="AM34" s="62" t="str">
        <f t="shared" si="0"/>
        <v/>
      </c>
      <c r="AN34" s="73" t="str">
        <f t="shared" si="8"/>
        <v/>
      </c>
    </row>
    <row r="35" spans="2:40">
      <c r="B35" s="62" t="str">
        <f t="shared" si="4"/>
        <v/>
      </c>
      <c r="C35" s="62" t="str">
        <f t="shared" si="1"/>
        <v/>
      </c>
      <c r="AH35" t="str">
        <f t="shared" si="5"/>
        <v/>
      </c>
      <c r="AI35" s="73" t="str">
        <f t="shared" si="6"/>
        <v/>
      </c>
      <c r="AJ35" s="74" t="str">
        <f t="shared" si="2"/>
        <v/>
      </c>
      <c r="AK35" s="62">
        <f t="shared" si="7"/>
        <v>0</v>
      </c>
      <c r="AL35" s="62" t="str">
        <f t="shared" si="3"/>
        <v/>
      </c>
      <c r="AM35" s="62" t="str">
        <f t="shared" si="0"/>
        <v/>
      </c>
      <c r="AN35" s="73" t="str">
        <f t="shared" si="8"/>
        <v/>
      </c>
    </row>
    <row r="36" spans="2:40">
      <c r="B36" s="62" t="str">
        <f t="shared" si="4"/>
        <v/>
      </c>
      <c r="C36" s="62" t="str">
        <f t="shared" si="1"/>
        <v/>
      </c>
      <c r="AH36" t="str">
        <f t="shared" si="5"/>
        <v/>
      </c>
      <c r="AI36" s="73" t="str">
        <f t="shared" si="6"/>
        <v/>
      </c>
      <c r="AJ36" s="74" t="str">
        <f t="shared" si="2"/>
        <v/>
      </c>
      <c r="AK36" s="62">
        <f t="shared" si="7"/>
        <v>0</v>
      </c>
      <c r="AL36" s="62" t="str">
        <f t="shared" si="3"/>
        <v/>
      </c>
      <c r="AM36" s="62" t="str">
        <f t="shared" si="0"/>
        <v/>
      </c>
      <c r="AN36" s="73" t="str">
        <f t="shared" si="8"/>
        <v/>
      </c>
    </row>
    <row r="37" spans="2:40">
      <c r="B37" s="62" t="str">
        <f t="shared" si="4"/>
        <v/>
      </c>
      <c r="C37" s="62" t="str">
        <f t="shared" si="1"/>
        <v/>
      </c>
      <c r="AH37" t="str">
        <f t="shared" si="5"/>
        <v/>
      </c>
      <c r="AI37" s="73" t="str">
        <f t="shared" si="6"/>
        <v/>
      </c>
      <c r="AJ37" s="74" t="str">
        <f t="shared" si="2"/>
        <v/>
      </c>
      <c r="AK37" s="62">
        <f t="shared" si="7"/>
        <v>0</v>
      </c>
      <c r="AL37" s="62" t="str">
        <f t="shared" si="3"/>
        <v/>
      </c>
      <c r="AM37" s="62" t="str">
        <f t="shared" si="0"/>
        <v/>
      </c>
      <c r="AN37" s="73" t="str">
        <f t="shared" si="8"/>
        <v/>
      </c>
    </row>
    <row r="38" spans="2:40">
      <c r="B38" s="62" t="str">
        <f t="shared" si="4"/>
        <v/>
      </c>
      <c r="C38" s="62" t="str">
        <f t="shared" si="1"/>
        <v/>
      </c>
      <c r="AH38" t="str">
        <f t="shared" si="5"/>
        <v/>
      </c>
      <c r="AI38" s="73" t="str">
        <f t="shared" si="6"/>
        <v/>
      </c>
      <c r="AJ38" s="74" t="str">
        <f t="shared" si="2"/>
        <v/>
      </c>
      <c r="AK38" s="62">
        <f t="shared" si="7"/>
        <v>0</v>
      </c>
      <c r="AL38" s="62" t="str">
        <f t="shared" si="3"/>
        <v/>
      </c>
      <c r="AM38" s="62" t="str">
        <f t="shared" si="0"/>
        <v/>
      </c>
      <c r="AN38" s="73" t="str">
        <f t="shared" si="8"/>
        <v/>
      </c>
    </row>
    <row r="39" spans="2:40">
      <c r="B39" s="62" t="str">
        <f t="shared" si="4"/>
        <v/>
      </c>
      <c r="C39" s="62" t="str">
        <f t="shared" si="1"/>
        <v/>
      </c>
      <c r="AH39" t="str">
        <f t="shared" si="5"/>
        <v/>
      </c>
      <c r="AI39" s="73" t="str">
        <f t="shared" si="6"/>
        <v/>
      </c>
      <c r="AJ39" s="74" t="str">
        <f t="shared" si="2"/>
        <v/>
      </c>
      <c r="AK39" s="62">
        <f t="shared" si="7"/>
        <v>0</v>
      </c>
      <c r="AL39" s="62" t="str">
        <f t="shared" si="3"/>
        <v/>
      </c>
      <c r="AM39" s="62" t="str">
        <f t="shared" si="0"/>
        <v/>
      </c>
      <c r="AN39" s="73" t="str">
        <f t="shared" si="8"/>
        <v/>
      </c>
    </row>
    <row r="40" spans="2:40">
      <c r="B40" s="62" t="str">
        <f t="shared" si="4"/>
        <v/>
      </c>
      <c r="C40" s="62" t="str">
        <f t="shared" si="1"/>
        <v/>
      </c>
      <c r="AH40" t="str">
        <f t="shared" si="5"/>
        <v/>
      </c>
      <c r="AI40" s="73" t="str">
        <f t="shared" si="6"/>
        <v/>
      </c>
      <c r="AJ40" s="74" t="str">
        <f t="shared" si="2"/>
        <v/>
      </c>
      <c r="AK40" s="62">
        <f t="shared" si="7"/>
        <v>0</v>
      </c>
      <c r="AL40" s="62" t="str">
        <f t="shared" si="3"/>
        <v/>
      </c>
      <c r="AM40" s="62" t="str">
        <f t="shared" si="0"/>
        <v/>
      </c>
      <c r="AN40" s="73" t="str">
        <f t="shared" si="8"/>
        <v/>
      </c>
    </row>
    <row r="41" spans="2:40">
      <c r="B41" s="62" t="str">
        <f t="shared" si="4"/>
        <v/>
      </c>
      <c r="C41" s="62" t="str">
        <f t="shared" si="1"/>
        <v/>
      </c>
      <c r="AH41" t="str">
        <f t="shared" si="5"/>
        <v/>
      </c>
      <c r="AI41" s="73" t="str">
        <f t="shared" si="6"/>
        <v/>
      </c>
      <c r="AJ41" s="74" t="str">
        <f t="shared" si="2"/>
        <v/>
      </c>
      <c r="AK41" s="62">
        <f t="shared" si="7"/>
        <v>0</v>
      </c>
      <c r="AL41" s="62" t="str">
        <f t="shared" si="3"/>
        <v/>
      </c>
      <c r="AM41" s="62" t="str">
        <f t="shared" si="0"/>
        <v/>
      </c>
      <c r="AN41" s="73" t="str">
        <f t="shared" si="8"/>
        <v/>
      </c>
    </row>
    <row r="42" spans="2:40">
      <c r="B42" s="62" t="str">
        <f t="shared" si="4"/>
        <v/>
      </c>
      <c r="C42" s="62" t="str">
        <f t="shared" si="1"/>
        <v/>
      </c>
      <c r="AH42" t="str">
        <f t="shared" si="5"/>
        <v/>
      </c>
      <c r="AI42" s="73" t="str">
        <f t="shared" si="6"/>
        <v/>
      </c>
      <c r="AJ42" s="74" t="str">
        <f t="shared" si="2"/>
        <v/>
      </c>
      <c r="AK42" s="62">
        <f t="shared" si="7"/>
        <v>0</v>
      </c>
      <c r="AL42" s="62" t="str">
        <f t="shared" si="3"/>
        <v/>
      </c>
      <c r="AM42" s="62" t="str">
        <f t="shared" si="0"/>
        <v/>
      </c>
      <c r="AN42" s="73" t="str">
        <f t="shared" si="8"/>
        <v/>
      </c>
    </row>
    <row r="43" spans="2:40">
      <c r="B43" s="62" t="str">
        <f t="shared" si="4"/>
        <v/>
      </c>
      <c r="C43" s="62" t="str">
        <f t="shared" si="1"/>
        <v/>
      </c>
      <c r="AH43" t="str">
        <f t="shared" si="5"/>
        <v/>
      </c>
      <c r="AI43" s="73" t="str">
        <f t="shared" si="6"/>
        <v/>
      </c>
      <c r="AJ43" s="74" t="str">
        <f t="shared" si="2"/>
        <v/>
      </c>
      <c r="AK43" s="62">
        <f t="shared" si="7"/>
        <v>0</v>
      </c>
      <c r="AL43" s="62" t="str">
        <f t="shared" si="3"/>
        <v/>
      </c>
      <c r="AM43" s="62" t="str">
        <f t="shared" si="0"/>
        <v/>
      </c>
      <c r="AN43" s="73" t="str">
        <f t="shared" si="8"/>
        <v/>
      </c>
    </row>
    <row r="44" spans="2:40">
      <c r="B44" s="62" t="str">
        <f t="shared" si="4"/>
        <v/>
      </c>
      <c r="C44" s="62" t="str">
        <f t="shared" si="1"/>
        <v/>
      </c>
      <c r="AH44" t="str">
        <f t="shared" si="5"/>
        <v/>
      </c>
      <c r="AI44" s="73" t="str">
        <f t="shared" si="6"/>
        <v/>
      </c>
      <c r="AJ44" s="74" t="str">
        <f t="shared" si="2"/>
        <v/>
      </c>
      <c r="AK44" s="62">
        <f t="shared" si="7"/>
        <v>0</v>
      </c>
      <c r="AL44" s="62" t="str">
        <f t="shared" si="3"/>
        <v/>
      </c>
      <c r="AM44" s="62" t="str">
        <f t="shared" si="0"/>
        <v/>
      </c>
      <c r="AN44" s="73" t="str">
        <f t="shared" si="8"/>
        <v/>
      </c>
    </row>
    <row r="45" spans="2:40">
      <c r="B45" s="62" t="str">
        <f t="shared" si="4"/>
        <v/>
      </c>
      <c r="C45" s="62" t="str">
        <f t="shared" si="1"/>
        <v/>
      </c>
      <c r="AH45" t="str">
        <f t="shared" si="5"/>
        <v/>
      </c>
      <c r="AI45" s="73" t="str">
        <f t="shared" si="6"/>
        <v/>
      </c>
      <c r="AJ45" s="74" t="str">
        <f t="shared" si="2"/>
        <v/>
      </c>
      <c r="AK45" s="62">
        <f t="shared" si="7"/>
        <v>0</v>
      </c>
      <c r="AL45" s="62" t="str">
        <f t="shared" si="3"/>
        <v/>
      </c>
      <c r="AM45" s="62" t="str">
        <f t="shared" si="0"/>
        <v/>
      </c>
      <c r="AN45" s="73" t="str">
        <f t="shared" si="8"/>
        <v/>
      </c>
    </row>
    <row r="46" spans="2:40">
      <c r="B46" s="62" t="str">
        <f t="shared" si="4"/>
        <v/>
      </c>
      <c r="C46" s="62" t="str">
        <f t="shared" si="1"/>
        <v/>
      </c>
      <c r="AH46" t="str">
        <f t="shared" si="5"/>
        <v/>
      </c>
      <c r="AI46" s="73" t="str">
        <f t="shared" si="6"/>
        <v/>
      </c>
      <c r="AJ46" s="74" t="str">
        <f t="shared" si="2"/>
        <v/>
      </c>
      <c r="AK46" s="62">
        <f t="shared" si="7"/>
        <v>0</v>
      </c>
      <c r="AL46" s="62" t="str">
        <f t="shared" si="3"/>
        <v/>
      </c>
      <c r="AM46" s="62" t="str">
        <f t="shared" si="0"/>
        <v/>
      </c>
      <c r="AN46" s="73" t="str">
        <f t="shared" si="8"/>
        <v/>
      </c>
    </row>
    <row r="47" spans="2:40">
      <c r="B47" s="62" t="str">
        <f t="shared" si="4"/>
        <v/>
      </c>
      <c r="C47" s="62" t="str">
        <f t="shared" si="1"/>
        <v/>
      </c>
      <c r="AH47" t="str">
        <f t="shared" si="5"/>
        <v/>
      </c>
      <c r="AI47" s="73" t="str">
        <f t="shared" si="6"/>
        <v/>
      </c>
      <c r="AJ47" s="74" t="str">
        <f t="shared" si="2"/>
        <v/>
      </c>
      <c r="AK47" s="62">
        <f t="shared" si="7"/>
        <v>0</v>
      </c>
      <c r="AL47" s="62" t="str">
        <f t="shared" si="3"/>
        <v/>
      </c>
      <c r="AM47" s="62" t="str">
        <f t="shared" si="0"/>
        <v/>
      </c>
      <c r="AN47" s="73" t="str">
        <f t="shared" si="8"/>
        <v/>
      </c>
    </row>
    <row r="48" spans="2:40">
      <c r="B48" s="62" t="str">
        <f t="shared" si="4"/>
        <v/>
      </c>
      <c r="C48" s="62" t="str">
        <f t="shared" si="1"/>
        <v/>
      </c>
      <c r="AH48" t="str">
        <f t="shared" si="5"/>
        <v/>
      </c>
      <c r="AI48" s="73" t="str">
        <f t="shared" si="6"/>
        <v/>
      </c>
      <c r="AJ48" s="74" t="str">
        <f t="shared" si="2"/>
        <v/>
      </c>
      <c r="AK48" s="62">
        <f t="shared" si="7"/>
        <v>0</v>
      </c>
      <c r="AL48" s="62" t="str">
        <f t="shared" si="3"/>
        <v/>
      </c>
      <c r="AM48" s="62" t="str">
        <f t="shared" si="0"/>
        <v/>
      </c>
      <c r="AN48" s="73" t="str">
        <f t="shared" si="8"/>
        <v/>
      </c>
    </row>
    <row r="49" spans="2:40">
      <c r="B49" s="62" t="str">
        <f t="shared" si="4"/>
        <v/>
      </c>
      <c r="C49" s="62" t="str">
        <f t="shared" si="1"/>
        <v/>
      </c>
      <c r="AH49" t="str">
        <f t="shared" si="5"/>
        <v/>
      </c>
      <c r="AI49" s="73" t="str">
        <f t="shared" si="6"/>
        <v/>
      </c>
      <c r="AJ49" s="74" t="str">
        <f t="shared" si="2"/>
        <v/>
      </c>
      <c r="AK49" s="62">
        <f t="shared" si="7"/>
        <v>0</v>
      </c>
      <c r="AL49" s="62" t="str">
        <f t="shared" si="3"/>
        <v/>
      </c>
      <c r="AM49" s="62" t="str">
        <f t="shared" si="0"/>
        <v/>
      </c>
      <c r="AN49" s="73" t="str">
        <f t="shared" si="8"/>
        <v/>
      </c>
    </row>
    <row r="50" spans="2:40">
      <c r="B50" s="62" t="str">
        <f t="shared" si="4"/>
        <v/>
      </c>
      <c r="C50" s="62" t="str">
        <f t="shared" si="1"/>
        <v/>
      </c>
      <c r="AH50" t="str">
        <f t="shared" si="5"/>
        <v/>
      </c>
      <c r="AI50" s="73" t="str">
        <f t="shared" si="6"/>
        <v/>
      </c>
      <c r="AJ50" s="74" t="str">
        <f t="shared" si="2"/>
        <v/>
      </c>
      <c r="AK50" s="62">
        <f t="shared" si="7"/>
        <v>0</v>
      </c>
      <c r="AL50" s="62" t="str">
        <f t="shared" si="3"/>
        <v/>
      </c>
      <c r="AM50" s="62" t="str">
        <f t="shared" si="0"/>
        <v/>
      </c>
      <c r="AN50" s="73" t="str">
        <f t="shared" si="8"/>
        <v/>
      </c>
    </row>
    <row r="51" spans="2:40">
      <c r="B51" s="62" t="str">
        <f t="shared" si="4"/>
        <v/>
      </c>
      <c r="C51" s="62" t="str">
        <f t="shared" si="1"/>
        <v/>
      </c>
      <c r="AH51" t="str">
        <f t="shared" si="5"/>
        <v/>
      </c>
      <c r="AI51" s="73" t="str">
        <f t="shared" si="6"/>
        <v/>
      </c>
      <c r="AJ51" s="74" t="str">
        <f t="shared" si="2"/>
        <v/>
      </c>
      <c r="AK51" s="62">
        <f t="shared" si="7"/>
        <v>0</v>
      </c>
      <c r="AL51" s="62" t="str">
        <f t="shared" si="3"/>
        <v/>
      </c>
      <c r="AM51" s="62" t="str">
        <f t="shared" si="0"/>
        <v/>
      </c>
      <c r="AN51" s="73" t="str">
        <f t="shared" si="8"/>
        <v/>
      </c>
    </row>
    <row r="52" spans="2:40">
      <c r="B52" s="62" t="str">
        <f t="shared" si="4"/>
        <v/>
      </c>
      <c r="C52" s="62" t="str">
        <f t="shared" si="1"/>
        <v/>
      </c>
      <c r="AH52" t="str">
        <f t="shared" si="5"/>
        <v/>
      </c>
      <c r="AI52" s="73" t="str">
        <f t="shared" si="6"/>
        <v/>
      </c>
      <c r="AJ52" s="74" t="str">
        <f t="shared" si="2"/>
        <v/>
      </c>
      <c r="AK52" s="62">
        <f t="shared" si="7"/>
        <v>0</v>
      </c>
      <c r="AL52" s="62" t="str">
        <f t="shared" si="3"/>
        <v/>
      </c>
      <c r="AM52" s="62" t="str">
        <f t="shared" si="0"/>
        <v/>
      </c>
      <c r="AN52" s="73" t="str">
        <f t="shared" si="8"/>
        <v/>
      </c>
    </row>
    <row r="53" spans="2:40">
      <c r="B53" s="62" t="str">
        <f t="shared" si="4"/>
        <v/>
      </c>
      <c r="C53" s="62" t="str">
        <f t="shared" si="1"/>
        <v/>
      </c>
      <c r="AH53" t="str">
        <f t="shared" si="5"/>
        <v/>
      </c>
      <c r="AI53" s="73" t="str">
        <f t="shared" si="6"/>
        <v/>
      </c>
      <c r="AJ53" s="74" t="str">
        <f t="shared" si="2"/>
        <v/>
      </c>
      <c r="AK53" s="62">
        <f t="shared" si="7"/>
        <v>0</v>
      </c>
      <c r="AL53" s="62" t="str">
        <f t="shared" si="3"/>
        <v/>
      </c>
      <c r="AM53" s="62" t="str">
        <f t="shared" si="0"/>
        <v/>
      </c>
      <c r="AN53" s="73" t="str">
        <f t="shared" si="8"/>
        <v/>
      </c>
    </row>
  </sheetData>
  <conditionalFormatting sqref="AK2:AM53">
    <cfRule type="cellIs" dxfId="15" priority="1" operator="equal">
      <formula>0</formula>
    </cfRule>
  </conditionalFormatting>
  <pageMargins left="0.7" right="0.7" top="0.75" bottom="0.75" header="0.3" footer="0.3"/>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AD76"/>
  <sheetViews>
    <sheetView workbookViewId="0">
      <selection activeCell="P23" sqref="P23"/>
    </sheetView>
  </sheetViews>
  <sheetFormatPr defaultColWidth="9" defaultRowHeight="15"/>
  <cols>
    <col min="1" max="1" width="7.85714285714286" customWidth="1"/>
    <col min="5" max="5" width="10.5714285714286" customWidth="1"/>
    <col min="9" max="9" width="9.14285714285714" customWidth="1"/>
    <col min="10" max="11" width="9.14285714285714" style="2"/>
    <col min="12" max="12" width="18.5714285714286" hidden="1" customWidth="1"/>
    <col min="13" max="14" width="9.14285714285714" style="2" customWidth="1"/>
    <col min="15" max="22" width="9.14285714285714" style="2"/>
  </cols>
  <sheetData>
    <row r="1" spans="1:30">
      <c r="A1" s="2"/>
      <c r="B1" s="2"/>
      <c r="C1" s="2"/>
      <c r="D1" s="2"/>
      <c r="E1" s="2"/>
      <c r="F1" s="2"/>
      <c r="G1" s="2"/>
      <c r="H1" s="2"/>
      <c r="I1" s="2"/>
      <c r="W1" s="2"/>
      <c r="X1" s="2"/>
      <c r="Y1" s="2"/>
      <c r="Z1" s="2"/>
      <c r="AA1" s="2"/>
      <c r="AB1" s="2"/>
      <c r="AC1" s="2"/>
      <c r="AD1" s="2"/>
    </row>
    <row r="2" spans="1:30">
      <c r="A2" s="2"/>
      <c r="B2" s="2"/>
      <c r="C2" s="39" t="s">
        <v>231</v>
      </c>
      <c r="D2" s="39"/>
      <c r="E2" s="39"/>
      <c r="F2" s="40"/>
      <c r="G2" s="2"/>
      <c r="H2" s="2"/>
      <c r="I2" s="48" t="s">
        <v>232</v>
      </c>
      <c r="J2" s="48"/>
      <c r="K2" s="48"/>
      <c r="P2" s="49" t="s">
        <v>225</v>
      </c>
      <c r="Q2" s="49"/>
      <c r="R2" s="49"/>
      <c r="S2" s="49"/>
      <c r="T2" s="49"/>
      <c r="U2" s="49"/>
      <c r="V2" s="49"/>
      <c r="W2" s="2"/>
      <c r="X2" s="2"/>
      <c r="Y2" s="2"/>
      <c r="Z2" s="2"/>
      <c r="AA2" s="2"/>
      <c r="AB2" s="2"/>
      <c r="AC2" s="2"/>
      <c r="AD2" s="2"/>
    </row>
    <row r="3" customHeight="1" spans="1:30">
      <c r="A3" s="2"/>
      <c r="B3" s="2"/>
      <c r="C3" s="41">
        <v>86.05</v>
      </c>
      <c r="D3" s="41"/>
      <c r="E3" s="41"/>
      <c r="F3" s="40"/>
      <c r="G3" s="2"/>
      <c r="H3" s="2"/>
      <c r="I3" s="50">
        <v>0.7</v>
      </c>
      <c r="J3" s="50"/>
      <c r="K3" s="50"/>
      <c r="P3" s="49"/>
      <c r="Q3" s="49"/>
      <c r="R3" s="49"/>
      <c r="S3" s="49"/>
      <c r="T3" s="49"/>
      <c r="U3" s="49"/>
      <c r="V3" s="49"/>
      <c r="W3" s="2"/>
      <c r="X3" s="2"/>
      <c r="Y3" s="2"/>
      <c r="Z3" s="2"/>
      <c r="AA3" s="2"/>
      <c r="AB3" s="2"/>
      <c r="AC3" s="2"/>
      <c r="AD3" s="2"/>
    </row>
    <row r="4" spans="1:30">
      <c r="A4" s="2"/>
      <c r="B4" s="2"/>
      <c r="C4" s="40"/>
      <c r="D4" s="40"/>
      <c r="E4" s="40"/>
      <c r="F4" s="40"/>
      <c r="G4" s="2"/>
      <c r="H4" s="2"/>
      <c r="I4" s="40"/>
      <c r="J4" s="40"/>
      <c r="K4" s="40"/>
      <c r="P4" s="51" t="s">
        <v>233</v>
      </c>
      <c r="Q4" s="51"/>
      <c r="R4" s="51"/>
      <c r="S4" s="51"/>
      <c r="T4" s="51"/>
      <c r="U4" s="51"/>
      <c r="V4" s="51"/>
      <c r="W4" s="2"/>
      <c r="X4" s="2"/>
      <c r="Y4" s="2"/>
      <c r="Z4" s="2"/>
      <c r="AA4" s="2"/>
      <c r="AB4" s="2"/>
      <c r="AC4" s="2"/>
      <c r="AD4" s="2"/>
    </row>
    <row r="5" spans="1:30">
      <c r="A5" s="2"/>
      <c r="B5" s="2"/>
      <c r="C5" s="42" t="s">
        <v>234</v>
      </c>
      <c r="D5" s="42"/>
      <c r="E5" s="42"/>
      <c r="F5" s="40"/>
      <c r="G5" s="2"/>
      <c r="H5" s="2"/>
      <c r="I5" s="48" t="s">
        <v>235</v>
      </c>
      <c r="J5" s="48"/>
      <c r="K5" s="48"/>
      <c r="L5" s="48" t="s">
        <v>236</v>
      </c>
      <c r="P5" s="51"/>
      <c r="Q5" s="51"/>
      <c r="R5" s="51"/>
      <c r="S5" s="51"/>
      <c r="T5" s="51"/>
      <c r="U5" s="51"/>
      <c r="V5" s="51"/>
      <c r="W5" s="2"/>
      <c r="X5" s="2"/>
      <c r="Y5" s="2"/>
      <c r="Z5" s="2"/>
      <c r="AA5" s="2"/>
      <c r="AB5" s="2"/>
      <c r="AC5" s="2"/>
      <c r="AD5" s="2"/>
    </row>
    <row r="6" spans="1:30">
      <c r="A6" s="2"/>
      <c r="B6" s="2"/>
      <c r="C6" s="41">
        <v>84.6</v>
      </c>
      <c r="D6" s="41"/>
      <c r="E6" s="41"/>
      <c r="F6" s="40"/>
      <c r="G6" s="2"/>
      <c r="H6" s="2"/>
      <c r="I6" s="52">
        <v>200</v>
      </c>
      <c r="J6" s="52"/>
      <c r="K6" s="52"/>
      <c r="L6" s="53">
        <f>IF(AND(L8=TRUE,L9=FALSE),-I3,IF(AND(L9=TRUE,L8=FALSE),I3))</f>
        <v>-0.7</v>
      </c>
      <c r="P6" s="51"/>
      <c r="Q6" s="51"/>
      <c r="R6" s="51"/>
      <c r="S6" s="51"/>
      <c r="T6" s="51"/>
      <c r="U6" s="51"/>
      <c r="V6" s="51"/>
      <c r="W6" s="2"/>
      <c r="X6" s="2"/>
      <c r="Y6" s="2"/>
      <c r="Z6" s="2"/>
      <c r="AA6" s="2"/>
      <c r="AB6" s="2"/>
      <c r="AC6" s="2"/>
      <c r="AD6" s="2"/>
    </row>
    <row r="7" customHeight="1" spans="1:30">
      <c r="A7" s="2"/>
      <c r="B7" s="2"/>
      <c r="C7" s="40"/>
      <c r="D7" s="40"/>
      <c r="E7" s="40"/>
      <c r="F7" s="40"/>
      <c r="G7" s="40"/>
      <c r="H7" s="40"/>
      <c r="I7" s="40"/>
      <c r="P7" s="51"/>
      <c r="Q7" s="51"/>
      <c r="R7" s="51"/>
      <c r="S7" s="51"/>
      <c r="T7" s="51"/>
      <c r="U7" s="51"/>
      <c r="V7" s="51"/>
      <c r="W7" s="2"/>
      <c r="X7" s="2"/>
      <c r="Y7" s="2"/>
      <c r="Z7" s="2"/>
      <c r="AA7" s="2"/>
      <c r="AB7" s="2"/>
      <c r="AC7" s="2"/>
      <c r="AD7" s="2"/>
    </row>
    <row r="8" ht="15.75" spans="1:30">
      <c r="A8" s="2"/>
      <c r="B8" s="2"/>
      <c r="C8" s="43" t="s">
        <v>237</v>
      </c>
      <c r="D8" s="43"/>
      <c r="E8" s="43"/>
      <c r="F8" s="2"/>
      <c r="G8" s="44" t="s">
        <v>238</v>
      </c>
      <c r="H8" s="44"/>
      <c r="I8" s="44"/>
      <c r="J8" s="44"/>
      <c r="K8" s="44"/>
      <c r="L8" s="54" t="b">
        <v>1</v>
      </c>
      <c r="P8" s="51"/>
      <c r="Q8" s="51"/>
      <c r="R8" s="51"/>
      <c r="S8" s="51"/>
      <c r="T8" s="51"/>
      <c r="U8" s="51"/>
      <c r="V8" s="51"/>
      <c r="W8" s="2"/>
      <c r="X8" s="2"/>
      <c r="Y8" s="2"/>
      <c r="Z8" s="2"/>
      <c r="AA8" s="2"/>
      <c r="AB8" s="2"/>
      <c r="AC8" s="2"/>
      <c r="AD8" s="2"/>
    </row>
    <row r="9" customHeight="1" spans="1:30">
      <c r="A9" s="2"/>
      <c r="B9" s="2"/>
      <c r="C9" s="45">
        <v>1800</v>
      </c>
      <c r="D9" s="45"/>
      <c r="E9" s="45"/>
      <c r="F9" s="2"/>
      <c r="G9" s="46" t="str">
        <f>IF(Breakdown!L5="","Please enter Daily kCalorie Intake in the 'Breakdown' tab.",IF(AND(L8=TRUE,L9=FALSE),CONCATENATE(IF(L34&lt;C9,L25,IF(L34&gt;C9,L26,L27))),IF(AND(L8=FALSE,L9=TRUE),"Weight gain description still needs to be programmed.","Please select one checkbox (Lose/Gain).")))</f>
        <v>You should decrease your activity level by 150 kCalories/day (approx. -3375 steps), or increase calories to 1950. This will help prevent your metabolism from slowing down whilst still losing your goal weight of 0.7kg/week.</v>
      </c>
      <c r="H9" s="46"/>
      <c r="I9" s="46"/>
      <c r="J9" s="46"/>
      <c r="K9" s="46"/>
      <c r="L9" s="54" t="b">
        <v>0</v>
      </c>
      <c r="P9" s="51"/>
      <c r="Q9" s="51"/>
      <c r="R9" s="51"/>
      <c r="S9" s="51"/>
      <c r="T9" s="51"/>
      <c r="U9" s="51"/>
      <c r="V9" s="51"/>
      <c r="W9" s="2"/>
      <c r="X9" s="2"/>
      <c r="Y9" s="2"/>
      <c r="Z9" s="2"/>
      <c r="AA9" s="2"/>
      <c r="AB9" s="2"/>
      <c r="AC9" s="2"/>
      <c r="AD9" s="2"/>
    </row>
    <row r="10" customHeight="1" spans="1:30">
      <c r="A10" s="2"/>
      <c r="B10" s="2"/>
      <c r="C10" s="2"/>
      <c r="D10" s="2"/>
      <c r="E10" s="2"/>
      <c r="F10" s="2"/>
      <c r="G10" s="46"/>
      <c r="H10" s="46"/>
      <c r="I10" s="46"/>
      <c r="J10" s="46"/>
      <c r="K10" s="46"/>
      <c r="P10" s="51"/>
      <c r="Q10" s="51"/>
      <c r="R10" s="51"/>
      <c r="S10" s="51"/>
      <c r="T10" s="51"/>
      <c r="U10" s="51"/>
      <c r="V10" s="51"/>
      <c r="W10" s="2"/>
      <c r="X10" s="2"/>
      <c r="Y10" s="2"/>
      <c r="Z10" s="2"/>
      <c r="AA10" s="2"/>
      <c r="AB10" s="2"/>
      <c r="AC10" s="2"/>
      <c r="AD10" s="2"/>
    </row>
    <row r="11" customHeight="1" spans="1:30">
      <c r="A11" s="2"/>
      <c r="B11" s="2"/>
      <c r="C11" s="43" t="s">
        <v>239</v>
      </c>
      <c r="D11" s="43"/>
      <c r="E11" s="43"/>
      <c r="F11" s="2"/>
      <c r="G11" s="46"/>
      <c r="H11" s="46"/>
      <c r="I11" s="46"/>
      <c r="J11" s="46"/>
      <c r="K11" s="46"/>
      <c r="P11" s="51"/>
      <c r="Q11" s="51"/>
      <c r="R11" s="51"/>
      <c r="S11" s="51"/>
      <c r="T11" s="51"/>
      <c r="U11" s="51"/>
      <c r="V11" s="51"/>
      <c r="W11" s="2"/>
      <c r="X11" s="2"/>
      <c r="Y11" s="2"/>
      <c r="Z11" s="2"/>
      <c r="AA11" s="2"/>
      <c r="AB11" s="2"/>
      <c r="AC11" s="2"/>
      <c r="AD11" s="2"/>
    </row>
    <row r="12" customHeight="1" spans="1:30">
      <c r="A12" s="2"/>
      <c r="B12" s="2"/>
      <c r="C12" s="45">
        <v>300</v>
      </c>
      <c r="D12" s="45"/>
      <c r="E12" s="45"/>
      <c r="F12" s="2"/>
      <c r="G12" s="46"/>
      <c r="H12" s="46"/>
      <c r="I12" s="46"/>
      <c r="J12" s="46"/>
      <c r="K12" s="46"/>
      <c r="P12" s="51"/>
      <c r="Q12" s="51"/>
      <c r="R12" s="51"/>
      <c r="S12" s="51"/>
      <c r="T12" s="51"/>
      <c r="U12" s="51"/>
      <c r="V12" s="51"/>
      <c r="W12" s="2"/>
      <c r="X12" s="2"/>
      <c r="Y12" s="2"/>
      <c r="Z12" s="2"/>
      <c r="AA12" s="2"/>
      <c r="AB12" s="2"/>
      <c r="AC12" s="2"/>
      <c r="AD12" s="2"/>
    </row>
    <row r="13" customHeight="1" spans="1:30">
      <c r="A13" s="2"/>
      <c r="B13" s="2"/>
      <c r="C13" s="2"/>
      <c r="D13" s="2"/>
      <c r="E13" s="2"/>
      <c r="F13" s="2"/>
      <c r="G13" s="46"/>
      <c r="H13" s="46"/>
      <c r="I13" s="46"/>
      <c r="J13" s="46"/>
      <c r="K13" s="46"/>
      <c r="P13" s="51"/>
      <c r="Q13" s="51"/>
      <c r="R13" s="51"/>
      <c r="S13" s="51"/>
      <c r="T13" s="51"/>
      <c r="U13" s="51"/>
      <c r="V13" s="51"/>
      <c r="W13" s="2"/>
      <c r="X13" s="2"/>
      <c r="Y13" s="2"/>
      <c r="Z13" s="2"/>
      <c r="AA13" s="2"/>
      <c r="AB13" s="2"/>
      <c r="AC13" s="2"/>
      <c r="AD13" s="2"/>
    </row>
    <row r="14" customHeight="1" spans="1:30">
      <c r="A14" s="2"/>
      <c r="B14" s="2"/>
      <c r="C14" s="2"/>
      <c r="D14" s="2"/>
      <c r="E14" s="2"/>
      <c r="F14" s="2"/>
      <c r="G14" s="46"/>
      <c r="H14" s="46"/>
      <c r="I14" s="46"/>
      <c r="J14" s="46"/>
      <c r="K14" s="46"/>
      <c r="L14" s="48" t="s">
        <v>240</v>
      </c>
      <c r="P14" s="51"/>
      <c r="Q14" s="51"/>
      <c r="R14" s="51"/>
      <c r="S14" s="51"/>
      <c r="T14" s="51"/>
      <c r="U14" s="51"/>
      <c r="V14" s="51"/>
      <c r="W14" s="2"/>
      <c r="X14" s="2"/>
      <c r="Y14" s="2"/>
      <c r="Z14" s="2"/>
      <c r="AA14" s="2"/>
      <c r="AB14" s="2"/>
      <c r="AC14" s="2"/>
      <c r="AD14" s="2"/>
    </row>
    <row r="15" customHeight="1" spans="1:30">
      <c r="A15" s="2"/>
      <c r="B15" s="2"/>
      <c r="C15" s="2"/>
      <c r="D15" s="2"/>
      <c r="E15" s="2"/>
      <c r="F15" s="2"/>
      <c r="G15" s="46"/>
      <c r="H15" s="46"/>
      <c r="I15" s="46"/>
      <c r="J15" s="46"/>
      <c r="K15" s="46"/>
      <c r="L15" s="55">
        <f>(L21*I6)</f>
        <v>-150.000000000001</v>
      </c>
      <c r="W15" s="2"/>
      <c r="X15" s="2"/>
      <c r="Y15" s="2"/>
      <c r="Z15" s="2"/>
      <c r="AA15" s="2"/>
      <c r="AB15" s="2"/>
      <c r="AC15" s="2"/>
      <c r="AD15" s="2"/>
    </row>
    <row r="16" customHeight="1" spans="1:30">
      <c r="A16" s="2"/>
      <c r="B16" s="2"/>
      <c r="C16" s="2"/>
      <c r="D16" s="2"/>
      <c r="E16" s="2"/>
      <c r="F16" s="2"/>
      <c r="G16" s="46"/>
      <c r="H16" s="46"/>
      <c r="I16" s="46"/>
      <c r="J16" s="46"/>
      <c r="K16" s="46"/>
      <c r="W16" s="2"/>
      <c r="X16" s="2"/>
      <c r="Y16" s="2"/>
      <c r="Z16" s="2"/>
      <c r="AA16" s="2"/>
      <c r="AB16" s="2"/>
      <c r="AC16" s="2"/>
      <c r="AD16" s="2"/>
    </row>
    <row r="17" customHeight="1" spans="1:30">
      <c r="A17" s="2"/>
      <c r="B17" s="2"/>
      <c r="C17" s="2"/>
      <c r="D17" s="2"/>
      <c r="E17" s="2"/>
      <c r="F17" s="2"/>
      <c r="G17" s="46"/>
      <c r="H17" s="46"/>
      <c r="I17" s="46"/>
      <c r="J17" s="46"/>
      <c r="K17" s="46"/>
      <c r="L17" s="56" t="s">
        <v>223</v>
      </c>
      <c r="W17" s="2"/>
      <c r="X17" s="2"/>
      <c r="Y17" s="2"/>
      <c r="Z17" s="2"/>
      <c r="AA17" s="2"/>
      <c r="AB17" s="2"/>
      <c r="AC17" s="2"/>
      <c r="AD17" s="2"/>
    </row>
    <row r="18" customHeight="1" spans="1:30">
      <c r="A18" s="2"/>
      <c r="B18" s="2"/>
      <c r="C18" s="2"/>
      <c r="D18" s="2"/>
      <c r="E18" s="2"/>
      <c r="F18" s="2"/>
      <c r="G18" s="46"/>
      <c r="H18" s="46"/>
      <c r="I18" s="46"/>
      <c r="J18" s="46"/>
      <c r="K18" s="46"/>
      <c r="L18" s="57">
        <f>C6-C3</f>
        <v>-1.45</v>
      </c>
      <c r="W18" s="2"/>
      <c r="X18" s="2"/>
      <c r="Y18" s="2"/>
      <c r="Z18" s="2"/>
      <c r="AA18" s="2"/>
      <c r="AB18" s="2"/>
      <c r="AC18" s="2"/>
      <c r="AD18" s="2"/>
    </row>
    <row r="19" customHeight="1" spans="1:30">
      <c r="A19" s="2"/>
      <c r="B19" s="2"/>
      <c r="C19" s="2"/>
      <c r="D19" s="2"/>
      <c r="E19" s="2"/>
      <c r="F19" s="2"/>
      <c r="G19" s="2"/>
      <c r="H19" s="2"/>
      <c r="I19" s="2"/>
      <c r="W19" s="2"/>
      <c r="X19" s="2"/>
      <c r="Y19" s="2"/>
      <c r="Z19" s="2"/>
      <c r="AA19" s="2"/>
      <c r="AB19" s="2"/>
      <c r="AC19" s="2"/>
      <c r="AD19" s="2"/>
    </row>
    <row r="20" customHeight="1" spans="1:30">
      <c r="A20" s="2"/>
      <c r="B20" s="2"/>
      <c r="C20" s="2"/>
      <c r="D20" s="2"/>
      <c r="E20" s="2"/>
      <c r="F20" s="2"/>
      <c r="G20" s="2"/>
      <c r="H20" s="2"/>
      <c r="I20" s="2"/>
      <c r="L20" s="56" t="s">
        <v>241</v>
      </c>
      <c r="W20" s="2"/>
      <c r="X20" s="2"/>
      <c r="Y20" s="2"/>
      <c r="Z20" s="2"/>
      <c r="AA20" s="2"/>
      <c r="AB20" s="2"/>
      <c r="AC20" s="2"/>
      <c r="AD20" s="2"/>
    </row>
    <row r="21" customHeight="1" spans="1:30">
      <c r="A21" s="2"/>
      <c r="B21" s="44" t="s">
        <v>242</v>
      </c>
      <c r="C21" s="44"/>
      <c r="D21" s="44"/>
      <c r="E21" s="44"/>
      <c r="F21" s="2"/>
      <c r="G21" s="44" t="s">
        <v>243</v>
      </c>
      <c r="H21" s="44"/>
      <c r="I21" s="44"/>
      <c r="J21" s="44"/>
      <c r="K21" s="44"/>
      <c r="L21" s="57">
        <f>L18-L6</f>
        <v>-0.750000000000003</v>
      </c>
      <c r="W21" s="2"/>
      <c r="X21" s="2"/>
      <c r="Y21" s="2"/>
      <c r="Z21" s="2"/>
      <c r="AA21" s="2"/>
      <c r="AB21" s="2"/>
      <c r="AC21" s="2"/>
      <c r="AD21" s="2"/>
    </row>
    <row r="22" customHeight="1" spans="1:30">
      <c r="A22" s="2"/>
      <c r="B22" s="47"/>
      <c r="C22" s="47"/>
      <c r="D22" s="47"/>
      <c r="E22" s="47"/>
      <c r="F22" s="2"/>
      <c r="G22" s="47" t="str">
        <f>IFERROR(IF(AND(L8=FALSE,L9=TRUE),"Weight gain description still needs to be programmed.",CONCATENATE("To maintain your current weight, you should consume ",L34+C12," kCalories per day and continue with the same amount of physical activity.")),"")</f>
        <v>To maintain your current weight, you should consume 2250 kCalories per day and continue with the same amount of physical activity.</v>
      </c>
      <c r="H22" s="47"/>
      <c r="I22" s="47"/>
      <c r="J22" s="47"/>
      <c r="K22" s="47"/>
      <c r="W22" s="2"/>
      <c r="X22" s="2"/>
      <c r="Y22" s="2"/>
      <c r="Z22" s="2"/>
      <c r="AA22" s="2"/>
      <c r="AB22" s="2"/>
      <c r="AC22" s="2"/>
      <c r="AD22" s="2"/>
    </row>
    <row r="23" customHeight="1" spans="1:30">
      <c r="A23" s="2"/>
      <c r="B23" s="47"/>
      <c r="C23" s="47"/>
      <c r="D23" s="47"/>
      <c r="E23" s="47"/>
      <c r="F23" s="2"/>
      <c r="G23" s="47"/>
      <c r="H23" s="47"/>
      <c r="I23" s="47"/>
      <c r="J23" s="47"/>
      <c r="K23" s="47"/>
      <c r="W23" s="2"/>
      <c r="X23" s="2"/>
      <c r="Y23" s="2"/>
      <c r="Z23" s="2"/>
      <c r="AA23" s="2"/>
      <c r="AB23" s="2"/>
      <c r="AC23" s="2"/>
      <c r="AD23" s="2"/>
    </row>
    <row r="24" customHeight="1" spans="1:30">
      <c r="A24" s="2"/>
      <c r="B24" s="47"/>
      <c r="C24" s="47"/>
      <c r="D24" s="47"/>
      <c r="E24" s="47"/>
      <c r="F24" s="2"/>
      <c r="G24" s="47"/>
      <c r="H24" s="47"/>
      <c r="I24" s="47"/>
      <c r="J24" s="47"/>
      <c r="K24" s="47"/>
      <c r="W24" s="2"/>
      <c r="X24" s="2"/>
      <c r="Y24" s="2"/>
      <c r="Z24" s="2"/>
      <c r="AA24" s="2"/>
      <c r="AB24" s="2"/>
      <c r="AC24" s="2"/>
      <c r="AD24" s="2"/>
    </row>
    <row r="25" customHeight="1" spans="1:30">
      <c r="A25" s="2"/>
      <c r="B25" s="47"/>
      <c r="C25" s="47"/>
      <c r="D25" s="47"/>
      <c r="E25" s="47"/>
      <c r="F25" s="2"/>
      <c r="G25" s="47"/>
      <c r="H25" s="47"/>
      <c r="I25" s="47"/>
      <c r="J25" s="47"/>
      <c r="K25" s="47"/>
      <c r="L25" t="str">
        <f>CONCATENATE("You should increase your activity level by ",ROUND(L37,0)," kCalories/day (approx. ",ROUND(L40,0)," steps), or lower calories to ",ROUND(L34,0),".")</f>
        <v>You should increase your activity level by -150 kCalories/day (approx. -3375 steps), or lower calories to 1950.</v>
      </c>
      <c r="W25" s="2"/>
      <c r="X25" s="2"/>
      <c r="Y25" s="2"/>
      <c r="Z25" s="2"/>
      <c r="AA25" s="2"/>
      <c r="AB25" s="2"/>
      <c r="AC25" s="2"/>
      <c r="AD25" s="2"/>
    </row>
    <row r="26" customHeight="1" spans="1:30">
      <c r="A26" s="2"/>
      <c r="B26" s="47"/>
      <c r="C26" s="47"/>
      <c r="D26" s="47"/>
      <c r="E26" s="47"/>
      <c r="F26" s="2"/>
      <c r="G26" s="47"/>
      <c r="H26" s="47"/>
      <c r="I26" s="47"/>
      <c r="J26" s="47"/>
      <c r="K26" s="47"/>
      <c r="L26" t="str">
        <f>CONCATENATE("You should decrease your activity level by ",ABS(ROUND(L37,0))," kCalories/day (approx. ",ROUND(L40,0)," steps), or increase calories to ",ROUND(L34,0),". This will help prevent your metabolism from slowing down whilst still losing your goal weight of ",I3,"kg/week.")</f>
        <v>You should decrease your activity level by 150 kCalories/day (approx. -3375 steps), or increase calories to 1950. This will help prevent your metabolism from slowing down whilst still losing your goal weight of 0.7kg/week.</v>
      </c>
      <c r="W26" s="2"/>
      <c r="X26" s="2"/>
      <c r="Y26" s="2"/>
      <c r="Z26" s="2"/>
      <c r="AA26" s="2"/>
      <c r="AB26" s="2"/>
      <c r="AC26" s="2"/>
      <c r="AD26" s="2"/>
    </row>
    <row r="27" customHeight="1" spans="1:30">
      <c r="A27" s="2"/>
      <c r="B27" s="47"/>
      <c r="C27" s="47"/>
      <c r="D27" s="47"/>
      <c r="E27" s="47"/>
      <c r="F27" s="2"/>
      <c r="G27" s="47"/>
      <c r="H27" s="47"/>
      <c r="I27" s="47"/>
      <c r="J27" s="47"/>
      <c r="K27" s="47"/>
      <c r="L27" t="str">
        <f>CONCATENATE("You lost the perfect amount of weight this week. You should keep calories at ",ROUND(C9,0),".")</f>
        <v>You lost the perfect amount of weight this week. You should keep calories at 1800.</v>
      </c>
      <c r="W27" s="2"/>
      <c r="X27" s="2"/>
      <c r="Y27" s="2"/>
      <c r="Z27" s="2"/>
      <c r="AA27" s="2"/>
      <c r="AB27" s="2"/>
      <c r="AC27" s="2"/>
      <c r="AD27" s="2"/>
    </row>
    <row r="28" customHeight="1" spans="1:30">
      <c r="A28" s="2"/>
      <c r="B28" s="2"/>
      <c r="C28" s="2"/>
      <c r="D28" s="2"/>
      <c r="E28" s="2"/>
      <c r="F28" s="2"/>
      <c r="G28" s="2"/>
      <c r="H28" s="2"/>
      <c r="I28" s="2"/>
      <c r="W28" s="2"/>
      <c r="X28" s="2"/>
      <c r="Y28" s="2"/>
      <c r="Z28" s="2"/>
      <c r="AA28" s="2"/>
      <c r="AB28" s="2"/>
      <c r="AC28" s="2"/>
      <c r="AD28" s="2"/>
    </row>
    <row r="29" customHeight="1" spans="1:30">
      <c r="A29" s="2"/>
      <c r="B29" s="2"/>
      <c r="C29" s="2"/>
      <c r="D29" s="2"/>
      <c r="E29" s="2"/>
      <c r="F29" s="2"/>
      <c r="G29" s="2"/>
      <c r="H29" s="2"/>
      <c r="I29" s="2"/>
      <c r="W29" s="2"/>
      <c r="X29" s="2"/>
      <c r="Y29" s="2"/>
      <c r="Z29" s="2"/>
      <c r="AA29" s="2"/>
      <c r="AB29" s="2"/>
      <c r="AC29" s="2"/>
      <c r="AD29" s="2"/>
    </row>
    <row r="30" customHeight="1" spans="1:30">
      <c r="A30" s="2"/>
      <c r="B30" s="2"/>
      <c r="C30" s="2"/>
      <c r="D30" s="2"/>
      <c r="E30" s="2"/>
      <c r="F30" s="2"/>
      <c r="G30" s="2"/>
      <c r="H30" s="2"/>
      <c r="I30" s="2"/>
      <c r="W30" s="2"/>
      <c r="X30" s="2"/>
      <c r="Y30" s="2"/>
      <c r="Z30" s="2"/>
      <c r="AA30" s="2"/>
      <c r="AB30" s="2"/>
      <c r="AC30" s="2"/>
      <c r="AD30" s="2"/>
    </row>
    <row r="31" customHeight="1" spans="1:30">
      <c r="A31" s="2"/>
      <c r="B31" s="2"/>
      <c r="C31" s="2"/>
      <c r="D31" s="2"/>
      <c r="E31" s="2"/>
      <c r="F31" s="2"/>
      <c r="G31" s="2"/>
      <c r="H31" s="2"/>
      <c r="I31" s="2"/>
      <c r="W31" s="2"/>
      <c r="X31" s="2"/>
      <c r="Y31" s="2"/>
      <c r="Z31" s="2"/>
      <c r="AA31" s="2"/>
      <c r="AB31" s="2"/>
      <c r="AC31" s="2"/>
      <c r="AD31" s="2"/>
    </row>
    <row r="32" spans="1:30">
      <c r="A32" s="2"/>
      <c r="B32" s="2"/>
      <c r="C32" s="2"/>
      <c r="D32" s="2"/>
      <c r="E32" s="2"/>
      <c r="F32" s="2"/>
      <c r="G32" s="2"/>
      <c r="H32" s="2"/>
      <c r="I32" s="2"/>
      <c r="L32" s="40"/>
      <c r="W32" s="2"/>
      <c r="X32" s="2"/>
      <c r="Y32" s="2"/>
      <c r="Z32" s="2"/>
      <c r="AA32" s="2"/>
      <c r="AB32" s="2"/>
      <c r="AC32" s="2"/>
      <c r="AD32" s="2"/>
    </row>
    <row r="33" spans="1:30">
      <c r="A33" s="2"/>
      <c r="B33" s="2"/>
      <c r="C33" s="2"/>
      <c r="D33" s="2"/>
      <c r="E33" s="2"/>
      <c r="F33" s="2"/>
      <c r="G33" s="2"/>
      <c r="H33" s="2"/>
      <c r="I33" s="2"/>
      <c r="L33" s="58" t="s">
        <v>244</v>
      </c>
      <c r="W33" s="2"/>
      <c r="X33" s="2"/>
      <c r="Y33" s="2"/>
      <c r="Z33" s="2"/>
      <c r="AA33" s="2"/>
      <c r="AB33" s="2"/>
      <c r="AC33" s="2"/>
      <c r="AD33" s="2"/>
    </row>
    <row r="34" spans="1:30">
      <c r="A34" s="2"/>
      <c r="B34" s="2"/>
      <c r="C34" s="2"/>
      <c r="D34" s="2"/>
      <c r="E34" s="2"/>
      <c r="F34" s="2"/>
      <c r="G34" s="2"/>
      <c r="H34" s="2"/>
      <c r="I34" s="2"/>
      <c r="L34" s="59">
        <f>IF(L6=FALSE,"Select 'lose' or 'gain'",C9-L15)</f>
        <v>1950</v>
      </c>
      <c r="W34" s="2"/>
      <c r="X34" s="2"/>
      <c r="Y34" s="2"/>
      <c r="Z34" s="2"/>
      <c r="AA34" s="2"/>
      <c r="AB34" s="2"/>
      <c r="AC34" s="2"/>
      <c r="AD34" s="2"/>
    </row>
    <row r="35" spans="1:30">
      <c r="A35" s="2"/>
      <c r="B35" s="2"/>
      <c r="C35" s="2"/>
      <c r="D35" s="2"/>
      <c r="E35" s="2"/>
      <c r="F35" s="2"/>
      <c r="G35" s="2"/>
      <c r="H35" s="2"/>
      <c r="I35" s="2"/>
      <c r="L35" s="40"/>
      <c r="W35" s="2"/>
      <c r="X35" s="2"/>
      <c r="Y35" s="2"/>
      <c r="Z35" s="2"/>
      <c r="AA35" s="2"/>
      <c r="AB35" s="2"/>
      <c r="AC35" s="2"/>
      <c r="AD35" s="2"/>
    </row>
    <row r="36" spans="1:30">
      <c r="A36" s="2"/>
      <c r="B36" s="2"/>
      <c r="C36" s="2"/>
      <c r="D36" s="2"/>
      <c r="E36" s="2"/>
      <c r="F36" s="2"/>
      <c r="G36" s="2"/>
      <c r="H36" s="2"/>
      <c r="I36" s="2"/>
      <c r="L36" s="58" t="s">
        <v>245</v>
      </c>
      <c r="W36" s="2"/>
      <c r="X36" s="2"/>
      <c r="Y36" s="2"/>
      <c r="Z36" s="2"/>
      <c r="AA36" s="2"/>
      <c r="AB36" s="2"/>
      <c r="AC36" s="2"/>
      <c r="AD36" s="2"/>
    </row>
    <row r="37" spans="1:30">
      <c r="A37" s="2"/>
      <c r="B37" s="2"/>
      <c r="C37" s="2"/>
      <c r="D37" s="2"/>
      <c r="E37" s="2"/>
      <c r="F37" s="2"/>
      <c r="G37" s="2"/>
      <c r="H37" s="2"/>
      <c r="I37" s="2"/>
      <c r="L37" s="59">
        <f>IF(L6=FALSE,"Select 'lose' or 'gain'",C9-L34)</f>
        <v>-150</v>
      </c>
      <c r="W37" s="2"/>
      <c r="X37" s="2"/>
      <c r="Y37" s="2"/>
      <c r="Z37" s="2"/>
      <c r="AA37" s="2"/>
      <c r="AB37" s="2"/>
      <c r="AC37" s="2"/>
      <c r="AD37" s="2"/>
    </row>
    <row r="38" spans="1:30">
      <c r="A38" s="2"/>
      <c r="B38" s="2"/>
      <c r="C38" s="2"/>
      <c r="D38" s="2"/>
      <c r="E38" s="2"/>
      <c r="F38" s="2"/>
      <c r="G38" s="2"/>
      <c r="H38" s="2"/>
      <c r="I38" s="2"/>
      <c r="W38" s="2"/>
      <c r="X38" s="2"/>
      <c r="Y38" s="2"/>
      <c r="Z38" s="2"/>
      <c r="AA38" s="2"/>
      <c r="AB38" s="2"/>
      <c r="AC38" s="2"/>
      <c r="AD38" s="2"/>
    </row>
    <row r="39" spans="1:30">
      <c r="A39" s="2"/>
      <c r="B39" s="2"/>
      <c r="C39" s="2"/>
      <c r="D39" s="2"/>
      <c r="E39" s="2"/>
      <c r="F39" s="2"/>
      <c r="G39" s="2"/>
      <c r="H39" s="2"/>
      <c r="I39" s="2"/>
      <c r="L39" t="s">
        <v>246</v>
      </c>
      <c r="W39" s="2"/>
      <c r="X39" s="2"/>
      <c r="Y39" s="2"/>
      <c r="Z39" s="2"/>
      <c r="AA39" s="2"/>
      <c r="AB39" s="2"/>
      <c r="AC39" s="2"/>
      <c r="AD39" s="2"/>
    </row>
    <row r="40" spans="1:30">
      <c r="A40" s="2"/>
      <c r="B40" s="2"/>
      <c r="C40" s="2"/>
      <c r="D40" s="2"/>
      <c r="E40" s="2"/>
      <c r="F40" s="2"/>
      <c r="G40" s="2"/>
      <c r="H40" s="2"/>
      <c r="I40" s="2"/>
      <c r="L40">
        <f>L37*22.5</f>
        <v>-3375.00000000001</v>
      </c>
      <c r="W40" s="2"/>
      <c r="X40" s="2"/>
      <c r="Y40" s="2"/>
      <c r="Z40" s="2"/>
      <c r="AA40" s="2"/>
      <c r="AB40" s="2"/>
      <c r="AC40" s="2"/>
      <c r="AD40" s="2"/>
    </row>
    <row r="41" spans="1:30">
      <c r="A41" s="2"/>
      <c r="B41" s="2"/>
      <c r="C41" s="2"/>
      <c r="D41" s="2"/>
      <c r="E41" s="2"/>
      <c r="F41" s="2"/>
      <c r="G41" s="2"/>
      <c r="H41" s="2"/>
      <c r="I41" s="2"/>
      <c r="W41" s="2"/>
      <c r="X41" s="2"/>
      <c r="Y41" s="2"/>
      <c r="Z41" s="2"/>
      <c r="AA41" s="2"/>
      <c r="AB41" s="2"/>
      <c r="AC41" s="2"/>
      <c r="AD41" s="2"/>
    </row>
    <row r="42" spans="1:30">
      <c r="A42" s="2"/>
      <c r="B42" s="2"/>
      <c r="C42" s="2"/>
      <c r="D42" s="2"/>
      <c r="E42" s="2"/>
      <c r="F42" s="2"/>
      <c r="G42" s="2"/>
      <c r="H42" s="2"/>
      <c r="I42" s="2"/>
      <c r="W42" s="2"/>
      <c r="X42" s="2"/>
      <c r="Y42" s="2"/>
      <c r="Z42" s="2"/>
      <c r="AA42" s="2"/>
      <c r="AB42" s="2"/>
      <c r="AC42" s="2"/>
      <c r="AD42" s="2"/>
    </row>
    <row r="43" spans="1:30">
      <c r="A43" s="2"/>
      <c r="B43" s="2"/>
      <c r="C43" s="2"/>
      <c r="D43" s="2"/>
      <c r="E43" s="2"/>
      <c r="F43" s="2"/>
      <c r="G43" s="2"/>
      <c r="H43" s="2"/>
      <c r="I43" s="2"/>
      <c r="W43" s="2"/>
      <c r="X43" s="2"/>
      <c r="Y43" s="2"/>
      <c r="Z43" s="2"/>
      <c r="AA43" s="2"/>
      <c r="AB43" s="2"/>
      <c r="AC43" s="2"/>
      <c r="AD43" s="2"/>
    </row>
    <row r="44" spans="1:30">
      <c r="A44" s="2"/>
      <c r="B44" s="2"/>
      <c r="C44" s="2"/>
      <c r="D44" s="2"/>
      <c r="E44" s="2"/>
      <c r="F44" s="2"/>
      <c r="G44" s="2"/>
      <c r="H44" s="2"/>
      <c r="I44" s="2"/>
      <c r="L44" s="60" t="s">
        <v>247</v>
      </c>
      <c r="W44" s="2"/>
      <c r="X44" s="2"/>
      <c r="Y44" s="2"/>
      <c r="Z44" s="2"/>
      <c r="AA44" s="2"/>
      <c r="AB44" s="2"/>
      <c r="AC44" s="2"/>
      <c r="AD44" s="2"/>
    </row>
    <row r="45" spans="1:30">
      <c r="A45" s="2"/>
      <c r="B45" s="2"/>
      <c r="C45" s="2"/>
      <c r="D45" s="2"/>
      <c r="E45" s="2"/>
      <c r="F45" s="2"/>
      <c r="G45" s="2"/>
      <c r="H45" s="2"/>
      <c r="I45" s="2"/>
      <c r="L45" s="61" t="s">
        <v>248</v>
      </c>
      <c r="W45" s="2"/>
      <c r="X45" s="2"/>
      <c r="Y45" s="2"/>
      <c r="Z45" s="2"/>
      <c r="AA45" s="2"/>
      <c r="AB45" s="2"/>
      <c r="AC45" s="2"/>
      <c r="AD45" s="2"/>
    </row>
    <row r="46" spans="1:30">
      <c r="A46" s="2"/>
      <c r="B46" s="2"/>
      <c r="C46" s="2"/>
      <c r="D46" s="2"/>
      <c r="E46" s="2"/>
      <c r="F46" s="2"/>
      <c r="G46" s="2"/>
      <c r="H46" s="2"/>
      <c r="I46" s="2"/>
      <c r="W46" s="2"/>
      <c r="X46" s="2"/>
      <c r="Y46" s="2"/>
      <c r="Z46" s="2"/>
      <c r="AA46" s="2"/>
      <c r="AB46" s="2"/>
      <c r="AC46" s="2"/>
      <c r="AD46" s="2"/>
    </row>
    <row r="47" spans="1:30">
      <c r="A47" s="2"/>
      <c r="B47" s="2"/>
      <c r="C47" s="2"/>
      <c r="D47" s="2"/>
      <c r="E47" s="2"/>
      <c r="F47" s="2"/>
      <c r="G47" s="2"/>
      <c r="H47" s="2"/>
      <c r="I47" s="2"/>
      <c r="W47" s="2"/>
      <c r="X47" s="2"/>
      <c r="Y47" s="2"/>
      <c r="Z47" s="2"/>
      <c r="AA47" s="2"/>
      <c r="AB47" s="2"/>
      <c r="AC47" s="2"/>
      <c r="AD47" s="2"/>
    </row>
    <row r="48" spans="1:30">
      <c r="A48" s="2"/>
      <c r="B48" s="2"/>
      <c r="C48" s="2"/>
      <c r="D48" s="2"/>
      <c r="E48" s="2"/>
      <c r="F48" s="2"/>
      <c r="G48" s="2"/>
      <c r="H48" s="2"/>
      <c r="I48" s="2"/>
      <c r="W48" s="2"/>
      <c r="X48" s="2"/>
      <c r="Y48" s="2"/>
      <c r="Z48" s="2"/>
      <c r="AA48" s="2"/>
      <c r="AB48" s="2"/>
      <c r="AC48" s="2"/>
      <c r="AD48" s="2"/>
    </row>
    <row r="49" spans="1:30">
      <c r="A49" s="2"/>
      <c r="B49" s="2"/>
      <c r="C49" s="2"/>
      <c r="D49" s="2"/>
      <c r="E49" s="2"/>
      <c r="F49" s="2"/>
      <c r="G49" s="2"/>
      <c r="H49" s="2"/>
      <c r="I49" s="2"/>
      <c r="W49" s="2"/>
      <c r="X49" s="2"/>
      <c r="Y49" s="2"/>
      <c r="Z49" s="2"/>
      <c r="AA49" s="2"/>
      <c r="AB49" s="2"/>
      <c r="AC49" s="2"/>
      <c r="AD49" s="2"/>
    </row>
    <row r="50" spans="1:30">
      <c r="A50" s="2"/>
      <c r="B50" s="2"/>
      <c r="C50" s="2"/>
      <c r="D50" s="2"/>
      <c r="E50" s="2"/>
      <c r="F50" s="2"/>
      <c r="G50" s="2"/>
      <c r="H50" s="2"/>
      <c r="I50" s="2"/>
      <c r="W50" s="2"/>
      <c r="X50" s="2"/>
      <c r="Y50" s="2"/>
      <c r="Z50" s="2"/>
      <c r="AA50" s="2"/>
      <c r="AB50" s="2"/>
      <c r="AC50" s="2"/>
      <c r="AD50" s="2"/>
    </row>
    <row r="51" spans="1:30">
      <c r="A51" s="2"/>
      <c r="B51" s="2"/>
      <c r="C51" s="2"/>
      <c r="D51" s="2"/>
      <c r="E51" s="2"/>
      <c r="F51" s="2"/>
      <c r="G51" s="2"/>
      <c r="H51" s="2"/>
      <c r="I51" s="2"/>
      <c r="W51" s="2"/>
      <c r="X51" s="2"/>
      <c r="Y51" s="2"/>
      <c r="Z51" s="2"/>
      <c r="AA51" s="2"/>
      <c r="AB51" s="2"/>
      <c r="AC51" s="2"/>
      <c r="AD51" s="2"/>
    </row>
    <row r="52" spans="1:30">
      <c r="A52" s="2"/>
      <c r="B52" s="2"/>
      <c r="C52" s="2"/>
      <c r="D52" s="2"/>
      <c r="E52" s="2"/>
      <c r="F52" s="2"/>
      <c r="G52" s="2"/>
      <c r="H52" s="2"/>
      <c r="I52" s="2"/>
      <c r="W52" s="2"/>
      <c r="X52" s="2"/>
      <c r="Y52" s="2"/>
      <c r="Z52" s="2"/>
      <c r="AA52" s="2"/>
      <c r="AB52" s="2"/>
      <c r="AC52" s="2"/>
      <c r="AD52" s="2"/>
    </row>
    <row r="53" spans="1:30">
      <c r="A53" s="2"/>
      <c r="B53" s="2"/>
      <c r="C53" s="2"/>
      <c r="D53" s="2"/>
      <c r="E53" s="2"/>
      <c r="F53" s="2"/>
      <c r="G53" s="2"/>
      <c r="H53" s="2"/>
      <c r="I53" s="2"/>
      <c r="W53" s="2"/>
      <c r="X53" s="2"/>
      <c r="Y53" s="2"/>
      <c r="Z53" s="2"/>
      <c r="AA53" s="2"/>
      <c r="AB53" s="2"/>
      <c r="AC53" s="2"/>
      <c r="AD53" s="2"/>
    </row>
    <row r="54" spans="1:30">
      <c r="A54" s="2"/>
      <c r="B54" s="2"/>
      <c r="C54" s="2"/>
      <c r="D54" s="2"/>
      <c r="E54" s="2"/>
      <c r="F54" s="2"/>
      <c r="G54" s="2"/>
      <c r="H54" s="2"/>
      <c r="I54" s="2"/>
      <c r="W54" s="2"/>
      <c r="X54" s="2"/>
      <c r="Y54" s="2"/>
      <c r="Z54" s="2"/>
      <c r="AA54" s="2"/>
      <c r="AB54" s="2"/>
      <c r="AC54" s="2"/>
      <c r="AD54" s="2"/>
    </row>
    <row r="55" spans="1:30">
      <c r="A55" s="2"/>
      <c r="B55" s="2"/>
      <c r="C55" s="2"/>
      <c r="D55" s="2"/>
      <c r="E55" s="2"/>
      <c r="F55" s="2"/>
      <c r="G55" s="2"/>
      <c r="H55" s="2"/>
      <c r="I55" s="2"/>
      <c r="W55" s="2"/>
      <c r="X55" s="2"/>
      <c r="Y55" s="2"/>
      <c r="Z55" s="2"/>
      <c r="AA55" s="2"/>
      <c r="AB55" s="2"/>
      <c r="AC55" s="2"/>
      <c r="AD55" s="2"/>
    </row>
    <row r="56" spans="1:30">
      <c r="A56" s="2"/>
      <c r="B56" s="2"/>
      <c r="C56" s="2"/>
      <c r="D56" s="2"/>
      <c r="E56" s="2"/>
      <c r="F56" s="2"/>
      <c r="G56" s="2"/>
      <c r="H56" s="2"/>
      <c r="I56" s="2"/>
      <c r="W56" s="2"/>
      <c r="X56" s="2"/>
      <c r="Y56" s="2"/>
      <c r="Z56" s="2"/>
      <c r="AA56" s="2"/>
      <c r="AB56" s="2"/>
      <c r="AC56" s="2"/>
      <c r="AD56" s="2"/>
    </row>
    <row r="57" spans="1:30">
      <c r="A57" s="2"/>
      <c r="B57" s="2"/>
      <c r="C57" s="2"/>
      <c r="D57" s="2"/>
      <c r="E57" s="2"/>
      <c r="F57" s="2"/>
      <c r="G57" s="2"/>
      <c r="H57" s="2"/>
      <c r="I57" s="2"/>
      <c r="W57" s="2"/>
      <c r="X57" s="2"/>
      <c r="Y57" s="2"/>
      <c r="Z57" s="2"/>
      <c r="AA57" s="2"/>
      <c r="AB57" s="2"/>
      <c r="AC57" s="2"/>
      <c r="AD57" s="2"/>
    </row>
    <row r="58" spans="1:30">
      <c r="A58" s="2"/>
      <c r="B58" s="2"/>
      <c r="C58" s="2"/>
      <c r="D58" s="2"/>
      <c r="E58" s="2"/>
      <c r="F58" s="2"/>
      <c r="G58" s="2"/>
      <c r="H58" s="2"/>
      <c r="I58" s="2"/>
      <c r="W58" s="2"/>
      <c r="X58" s="2"/>
      <c r="Y58" s="2"/>
      <c r="Z58" s="2"/>
      <c r="AA58" s="2"/>
      <c r="AB58" s="2"/>
      <c r="AC58" s="2"/>
      <c r="AD58" s="2"/>
    </row>
    <row r="59" spans="1:30">
      <c r="A59" s="2"/>
      <c r="B59" s="2"/>
      <c r="C59" s="2"/>
      <c r="D59" s="2"/>
      <c r="E59" s="2"/>
      <c r="F59" s="2"/>
      <c r="G59" s="2"/>
      <c r="H59" s="2"/>
      <c r="I59" s="2"/>
      <c r="W59" s="2"/>
      <c r="X59" s="2"/>
      <c r="Y59" s="2"/>
      <c r="Z59" s="2"/>
      <c r="AA59" s="2"/>
      <c r="AB59" s="2"/>
      <c r="AC59" s="2"/>
      <c r="AD59" s="2"/>
    </row>
    <row r="60" spans="1:30">
      <c r="A60" s="2"/>
      <c r="B60" s="2"/>
      <c r="C60" s="2"/>
      <c r="D60" s="2"/>
      <c r="E60" s="2"/>
      <c r="F60" s="2"/>
      <c r="G60" s="2"/>
      <c r="H60" s="2"/>
      <c r="I60" s="2"/>
      <c r="W60" s="2"/>
      <c r="X60" s="2"/>
      <c r="Y60" s="2"/>
      <c r="Z60" s="2"/>
      <c r="AA60" s="2"/>
      <c r="AB60" s="2"/>
      <c r="AC60" s="2"/>
      <c r="AD60" s="2"/>
    </row>
    <row r="61" spans="1:30">
      <c r="A61" s="2"/>
      <c r="B61" s="2"/>
      <c r="C61" s="2"/>
      <c r="D61" s="2"/>
      <c r="E61" s="2"/>
      <c r="F61" s="2"/>
      <c r="G61" s="2"/>
      <c r="H61" s="2"/>
      <c r="I61" s="2"/>
      <c r="W61" s="2"/>
      <c r="X61" s="2"/>
      <c r="Y61" s="2"/>
      <c r="Z61" s="2"/>
      <c r="AA61" s="2"/>
      <c r="AB61" s="2"/>
      <c r="AC61" s="2"/>
      <c r="AD61" s="2"/>
    </row>
    <row r="62" spans="1:30">
      <c r="A62" s="2"/>
      <c r="B62" s="2"/>
      <c r="C62" s="2"/>
      <c r="D62" s="2"/>
      <c r="E62" s="2"/>
      <c r="F62" s="2"/>
      <c r="G62" s="2"/>
      <c r="H62" s="2"/>
      <c r="I62" s="2"/>
      <c r="W62" s="2"/>
      <c r="X62" s="2"/>
      <c r="Y62" s="2"/>
      <c r="Z62" s="2"/>
      <c r="AA62" s="2"/>
      <c r="AB62" s="2"/>
      <c r="AC62" s="2"/>
      <c r="AD62" s="2"/>
    </row>
    <row r="63" spans="1:30">
      <c r="A63" s="2"/>
      <c r="B63" s="2"/>
      <c r="C63" s="2"/>
      <c r="D63" s="2"/>
      <c r="E63" s="2"/>
      <c r="F63" s="2"/>
      <c r="G63" s="2"/>
      <c r="H63" s="2"/>
      <c r="I63" s="2"/>
      <c r="W63" s="2"/>
      <c r="X63" s="2"/>
      <c r="Y63" s="2"/>
      <c r="Z63" s="2"/>
      <c r="AA63" s="2"/>
      <c r="AB63" s="2"/>
      <c r="AC63" s="2"/>
      <c r="AD63" s="2"/>
    </row>
    <row r="64" spans="1:30">
      <c r="A64" s="2"/>
      <c r="B64" s="2"/>
      <c r="C64" s="2"/>
      <c r="D64" s="2"/>
      <c r="E64" s="2"/>
      <c r="F64" s="2"/>
      <c r="G64" s="2"/>
      <c r="H64" s="2"/>
      <c r="I64" s="2"/>
      <c r="W64" s="2"/>
      <c r="X64" s="2"/>
      <c r="Y64" s="2"/>
      <c r="Z64" s="2"/>
      <c r="AA64" s="2"/>
      <c r="AB64" s="2"/>
      <c r="AC64" s="2"/>
      <c r="AD64" s="2"/>
    </row>
    <row r="65" spans="1:30">
      <c r="A65" s="2"/>
      <c r="B65" s="2"/>
      <c r="C65" s="2"/>
      <c r="D65" s="2"/>
      <c r="E65" s="2"/>
      <c r="F65" s="2"/>
      <c r="G65" s="2"/>
      <c r="H65" s="2"/>
      <c r="I65" s="2"/>
      <c r="W65" s="2"/>
      <c r="X65" s="2"/>
      <c r="Y65" s="2"/>
      <c r="Z65" s="2"/>
      <c r="AA65" s="2"/>
      <c r="AB65" s="2"/>
      <c r="AC65" s="2"/>
      <c r="AD65" s="2"/>
    </row>
    <row r="66" spans="1:30">
      <c r="A66" s="2"/>
      <c r="B66" s="2"/>
      <c r="C66" s="2"/>
      <c r="D66" s="2"/>
      <c r="E66" s="2"/>
      <c r="F66" s="2"/>
      <c r="G66" s="2"/>
      <c r="H66" s="2"/>
      <c r="I66" s="2"/>
      <c r="W66" s="2"/>
      <c r="X66" s="2"/>
      <c r="Y66" s="2"/>
      <c r="Z66" s="2"/>
      <c r="AA66" s="2"/>
      <c r="AB66" s="2"/>
      <c r="AC66" s="2"/>
      <c r="AD66" s="2"/>
    </row>
    <row r="67" spans="1:30">
      <c r="A67" s="2"/>
      <c r="B67" s="2"/>
      <c r="C67" s="2"/>
      <c r="D67" s="2"/>
      <c r="E67" s="2"/>
      <c r="F67" s="2"/>
      <c r="G67" s="2"/>
      <c r="H67" s="2"/>
      <c r="I67" s="2"/>
      <c r="W67" s="2"/>
      <c r="X67" s="2"/>
      <c r="Y67" s="2"/>
      <c r="Z67" s="2"/>
      <c r="AA67" s="2"/>
      <c r="AB67" s="2"/>
      <c r="AC67" s="2"/>
      <c r="AD67" s="2"/>
    </row>
    <row r="68" spans="1:30">
      <c r="A68" s="2"/>
      <c r="B68" s="2"/>
      <c r="C68" s="2"/>
      <c r="D68" s="2"/>
      <c r="E68" s="2"/>
      <c r="F68" s="2"/>
      <c r="G68" s="2"/>
      <c r="H68" s="2"/>
      <c r="I68" s="2"/>
      <c r="W68" s="2"/>
      <c r="X68" s="2"/>
      <c r="Y68" s="2"/>
      <c r="Z68" s="2"/>
      <c r="AA68" s="2"/>
      <c r="AB68" s="2"/>
      <c r="AC68" s="2"/>
      <c r="AD68" s="2"/>
    </row>
    <row r="69" spans="1:30">
      <c r="A69" s="2"/>
      <c r="B69" s="2"/>
      <c r="C69" s="2"/>
      <c r="D69" s="2"/>
      <c r="E69" s="2"/>
      <c r="F69" s="2"/>
      <c r="G69" s="2"/>
      <c r="H69" s="2"/>
      <c r="I69" s="2"/>
      <c r="W69" s="2"/>
      <c r="X69" s="2"/>
      <c r="Y69" s="2"/>
      <c r="Z69" s="2"/>
      <c r="AA69" s="2"/>
      <c r="AB69" s="2"/>
      <c r="AC69" s="2"/>
      <c r="AD69" s="2"/>
    </row>
    <row r="70" spans="1:30">
      <c r="A70" s="2"/>
      <c r="B70" s="2"/>
      <c r="C70" s="2"/>
      <c r="D70" s="2"/>
      <c r="E70" s="2"/>
      <c r="F70" s="2"/>
      <c r="G70" s="2"/>
      <c r="H70" s="2"/>
      <c r="I70" s="2"/>
      <c r="W70" s="2"/>
      <c r="X70" s="2"/>
      <c r="Y70" s="2"/>
      <c r="Z70" s="2"/>
      <c r="AA70" s="2"/>
      <c r="AB70" s="2"/>
      <c r="AC70" s="2"/>
      <c r="AD70" s="2"/>
    </row>
    <row r="71" spans="1:30">
      <c r="A71" s="2"/>
      <c r="B71" s="2"/>
      <c r="C71" s="2"/>
      <c r="D71" s="2"/>
      <c r="E71" s="2"/>
      <c r="F71" s="2"/>
      <c r="G71" s="2"/>
      <c r="H71" s="2"/>
      <c r="I71" s="2"/>
      <c r="W71" s="2"/>
      <c r="X71" s="2"/>
      <c r="Y71" s="2"/>
      <c r="Z71" s="2"/>
      <c r="AA71" s="2"/>
      <c r="AB71" s="2"/>
      <c r="AC71" s="2"/>
      <c r="AD71" s="2"/>
    </row>
    <row r="72" spans="1:30">
      <c r="A72" s="2"/>
      <c r="B72" s="2"/>
      <c r="C72" s="2"/>
      <c r="D72" s="2"/>
      <c r="E72" s="2"/>
      <c r="F72" s="2"/>
      <c r="G72" s="2"/>
      <c r="H72" s="2"/>
      <c r="I72" s="2"/>
      <c r="W72" s="2"/>
      <c r="X72" s="2"/>
      <c r="Y72" s="2"/>
      <c r="Z72" s="2"/>
      <c r="AA72" s="2"/>
      <c r="AB72" s="2"/>
      <c r="AC72" s="2"/>
      <c r="AD72" s="2"/>
    </row>
    <row r="73" spans="1:30">
      <c r="A73" s="2"/>
      <c r="B73" s="2"/>
      <c r="C73" s="2"/>
      <c r="D73" s="2"/>
      <c r="E73" s="2"/>
      <c r="F73" s="2"/>
      <c r="G73" s="2"/>
      <c r="H73" s="2"/>
      <c r="I73" s="2"/>
      <c r="W73" s="2"/>
      <c r="X73" s="2"/>
      <c r="Y73" s="2"/>
      <c r="Z73" s="2"/>
      <c r="AA73" s="2"/>
      <c r="AB73" s="2"/>
      <c r="AC73" s="2"/>
      <c r="AD73" s="2"/>
    </row>
    <row r="74" spans="1:30">
      <c r="A74" s="2"/>
      <c r="B74" s="2"/>
      <c r="C74" s="2"/>
      <c r="D74" s="2"/>
      <c r="E74" s="2"/>
      <c r="F74" s="2"/>
      <c r="G74" s="2"/>
      <c r="H74" s="2"/>
      <c r="I74" s="2"/>
      <c r="W74" s="2"/>
      <c r="X74" s="2"/>
      <c r="Y74" s="2"/>
      <c r="Z74" s="2"/>
      <c r="AA74" s="2"/>
      <c r="AB74" s="2"/>
      <c r="AC74" s="2"/>
      <c r="AD74" s="2"/>
    </row>
    <row r="75" spans="1:30">
      <c r="A75" s="2"/>
      <c r="B75" s="2"/>
      <c r="C75" s="2"/>
      <c r="D75" s="2"/>
      <c r="E75" s="2"/>
      <c r="F75" s="2"/>
      <c r="G75" s="2"/>
      <c r="H75" s="2"/>
      <c r="I75" s="2"/>
      <c r="W75" s="2"/>
      <c r="X75" s="2"/>
      <c r="Y75" s="2"/>
      <c r="Z75" s="2"/>
      <c r="AA75" s="2"/>
      <c r="AB75" s="2"/>
      <c r="AC75" s="2"/>
      <c r="AD75" s="2"/>
    </row>
    <row r="76" spans="1:30">
      <c r="A76" s="2"/>
      <c r="B76" s="2"/>
      <c r="C76" s="2"/>
      <c r="D76" s="2"/>
      <c r="E76" s="2"/>
      <c r="F76" s="2"/>
      <c r="G76" s="2"/>
      <c r="H76" s="2"/>
      <c r="I76" s="2"/>
      <c r="W76" s="2"/>
      <c r="X76" s="2"/>
      <c r="Y76" s="2"/>
      <c r="Z76" s="2"/>
      <c r="AA76" s="2"/>
      <c r="AB76" s="2"/>
      <c r="AC76" s="2"/>
      <c r="AD76" s="2"/>
    </row>
  </sheetData>
  <mergeCells count="20">
    <mergeCell ref="C2:E2"/>
    <mergeCell ref="I2:K2"/>
    <mergeCell ref="C3:E3"/>
    <mergeCell ref="I3:K3"/>
    <mergeCell ref="C5:E5"/>
    <mergeCell ref="I5:K5"/>
    <mergeCell ref="C6:E6"/>
    <mergeCell ref="I6:K6"/>
    <mergeCell ref="C8:E8"/>
    <mergeCell ref="G8:K8"/>
    <mergeCell ref="C9:E9"/>
    <mergeCell ref="C11:E11"/>
    <mergeCell ref="C12:E12"/>
    <mergeCell ref="B21:E21"/>
    <mergeCell ref="G21:K21"/>
    <mergeCell ref="P2:V3"/>
    <mergeCell ref="P4:V14"/>
    <mergeCell ref="G9:K18"/>
    <mergeCell ref="G22:K27"/>
    <mergeCell ref="B22:E27"/>
  </mergeCell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B3:X30"/>
  <sheetViews>
    <sheetView workbookViewId="0">
      <selection activeCell="M27" sqref="M27"/>
    </sheetView>
  </sheetViews>
  <sheetFormatPr defaultColWidth="9" defaultRowHeight="15"/>
  <cols>
    <col min="1" max="1" width="9.14285714285714" style="2"/>
    <col min="2" max="2" width="12.2857142857143" style="2" customWidth="1"/>
    <col min="3" max="3" width="13.4285714285714" style="2" customWidth="1"/>
    <col min="4" max="4" width="12.4285714285714" style="2" customWidth="1"/>
    <col min="5" max="5" width="15.7142857142857" style="2" customWidth="1"/>
    <col min="6" max="8" width="9.14285714285714" style="2"/>
    <col min="9" max="9" width="12.4285714285714" style="2" customWidth="1"/>
    <col min="10" max="10" width="9.14285714285714" style="2"/>
    <col min="11" max="11" width="11.2857142857143" style="2" customWidth="1"/>
    <col min="12" max="12" width="11.4285714285714" style="2" customWidth="1"/>
    <col min="13" max="13" width="21.7142857142857" style="2" customWidth="1"/>
    <col min="14" max="23" width="9.14285714285714" style="2"/>
    <col min="24" max="24" width="9.14285714285714" style="2" hidden="1" customWidth="1"/>
    <col min="25" max="29" width="9.14285714285714" style="2"/>
  </cols>
  <sheetData>
    <row r="3" ht="21" spans="2:24">
      <c r="B3" s="3" t="s">
        <v>249</v>
      </c>
      <c r="C3" s="4"/>
      <c r="D3" s="4"/>
      <c r="E3" s="4"/>
      <c r="F3" s="5"/>
      <c r="I3" s="9" t="s">
        <v>250</v>
      </c>
      <c r="J3" s="17"/>
      <c r="K3" s="10" t="s">
        <v>251</v>
      </c>
      <c r="L3" s="10"/>
      <c r="M3" s="17"/>
      <c r="X3" s="17" t="s">
        <v>252</v>
      </c>
    </row>
    <row r="4" spans="2:24">
      <c r="B4" s="6"/>
      <c r="C4" s="7"/>
      <c r="D4" s="7"/>
      <c r="E4" s="7"/>
      <c r="F4" s="8"/>
      <c r="I4" s="29"/>
      <c r="J4" s="17"/>
      <c r="K4" s="10" t="s">
        <v>253</v>
      </c>
      <c r="L4" s="10" t="s">
        <v>254</v>
      </c>
      <c r="M4" s="17"/>
      <c r="X4" s="17">
        <f>'Calorie Calculator'!C6*22.5</f>
        <v>6750</v>
      </c>
    </row>
    <row r="5" spans="2:13">
      <c r="B5" s="6"/>
      <c r="C5" s="9" t="s">
        <v>255</v>
      </c>
      <c r="D5" s="9" t="s">
        <v>256</v>
      </c>
      <c r="E5" s="10" t="s">
        <v>257</v>
      </c>
      <c r="F5" s="8"/>
      <c r="I5" s="27">
        <v>2250</v>
      </c>
      <c r="J5" s="17"/>
      <c r="K5" s="30">
        <v>0.8</v>
      </c>
      <c r="L5" s="30">
        <v>1.2</v>
      </c>
      <c r="M5" s="17"/>
    </row>
    <row r="6" spans="2:13">
      <c r="B6" s="6"/>
      <c r="C6" s="11">
        <v>300</v>
      </c>
      <c r="D6" s="11">
        <v>500</v>
      </c>
      <c r="E6" s="12">
        <v>83</v>
      </c>
      <c r="F6" s="8"/>
      <c r="I6" s="17"/>
      <c r="J6" s="17"/>
      <c r="K6" s="17"/>
      <c r="L6" s="17"/>
      <c r="M6" s="17"/>
    </row>
    <row r="7" spans="2:13">
      <c r="B7" s="6"/>
      <c r="C7" s="7"/>
      <c r="D7" s="7"/>
      <c r="E7" s="7"/>
      <c r="F7" s="8"/>
      <c r="I7" s="31" t="s">
        <v>258</v>
      </c>
      <c r="J7" s="31"/>
      <c r="K7" s="31"/>
      <c r="L7" s="31"/>
      <c r="M7" s="31"/>
    </row>
    <row r="8" spans="2:13">
      <c r="B8" s="6"/>
      <c r="C8" s="10" t="s">
        <v>259</v>
      </c>
      <c r="D8" s="10" t="s">
        <v>260</v>
      </c>
      <c r="E8" s="10" t="s">
        <v>261</v>
      </c>
      <c r="F8" s="8"/>
      <c r="I8" s="31"/>
      <c r="J8" s="31"/>
      <c r="K8" s="31"/>
      <c r="L8" s="31"/>
      <c r="M8" s="31"/>
    </row>
    <row r="9" spans="2:13">
      <c r="B9" s="6"/>
      <c r="C9" s="12">
        <v>182</v>
      </c>
      <c r="D9" s="12">
        <v>28</v>
      </c>
      <c r="E9" s="13"/>
      <c r="F9" s="8"/>
      <c r="I9" s="32" t="str">
        <f>IF('Calorie Calculator'!X10=0,"SELECT MALE/FEMALE CHECKBOX",CONCATENATE("To burn fat you should consume a total of ",ROUND('Calorie Calculator'!E13,0)," kCals per day. You should drink approximately ",'Calorie Calculator'!X21," of water per day. Your protein intake should be in the range of ",'Calorie Calculator'!X17," per day. Burning ",'Calorie Calculator'!C6," kCal/day is approximately ",ROUND('Calorie Calculator'!X4,0)," steps."))</f>
        <v>To burn fat you should consume a total of 1633 kCals per day. You should drink approximately 3320 ml of water per day. Your protein intake should be in the range of 146g to 220g per day. Burning 300 kCal/day is approximately 6750 steps.</v>
      </c>
      <c r="J9" s="32"/>
      <c r="K9" s="32"/>
      <c r="L9" s="32"/>
      <c r="M9" s="32"/>
    </row>
    <row r="10" spans="2:24">
      <c r="B10" s="14"/>
      <c r="C10" s="15"/>
      <c r="D10" s="15"/>
      <c r="E10" s="15"/>
      <c r="F10" s="16"/>
      <c r="I10" s="32"/>
      <c r="J10" s="32"/>
      <c r="K10" s="32"/>
      <c r="L10" s="32"/>
      <c r="M10" s="32"/>
      <c r="X10" s="12" t="str">
        <f>IF(AND(X11=TRUE,X12=FALSE),"Male",IF(AND(X11=FALSE,X12=TRUE),"Female",IF(AND(X11=FALSE,X12=FALSE),0,0)))</f>
        <v>Male</v>
      </c>
    </row>
    <row r="11" spans="2:24">
      <c r="B11" s="17"/>
      <c r="C11" s="17"/>
      <c r="D11" s="17"/>
      <c r="E11" s="17"/>
      <c r="F11" s="17"/>
      <c r="I11" s="32"/>
      <c r="J11" s="32"/>
      <c r="K11" s="32"/>
      <c r="L11" s="32"/>
      <c r="M11" s="32"/>
      <c r="X11" s="36" t="b">
        <v>1</v>
      </c>
    </row>
    <row r="12" spans="2:24">
      <c r="B12" s="18" t="s">
        <v>262</v>
      </c>
      <c r="C12" s="9" t="s">
        <v>12</v>
      </c>
      <c r="D12" s="9" t="s">
        <v>263</v>
      </c>
      <c r="E12" s="9" t="s">
        <v>264</v>
      </c>
      <c r="F12" s="17"/>
      <c r="I12" s="32"/>
      <c r="J12" s="32"/>
      <c r="K12" s="32"/>
      <c r="L12" s="32"/>
      <c r="M12" s="32"/>
      <c r="X12" s="36" t="b">
        <v>0</v>
      </c>
    </row>
    <row r="13" spans="2:24">
      <c r="B13" s="19">
        <f>ROUND(IF('Calorie Calculator'!X10="Male",10*E6+6.25*C9-5*D9+5,IF('Calorie Calculator'!X10="Female",10*E6+6.25*C9-5*D9-161,0)),0)</f>
        <v>1833</v>
      </c>
      <c r="C13" s="20"/>
      <c r="D13" s="20">
        <f>IF('Calorie Calculator'!X13=TRUE,'Calorie Calculator'!I5,B13+C6+C13)</f>
        <v>2133</v>
      </c>
      <c r="E13" s="20">
        <f>D13-D6</f>
        <v>1633</v>
      </c>
      <c r="F13" s="17"/>
      <c r="I13" s="32"/>
      <c r="J13" s="32"/>
      <c r="K13" s="32"/>
      <c r="L13" s="32"/>
      <c r="M13" s="32"/>
      <c r="X13" s="36" t="b">
        <v>0</v>
      </c>
    </row>
    <row r="14" spans="9:13">
      <c r="I14" s="32"/>
      <c r="J14" s="32"/>
      <c r="K14" s="32"/>
      <c r="L14" s="32"/>
      <c r="M14" s="32"/>
    </row>
    <row r="15" spans="9:13">
      <c r="I15" s="17"/>
      <c r="J15" s="17"/>
      <c r="K15" s="17"/>
      <c r="L15" s="17"/>
      <c r="M15" s="17"/>
    </row>
    <row r="16" ht="30" spans="9:24">
      <c r="I16" s="33" t="str">
        <f>IF('Calorie Calculator'!X10=0,"SELECT MALE/FEMALE CHECKBOX",CONCATENATE("Based off your meals, you will consume ",ROUND(Breakdown!D7,0)," kCals per day. 
You have ",Breakdown!F7,"."))</f>
        <v>Based off your meals, you will consume 2190 kCals per day. 
You have -590 kCals to remove.</v>
      </c>
      <c r="J16" s="33"/>
      <c r="K16" s="33"/>
      <c r="L16" s="33"/>
      <c r="M16" s="33"/>
      <c r="X16" s="18" t="s">
        <v>251</v>
      </c>
    </row>
    <row r="17" spans="2:24">
      <c r="B17" s="21" t="s">
        <v>265</v>
      </c>
      <c r="C17" s="22"/>
      <c r="I17" s="33"/>
      <c r="J17" s="33"/>
      <c r="K17" s="33"/>
      <c r="L17" s="33"/>
      <c r="M17" s="33"/>
      <c r="X17" s="37" t="str">
        <f>CONCATENATE(ROUND(('Calorie Calculator'!E6*2.205)*'Calorie Calculator'!K5,0),"g to ",ROUND(('Calorie Calculator'!E6*2.205)*'Calorie Calculator'!L5,0),"g")</f>
        <v>146g to 220g</v>
      </c>
    </row>
    <row r="18" spans="2:24">
      <c r="B18" s="23"/>
      <c r="C18" s="24"/>
      <c r="I18" s="33"/>
      <c r="J18" s="33"/>
      <c r="K18" s="33"/>
      <c r="L18" s="33"/>
      <c r="M18" s="33"/>
      <c r="X18" s="37"/>
    </row>
    <row r="19" spans="2:13">
      <c r="B19" s="25" t="s">
        <v>266</v>
      </c>
      <c r="C19" s="26" t="s">
        <v>267</v>
      </c>
      <c r="I19" s="34"/>
      <c r="J19" s="34"/>
      <c r="K19" s="34"/>
      <c r="L19" s="34"/>
      <c r="M19" s="34"/>
    </row>
    <row r="20" ht="30" spans="2:24">
      <c r="B20" s="27"/>
      <c r="C20" s="28">
        <f>ROUND(B20*0.453924,0)</f>
        <v>0</v>
      </c>
      <c r="I20" s="35" t="str">
        <f>IF('Calorie Calculator'!X10=0,"SELECT MALE/FEMALE CHECKBOX",CONCATENATE("An example of your macro split may be as follows: 
",ROUND(('Calorie Calculator'!E13*0.3)/4,0),"g protein, ",ROUND(('Calorie Calculator'!E13*0.3)/4,0),"g carbs, and ",ROUND(('Calorie Calculator'!E13*0.3)/9,0),"g fats."))</f>
        <v>An example of your macro split may be as follows: 
122g protein, 122g carbs, and 54g fats.</v>
      </c>
      <c r="J20" s="35"/>
      <c r="K20" s="35"/>
      <c r="L20" s="35"/>
      <c r="M20" s="35"/>
      <c r="X20" s="18" t="s">
        <v>268</v>
      </c>
    </row>
    <row r="21" spans="2:24">
      <c r="B21" s="17"/>
      <c r="C21" s="17"/>
      <c r="I21" s="35"/>
      <c r="J21" s="35"/>
      <c r="K21" s="35"/>
      <c r="L21" s="35"/>
      <c r="M21" s="35"/>
      <c r="X21" s="38" t="str">
        <f>CONCATENATE('Calorie Calculator'!E6*40," ml")</f>
        <v>3320 ml</v>
      </c>
    </row>
    <row r="22" spans="2:24">
      <c r="B22" s="21" t="s">
        <v>269</v>
      </c>
      <c r="C22" s="22"/>
      <c r="I22" s="35"/>
      <c r="J22" s="35"/>
      <c r="K22" s="35"/>
      <c r="L22" s="35"/>
      <c r="M22" s="35"/>
      <c r="X22" s="38"/>
    </row>
    <row r="23" spans="2:3">
      <c r="B23" s="23"/>
      <c r="C23" s="24"/>
    </row>
    <row r="24" spans="2:3">
      <c r="B24" s="25" t="s">
        <v>270</v>
      </c>
      <c r="C24" s="26" t="s">
        <v>271</v>
      </c>
    </row>
    <row r="25" spans="2:3">
      <c r="B25" s="27"/>
      <c r="C25" s="28">
        <f>B25*2.54</f>
        <v>0</v>
      </c>
    </row>
    <row r="26" spans="2:3">
      <c r="B26" s="17"/>
      <c r="C26" s="17"/>
    </row>
    <row r="27" spans="2:3">
      <c r="B27" s="21" t="s">
        <v>272</v>
      </c>
      <c r="C27" s="22"/>
    </row>
    <row r="28" spans="2:3">
      <c r="B28" s="23"/>
      <c r="C28" s="24"/>
    </row>
    <row r="29" spans="2:3">
      <c r="B29" s="25" t="s">
        <v>273</v>
      </c>
      <c r="C29" s="26" t="s">
        <v>271</v>
      </c>
    </row>
    <row r="30" spans="2:3">
      <c r="B30" s="27"/>
      <c r="C30" s="28">
        <f>B30*30.48</f>
        <v>0</v>
      </c>
    </row>
  </sheetData>
  <mergeCells count="11">
    <mergeCell ref="B3:F3"/>
    <mergeCell ref="K3:L3"/>
    <mergeCell ref="X17:X18"/>
    <mergeCell ref="X21:X22"/>
    <mergeCell ref="B27:C28"/>
    <mergeCell ref="I9:M14"/>
    <mergeCell ref="I16:M18"/>
    <mergeCell ref="I20:M22"/>
    <mergeCell ref="I7:M8"/>
    <mergeCell ref="B22:C23"/>
    <mergeCell ref="B17:C18"/>
  </mergeCells>
  <pageMargins left="0.7" right="0.7" top="0.75" bottom="0.75" header="0.3" footer="0.3"/>
  <pageSetup paperSize="1"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5127" name="Check Box 7" r:id="rId4">
              <controlPr locked="0" defaultSize="0">
                <anchor moveWithCells="1">
                  <from>
                    <xdr:col>4</xdr:col>
                    <xdr:colOff>133350</xdr:colOff>
                    <xdr:row>8</xdr:row>
                    <xdr:rowOff>0</xdr:rowOff>
                  </from>
                  <to>
                    <xdr:col>4</xdr:col>
                    <xdr:colOff>419100</xdr:colOff>
                    <xdr:row>9</xdr:row>
                    <xdr:rowOff>0</xdr:rowOff>
                  </to>
                </anchor>
              </controlPr>
            </control>
          </mc:Choice>
        </mc:AlternateContent>
        <mc:AlternateContent xmlns:mc="http://schemas.openxmlformats.org/markup-compatibility/2006">
          <mc:Choice Requires="x14">
            <control shapeId="5128" name="Check Box 8" r:id="rId5">
              <controlPr locked="0" defaultSize="0">
                <anchor moveWithCells="1">
                  <from>
                    <xdr:col>4</xdr:col>
                    <xdr:colOff>619125</xdr:colOff>
                    <xdr:row>8</xdr:row>
                    <xdr:rowOff>0</xdr:rowOff>
                  </from>
                  <to>
                    <xdr:col>4</xdr:col>
                    <xdr:colOff>866775</xdr:colOff>
                    <xdr:row>9</xdr:row>
                    <xdr:rowOff>0</xdr:rowOff>
                  </to>
                </anchor>
              </controlPr>
            </control>
          </mc:Choice>
        </mc:AlternateContent>
        <mc:AlternateContent xmlns:mc="http://schemas.openxmlformats.org/markup-compatibility/2006">
          <mc:Choice Requires="x14">
            <control shapeId="5132" name="Check Box 12" r:id="rId6">
              <controlPr locked="0" defaultSize="0">
                <anchor moveWithCells="1">
                  <from>
                    <xdr:col>8</xdr:col>
                    <xdr:colOff>295275</xdr:colOff>
                    <xdr:row>2</xdr:row>
                    <xdr:rowOff>257175</xdr:rowOff>
                  </from>
                  <to>
                    <xdr:col>8</xdr:col>
                    <xdr:colOff>581025</xdr:colOff>
                    <xdr:row>3</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E15" sqref="E15"/>
    </sheetView>
  </sheetViews>
  <sheetFormatPr defaultColWidth="9.14285714285714" defaultRowHeight="15" outlineLevelCol="3"/>
  <cols>
    <col min="1" max="1" width="29.2857142857143" customWidth="1"/>
    <col min="2" max="2" width="16" customWidth="1"/>
  </cols>
  <sheetData>
    <row r="1" spans="1:4">
      <c r="A1" t="s">
        <v>274</v>
      </c>
      <c r="B1" t="s">
        <v>275</v>
      </c>
      <c r="D1" t="s">
        <v>276</v>
      </c>
    </row>
    <row r="2" spans="1:4">
      <c r="A2" t="s">
        <v>277</v>
      </c>
      <c r="B2">
        <v>450</v>
      </c>
      <c r="D2" s="1">
        <f>SUM(B2:B20)</f>
        <v>5011</v>
      </c>
    </row>
    <row r="3" spans="1:2">
      <c r="A3" t="s">
        <v>278</v>
      </c>
      <c r="B3">
        <v>450</v>
      </c>
    </row>
    <row r="4" spans="1:2">
      <c r="A4" t="s">
        <v>279</v>
      </c>
      <c r="B4">
        <v>800</v>
      </c>
    </row>
    <row r="5" spans="1:2">
      <c r="A5" t="s">
        <v>280</v>
      </c>
      <c r="B5">
        <v>800</v>
      </c>
    </row>
    <row r="6" spans="1:2">
      <c r="A6" t="s">
        <v>281</v>
      </c>
      <c r="B6">
        <v>715</v>
      </c>
    </row>
    <row r="7" spans="1:2">
      <c r="A7" t="s">
        <v>282</v>
      </c>
      <c r="B7">
        <v>876</v>
      </c>
    </row>
    <row r="8" spans="1:2">
      <c r="A8" t="s">
        <v>283</v>
      </c>
      <c r="B8">
        <v>320</v>
      </c>
    </row>
    <row r="9" spans="1:2">
      <c r="A9" t="s">
        <v>284</v>
      </c>
      <c r="B9">
        <v>50</v>
      </c>
    </row>
    <row r="10" spans="1:2">
      <c r="A10" t="s">
        <v>285</v>
      </c>
      <c r="B10">
        <v>400</v>
      </c>
    </row>
    <row r="11" spans="1:2">
      <c r="A11" t="s">
        <v>286</v>
      </c>
      <c r="B11">
        <v>150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Breakdown</vt:lpstr>
      <vt:lpstr>Foods</vt:lpstr>
      <vt:lpstr>Weight Tracking</vt:lpstr>
      <vt:lpstr>Calorie Alterations</vt:lpstr>
      <vt:lpstr>Calorie Calculator</vt:lpstr>
      <vt:lpstr>Potassium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dc:creator>
  <cp:lastModifiedBy>KrisG</cp:lastModifiedBy>
  <dcterms:created xsi:type="dcterms:W3CDTF">2020-02-13T07:00:00Z</dcterms:created>
  <dcterms:modified xsi:type="dcterms:W3CDTF">2023-04-02T05:03:48Z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5CF0305BF6124D6BB5A79C2BB1A05B3E</vt:lpwstr>
  </property>
  <property fmtid="{D5CDD505-2E9C-101B-9397-08002B2CF9AE}" pid="3" name="KSOProductBuildVer">
    <vt:lpwstr>1033-11.2.0.11219</vt:lpwstr>
  </property>
</Properties>
</file>